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6210" windowWidth="28890" windowHeight="6270" tabRatio="784" firstSheet="2" activeTab="5"/>
  </bookViews>
  <sheets>
    <sheet name="Kimutatás201212.." sheetId="118" r:id="rId1"/>
    <sheet name="Tartalomjegyzék" sheetId="98" state="hidden" r:id="rId2"/>
    <sheet name="1.mell._Össz_Mérleg2020" sheetId="61" r:id="rId3"/>
    <sheet name="1.1.mell._ÖNK_Mérleg2020" sheetId="64" r:id="rId4"/>
    <sheet name="1.2.mell._HKÖH_Mérleg2020" sheetId="65" r:id="rId5"/>
    <sheet name="1.3.mell._HVÓBKI_Mérleg2020" sheetId="66" r:id="rId6"/>
    <sheet name="1.4.mell._HKK_Mérleg2020" sheetId="67" r:id="rId7"/>
    <sheet name="1.5._mell._MŐSZ_Mérleg2020" sheetId="97" r:id="rId8"/>
    <sheet name="1.6._mell._HVGYKCSSZ_Mérleg2020" sheetId="109" r:id="rId9"/>
    <sheet name="2.a.mell._MMérleg2020" sheetId="68" r:id="rId10"/>
    <sheet name="2.b.mell._FMérleg2020" sheetId="69" r:id="rId11"/>
    <sheet name="3. mell._létszám2020" sheetId="70" r:id="rId12"/>
    <sheet name="4. mell. EUprojektek2020" sheetId="116" r:id="rId13"/>
    <sheet name="5.mell_adósság2020" sheetId="72" r:id="rId14"/>
    <sheet name="6.mell_Többévesköt.2020" sheetId="73" r:id="rId15"/>
    <sheet name="7. mell_KözvetettTám2020" sheetId="74" r:id="rId16"/>
    <sheet name="8.mell_EIfelhterv2020" sheetId="75" r:id="rId17"/>
    <sheet name="9.mell_ÖsszMérleg(telj)2020" sheetId="76" r:id="rId18"/>
    <sheet name="10.mell_támogatások2020" sheetId="77" r:id="rId19"/>
    <sheet name="11.mell_felhKiad2020" sheetId="78" r:id="rId20"/>
    <sheet name="12.mell_céltámogatások2020" sheetId="79" r:id="rId21"/>
    <sheet name="13.mell_ÖNKfeladatok2020" sheetId="84" r:id="rId22"/>
    <sheet name="14.mell_Önk kiegészítés2020" sheetId="85" r:id="rId23"/>
    <sheet name="15.mell_Tartozások2020" sheetId="88" state="hidden" r:id="rId24"/>
    <sheet name="16.mell_Étkezésdíj2020" sheetId="89" state="hidden" r:id="rId25"/>
    <sheet name="1.függVárosüzem2020" sheetId="91" state="hidden" r:id="rId26"/>
    <sheet name="2.függ_adósság2019 (határozat)" sheetId="90" state="hidden" r:id="rId27"/>
  </sheets>
  <externalReferences>
    <externalReference r:id="rId28"/>
    <externalReference r:id="rId29"/>
  </externalReferences>
  <definedNames>
    <definedName name="_xlnm._FilterDatabase" localSheetId="0" hidden="1">Kimutatás201212..!$I$1:$N$359</definedName>
    <definedName name="kst">#REF!</definedName>
    <definedName name="nev">[1]kod!$CD$8:$CD$3150</definedName>
    <definedName name="_xlnm.Print_Titles" localSheetId="18">'10.mell_támogatások2020'!$6:$7</definedName>
    <definedName name="_xlnm.Print_Titles" localSheetId="21">'13.mell_ÖNKfeladatok2020'!$A:$F,'13.mell_ÖNKfeladatok2020'!$166:$169</definedName>
    <definedName name="_xlnm.Print_Titles" localSheetId="22">'14.mell_Önk kiegészítés2020'!$B:$B</definedName>
    <definedName name="_xlnm.Print_Area" localSheetId="3">'1.1.mell._ÖNK_Mérleg2020'!$A$1:$I$242</definedName>
    <definedName name="_xlnm.Print_Area" localSheetId="4">'1.2.mell._HKÖH_Mérleg2020'!$A$1:$I$242</definedName>
    <definedName name="_xlnm.Print_Area" localSheetId="5">'1.3.mell._HVÓBKI_Mérleg2020'!$A$1:$I$242</definedName>
    <definedName name="_xlnm.Print_Area" localSheetId="6">'1.4.mell._HKK_Mérleg2020'!$A$1:$I$242</definedName>
    <definedName name="_xlnm.Print_Area" localSheetId="7">'1.5._mell._MŐSZ_Mérleg2020'!$A$1:$I$242</definedName>
    <definedName name="_xlnm.Print_Area" localSheetId="8">'1.6._mell._HVGYKCSSZ_Mérleg2020'!$A$1:$I$242</definedName>
    <definedName name="_xlnm.Print_Area" localSheetId="25">'1.függVárosüzem2020'!$A$1:$H$126</definedName>
    <definedName name="_xlnm.Print_Area" localSheetId="2">'1.mell._Össz_Mérleg2020'!$A$1:$I$242</definedName>
    <definedName name="_xlnm.Print_Area" localSheetId="18">'10.mell_támogatások2020'!$A$1:$G$137</definedName>
    <definedName name="_xlnm.Print_Area" localSheetId="19">'11.mell_felhKiad2020'!$A$1:$J$96</definedName>
    <definedName name="_xlnm.Print_Area" localSheetId="20">'12.mell_céltámogatások2020'!$A$1:$G$36</definedName>
    <definedName name="_xlnm.Print_Area" localSheetId="21">'13.mell_ÖNKfeladatok2020'!$A$1:$AX$321</definedName>
    <definedName name="_xlnm.Print_Area" localSheetId="22">'14.mell_Önk kiegészítés2020'!$A$1:$W$283</definedName>
    <definedName name="_xlnm.Print_Area" localSheetId="24">'16.mell_Étkezésdíj2020'!$A$1:$F$23</definedName>
    <definedName name="_xlnm.Print_Area" localSheetId="9">'2.a.mell._MMérleg2020'!$A$1:$Q$35</definedName>
    <definedName name="_xlnm.Print_Area" localSheetId="10">'2.b.mell._FMérleg2020'!$A$1:$Q$35</definedName>
    <definedName name="_xlnm.Print_Area" localSheetId="26">'2.függ_adósság2019 (határozat)'!$A$1:$F$38</definedName>
    <definedName name="_xlnm.Print_Area" localSheetId="11">'3. mell._létszám2020'!$A$1:$I$80</definedName>
    <definedName name="_xlnm.Print_Area" localSheetId="12">'4. mell. EUprojektek2020'!$A$1:$U$337</definedName>
    <definedName name="_xlnm.Print_Area" localSheetId="15">'7. mell_KözvetettTám2020'!$A$1:$J$25</definedName>
    <definedName name="_xlnm.Print_Area" localSheetId="16">'8.mell_EIfelhterv2020'!$A$1:$S$30</definedName>
    <definedName name="_xlnm.Print_Area" localSheetId="17">'9.mell_ÖsszMérleg(telj)2020'!$A$1:$H$242</definedName>
    <definedName name="_xlnm.Print_Area" localSheetId="0">Kimutatás201212..!$A$1:$G$71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V273" i="85"/>
  <c r="V256"/>
  <c r="V233"/>
  <c r="V224"/>
  <c r="AG273"/>
  <c r="AG256"/>
  <c r="AG245"/>
  <c r="AG233"/>
  <c r="AG203"/>
  <c r="AG186"/>
  <c r="AG175"/>
  <c r="AG163"/>
  <c r="AO227" i="84"/>
  <c r="AG171"/>
  <c r="Y276"/>
  <c r="U310"/>
  <c r="Q310"/>
  <c r="U289"/>
  <c r="Q289"/>
  <c r="Q18"/>
  <c r="B15" i="78"/>
  <c r="G15"/>
  <c r="F53" i="77"/>
  <c r="F52"/>
  <c r="F30"/>
  <c r="R18" i="75"/>
  <c r="Q18"/>
  <c r="P18"/>
  <c r="O18"/>
  <c r="N18"/>
  <c r="M18"/>
  <c r="L18"/>
  <c r="K18"/>
  <c r="J18"/>
  <c r="I18"/>
  <c r="H18"/>
  <c r="G18"/>
  <c r="R19"/>
  <c r="Q19"/>
  <c r="P19"/>
  <c r="O19"/>
  <c r="N19"/>
  <c r="M19"/>
  <c r="L19"/>
  <c r="K19"/>
  <c r="J19"/>
  <c r="I19"/>
  <c r="H19"/>
  <c r="G19"/>
  <c r="R23"/>
  <c r="O23"/>
  <c r="L23"/>
  <c r="I23"/>
  <c r="R22"/>
  <c r="O22"/>
  <c r="L22"/>
  <c r="I22"/>
  <c r="R24"/>
  <c r="O24"/>
  <c r="L24"/>
  <c r="R20"/>
  <c r="Q20"/>
  <c r="P20"/>
  <c r="O20"/>
  <c r="N20"/>
  <c r="M20"/>
  <c r="L20"/>
  <c r="K20"/>
  <c r="J20"/>
  <c r="I20"/>
  <c r="H20"/>
  <c r="G20"/>
  <c r="R7"/>
  <c r="Q7"/>
  <c r="P7"/>
  <c r="O7"/>
  <c r="N7"/>
  <c r="M7"/>
  <c r="L7"/>
  <c r="K7"/>
  <c r="J7"/>
  <c r="I7"/>
  <c r="H7"/>
  <c r="G7"/>
  <c r="G114" i="109"/>
  <c r="G112"/>
  <c r="G114" i="67"/>
  <c r="G112"/>
  <c r="G122" i="66"/>
  <c r="G120"/>
  <c r="G114"/>
  <c r="G112"/>
  <c r="G114" i="65"/>
  <c r="G112"/>
  <c r="G153" i="64"/>
  <c r="G148"/>
  <c r="G147"/>
  <c r="G114"/>
  <c r="G112"/>
  <c r="G23"/>
  <c r="G17"/>
  <c r="G15"/>
  <c r="G14"/>
  <c r="E114" i="109"/>
  <c r="E112"/>
  <c r="E114" i="67"/>
  <c r="E112"/>
  <c r="E148" i="64"/>
  <c r="E147"/>
  <c r="E153"/>
  <c r="E17"/>
  <c r="E14" i="61"/>
  <c r="E15"/>
  <c r="D34" i="118"/>
  <c r="F35" s="1"/>
  <c r="D33"/>
  <c r="F36" s="1"/>
  <c r="N36" s="1"/>
  <c r="F56" l="1"/>
  <c r="F57" s="1"/>
  <c r="F54"/>
  <c r="F55" s="1"/>
  <c r="F52"/>
  <c r="N52" s="1"/>
  <c r="F45"/>
  <c r="F40"/>
  <c r="N40" s="1"/>
  <c r="F50"/>
  <c r="F51" s="1"/>
  <c r="F53" l="1"/>
  <c r="N54"/>
  <c r="F41"/>
  <c r="N45"/>
  <c r="F46"/>
  <c r="D44" s="1"/>
  <c r="F26" l="1"/>
  <c r="N26" s="1"/>
  <c r="N22"/>
  <c r="N18"/>
  <c r="N9"/>
  <c r="F27" l="1"/>
  <c r="N27" s="1"/>
  <c r="G28" l="1"/>
  <c r="N28" s="1"/>
  <c r="F13" l="1"/>
  <c r="N13" s="1"/>
  <c r="G23"/>
  <c r="N23" s="1"/>
  <c r="F14" l="1"/>
  <c r="N14" s="1"/>
  <c r="G19"/>
  <c r="N19" s="1"/>
  <c r="G15" l="1"/>
  <c r="N15" s="1"/>
  <c r="G10"/>
  <c r="N10" l="1"/>
  <c r="F67"/>
  <c r="V133" i="85"/>
  <c r="V116"/>
  <c r="V93"/>
  <c r="V84"/>
  <c r="AG133"/>
  <c r="AG116"/>
  <c r="AG105"/>
  <c r="AI93"/>
  <c r="AG93"/>
  <c r="AI84"/>
  <c r="AE84"/>
  <c r="AN175" i="84"/>
  <c r="AN198"/>
  <c r="AF313"/>
  <c r="AF303"/>
  <c r="AF292"/>
  <c r="AF280"/>
  <c r="AF259"/>
  <c r="AF171"/>
  <c r="T310"/>
  <c r="P310"/>
  <c r="T289"/>
  <c r="P289"/>
  <c r="T275"/>
  <c r="P275"/>
  <c r="T255"/>
  <c r="P255"/>
  <c r="X171"/>
  <c r="T12"/>
  <c r="P18"/>
  <c r="E26" i="79"/>
  <c r="F20" i="78"/>
  <c r="F19"/>
  <c r="F18"/>
  <c r="E27" i="77"/>
  <c r="E93"/>
  <c r="E81"/>
  <c r="E10"/>
  <c r="D114" i="64"/>
  <c r="E19" i="74"/>
  <c r="E13"/>
  <c r="D8" i="72"/>
  <c r="C11" i="70"/>
  <c r="D134" i="109"/>
  <c r="D114"/>
  <c r="D112"/>
  <c r="D76"/>
  <c r="D134" i="97"/>
  <c r="D76"/>
  <c r="D134" i="67"/>
  <c r="D114"/>
  <c r="D112"/>
  <c r="D76"/>
  <c r="D134" i="66"/>
  <c r="D114"/>
  <c r="D112"/>
  <c r="D76"/>
  <c r="D134" i="65"/>
  <c r="D114"/>
  <c r="D112"/>
  <c r="D76"/>
  <c r="D239" i="64"/>
  <c r="D152"/>
  <c r="D148"/>
  <c r="D147"/>
  <c r="D145"/>
  <c r="D120"/>
  <c r="D112"/>
  <c r="D91"/>
  <c r="D76"/>
  <c r="D30"/>
  <c r="D23"/>
  <c r="D17"/>
  <c r="N67" i="118" l="1"/>
  <c r="G68"/>
  <c r="N68" s="1"/>
  <c r="G26" i="79"/>
  <c r="G25"/>
  <c r="E9"/>
  <c r="G9" s="1"/>
  <c r="D9"/>
  <c r="B20" i="78"/>
  <c r="H19"/>
  <c r="O19" s="1"/>
  <c r="P19" s="1"/>
  <c r="B19"/>
  <c r="H17"/>
  <c r="O17" s="1"/>
  <c r="P17" s="1"/>
  <c r="H18"/>
  <c r="J18" s="1"/>
  <c r="G15" i="75"/>
  <c r="G14"/>
  <c r="O8"/>
  <c r="R8"/>
  <c r="G239" i="64"/>
  <c r="H134" i="97"/>
  <c r="G152" i="64"/>
  <c r="G145"/>
  <c r="G120"/>
  <c r="G76"/>
  <c r="G30"/>
  <c r="G29"/>
  <c r="G19"/>
  <c r="G16"/>
  <c r="G13"/>
  <c r="E146"/>
  <c r="J17" i="78" l="1"/>
  <c r="J19"/>
  <c r="O18"/>
  <c r="P18" s="1"/>
  <c r="K34" i="118"/>
  <c r="K33"/>
  <c r="N35" l="1"/>
  <c r="G9" i="70" l="1"/>
  <c r="D9"/>
  <c r="C9"/>
  <c r="B9"/>
  <c r="E10"/>
  <c r="F10" s="1"/>
  <c r="I10" s="1"/>
  <c r="K10" s="1"/>
  <c r="N46" i="118"/>
  <c r="F9" i="70" l="1"/>
  <c r="X192" i="84"/>
  <c r="X188"/>
  <c r="X179"/>
  <c r="X291"/>
  <c r="AN196"/>
  <c r="AN171"/>
  <c r="AN302"/>
  <c r="AR171"/>
  <c r="AB9"/>
  <c r="E14" i="79"/>
  <c r="F48" i="78"/>
  <c r="F36"/>
  <c r="F13"/>
  <c r="D241" i="64"/>
  <c r="C75" i="70"/>
  <c r="D156" i="64"/>
  <c r="D141"/>
  <c r="D122"/>
  <c r="D48"/>
  <c r="H158" i="97" l="1"/>
  <c r="H155"/>
  <c r="G122" i="67"/>
  <c r="G120"/>
  <c r="G164" i="64"/>
  <c r="G161"/>
  <c r="G156"/>
  <c r="G158"/>
  <c r="G155"/>
  <c r="G141"/>
  <c r="G122"/>
  <c r="G49"/>
  <c r="G48"/>
  <c r="G104" i="91" l="1"/>
  <c r="G126"/>
  <c r="H126" s="1"/>
  <c r="J126" s="1"/>
  <c r="H124"/>
  <c r="J124" s="1"/>
  <c r="H122"/>
  <c r="H120"/>
  <c r="H118"/>
  <c r="H114"/>
  <c r="H112"/>
  <c r="H108"/>
  <c r="H106"/>
  <c r="H101"/>
  <c r="H99"/>
  <c r="H97"/>
  <c r="H83"/>
  <c r="H81"/>
  <c r="H78"/>
  <c r="H73"/>
  <c r="H71"/>
  <c r="H70"/>
  <c r="H69"/>
  <c r="H61"/>
  <c r="H57"/>
  <c r="H53"/>
  <c r="H51"/>
  <c r="H48"/>
  <c r="H47"/>
  <c r="H46"/>
  <c r="H45"/>
  <c r="H44"/>
  <c r="H43"/>
  <c r="H35"/>
  <c r="H31"/>
  <c r="H28"/>
  <c r="H22"/>
  <c r="H14"/>
  <c r="H12"/>
  <c r="H10"/>
  <c r="F116"/>
  <c r="H116" s="1"/>
  <c r="F110"/>
  <c r="F96"/>
  <c r="H96" s="1"/>
  <c r="F95"/>
  <c r="H95" s="1"/>
  <c r="F94"/>
  <c r="F93" s="1"/>
  <c r="F91"/>
  <c r="H91" s="1"/>
  <c r="F90"/>
  <c r="F86"/>
  <c r="F68"/>
  <c r="F63" s="1"/>
  <c r="F59"/>
  <c r="H59" s="1"/>
  <c r="F55"/>
  <c r="F50"/>
  <c r="F41"/>
  <c r="F38"/>
  <c r="H38" s="1"/>
  <c r="F33"/>
  <c r="F30" s="1"/>
  <c r="F26"/>
  <c r="H26" s="1"/>
  <c r="F24"/>
  <c r="H24" s="1"/>
  <c r="F20"/>
  <c r="H20" s="1"/>
  <c r="F18"/>
  <c r="H18" s="1"/>
  <c r="F16"/>
  <c r="F7" s="1"/>
  <c r="G93"/>
  <c r="G89"/>
  <c r="G68"/>
  <c r="G63" s="1"/>
  <c r="G55"/>
  <c r="G50"/>
  <c r="G41"/>
  <c r="G30"/>
  <c r="G7"/>
  <c r="E23" i="79"/>
  <c r="G23" s="1"/>
  <c r="D23"/>
  <c r="G24"/>
  <c r="H15" i="78"/>
  <c r="J15" s="1"/>
  <c r="H16"/>
  <c r="O16" s="1"/>
  <c r="P16" s="1"/>
  <c r="H14"/>
  <c r="J14" s="1"/>
  <c r="B13"/>
  <c r="B48"/>
  <c r="B36"/>
  <c r="I24" i="75"/>
  <c r="Q10"/>
  <c r="K8"/>
  <c r="I8"/>
  <c r="O14" i="78" l="1"/>
  <c r="P14" s="1"/>
  <c r="F104" i="91"/>
  <c r="H33"/>
  <c r="H110"/>
  <c r="H104" s="1"/>
  <c r="J16" i="78"/>
  <c r="H16" i="91"/>
  <c r="H94"/>
  <c r="F89"/>
  <c r="F76" s="1"/>
  <c r="H90"/>
  <c r="H86"/>
  <c r="K124"/>
  <c r="K126"/>
  <c r="F5"/>
  <c r="G76"/>
  <c r="G5"/>
  <c r="O15" i="78"/>
  <c r="P15" s="1"/>
  <c r="G241" i="64" l="1"/>
  <c r="D60" i="118"/>
  <c r="N51" l="1"/>
  <c r="N53" l="1"/>
  <c r="D49" l="1"/>
  <c r="AA232" i="85" l="1"/>
  <c r="AA244"/>
  <c r="AA254"/>
  <c r="AA264"/>
  <c r="AA272"/>
  <c r="AA280"/>
  <c r="U147"/>
  <c r="U77"/>
  <c r="U7"/>
  <c r="R147"/>
  <c r="R77"/>
  <c r="R7"/>
  <c r="Q147"/>
  <c r="I147"/>
  <c r="Q77"/>
  <c r="I77"/>
  <c r="Q7"/>
  <c r="I7"/>
  <c r="P147"/>
  <c r="H147"/>
  <c r="P77"/>
  <c r="H77"/>
  <c r="P7"/>
  <c r="H7"/>
  <c r="G147"/>
  <c r="G77"/>
  <c r="G7"/>
  <c r="O147"/>
  <c r="O77"/>
  <c r="O7"/>
  <c r="N147"/>
  <c r="F147"/>
  <c r="N77"/>
  <c r="F77"/>
  <c r="N7"/>
  <c r="F7"/>
  <c r="M147"/>
  <c r="E147"/>
  <c r="M77"/>
  <c r="E77"/>
  <c r="M7"/>
  <c r="E7"/>
  <c r="K147"/>
  <c r="K77"/>
  <c r="K7"/>
  <c r="L147"/>
  <c r="D147"/>
  <c r="D77"/>
  <c r="L77"/>
  <c r="L7"/>
  <c r="D7"/>
  <c r="C147"/>
  <c r="C77"/>
  <c r="C7"/>
  <c r="V68"/>
  <c r="V66"/>
  <c r="V69" s="1"/>
  <c r="V64"/>
  <c r="V60"/>
  <c r="V58"/>
  <c r="V56"/>
  <c r="V52"/>
  <c r="V50"/>
  <c r="V48"/>
  <c r="V42"/>
  <c r="V40"/>
  <c r="V38"/>
  <c r="V43" s="1"/>
  <c r="V32"/>
  <c r="V30"/>
  <c r="AI23"/>
  <c r="V23"/>
  <c r="V26" s="1"/>
  <c r="V20"/>
  <c r="V18"/>
  <c r="AI14"/>
  <c r="AE14"/>
  <c r="V14"/>
  <c r="V15" s="1"/>
  <c r="A8"/>
  <c r="L8" s="1"/>
  <c r="V138"/>
  <c r="V136"/>
  <c r="V134"/>
  <c r="V130"/>
  <c r="V128"/>
  <c r="V126"/>
  <c r="V131" s="1"/>
  <c r="V122"/>
  <c r="V120"/>
  <c r="V118"/>
  <c r="V112"/>
  <c r="V110"/>
  <c r="V108"/>
  <c r="V113" s="1"/>
  <c r="V102"/>
  <c r="V100"/>
  <c r="V96"/>
  <c r="V90"/>
  <c r="V88"/>
  <c r="V85"/>
  <c r="V91" s="1"/>
  <c r="A78"/>
  <c r="V208"/>
  <c r="V206"/>
  <c r="V204"/>
  <c r="V209" s="1"/>
  <c r="V200"/>
  <c r="V198"/>
  <c r="V196"/>
  <c r="V192"/>
  <c r="V190"/>
  <c r="V188"/>
  <c r="V193" s="1"/>
  <c r="V182"/>
  <c r="V180"/>
  <c r="V178"/>
  <c r="V172"/>
  <c r="V170"/>
  <c r="V166"/>
  <c r="V173" s="1"/>
  <c r="V160"/>
  <c r="V158"/>
  <c r="V155"/>
  <c r="A148"/>
  <c r="R318" i="84"/>
  <c r="Q318"/>
  <c r="R317"/>
  <c r="Q316"/>
  <c r="R315"/>
  <c r="R316" s="1"/>
  <c r="Q314"/>
  <c r="R313"/>
  <c r="R312"/>
  <c r="R311"/>
  <c r="R310"/>
  <c r="R309"/>
  <c r="R306"/>
  <c r="Q306"/>
  <c r="R305"/>
  <c r="Q304"/>
  <c r="R303"/>
  <c r="R302"/>
  <c r="R304" s="1"/>
  <c r="Q301"/>
  <c r="R300"/>
  <c r="R301" s="1"/>
  <c r="Q297"/>
  <c r="R296"/>
  <c r="R297" s="1"/>
  <c r="R295"/>
  <c r="Q295"/>
  <c r="R294"/>
  <c r="Q293"/>
  <c r="Q298" s="1"/>
  <c r="R292"/>
  <c r="R291"/>
  <c r="R290"/>
  <c r="R289"/>
  <c r="R288"/>
  <c r="Q285"/>
  <c r="R284"/>
  <c r="R285" s="1"/>
  <c r="Q283"/>
  <c r="R282"/>
  <c r="R283" s="1"/>
  <c r="Q281"/>
  <c r="Q286" s="1"/>
  <c r="R280"/>
  <c r="R279"/>
  <c r="R278"/>
  <c r="R277"/>
  <c r="R276"/>
  <c r="R275"/>
  <c r="Q272"/>
  <c r="R271"/>
  <c r="R270"/>
  <c r="R269"/>
  <c r="R268"/>
  <c r="R267"/>
  <c r="R266"/>
  <c r="R265"/>
  <c r="Q264"/>
  <c r="R263"/>
  <c r="R262"/>
  <c r="R264" s="1"/>
  <c r="R261"/>
  <c r="Q260"/>
  <c r="R259"/>
  <c r="R258"/>
  <c r="R257"/>
  <c r="R256"/>
  <c r="R255"/>
  <c r="Q252"/>
  <c r="R251"/>
  <c r="R252" s="1"/>
  <c r="Q250"/>
  <c r="R249"/>
  <c r="R248"/>
  <c r="R247"/>
  <c r="R246"/>
  <c r="R245"/>
  <c r="R244"/>
  <c r="R250" s="1"/>
  <c r="Q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U318"/>
  <c r="V317"/>
  <c r="V318" s="1"/>
  <c r="U316"/>
  <c r="V315"/>
  <c r="V316" s="1"/>
  <c r="U314"/>
  <c r="V313"/>
  <c r="V312"/>
  <c r="V311"/>
  <c r="V310"/>
  <c r="V309"/>
  <c r="U306"/>
  <c r="V305"/>
  <c r="V306" s="1"/>
  <c r="U304"/>
  <c r="V303"/>
  <c r="V302"/>
  <c r="V304" s="1"/>
  <c r="U301"/>
  <c r="V300"/>
  <c r="V301" s="1"/>
  <c r="V297"/>
  <c r="U297"/>
  <c r="V296"/>
  <c r="U295"/>
  <c r="V294"/>
  <c r="V295" s="1"/>
  <c r="U293"/>
  <c r="U298" s="1"/>
  <c r="V292"/>
  <c r="V291"/>
  <c r="V290"/>
  <c r="V289"/>
  <c r="V288"/>
  <c r="U285"/>
  <c r="V284"/>
  <c r="V285" s="1"/>
  <c r="U283"/>
  <c r="V282"/>
  <c r="V283" s="1"/>
  <c r="U281"/>
  <c r="V280"/>
  <c r="V279"/>
  <c r="V278"/>
  <c r="V277"/>
  <c r="V276"/>
  <c r="V275"/>
  <c r="U272"/>
  <c r="V271"/>
  <c r="V270"/>
  <c r="V269"/>
  <c r="V268"/>
  <c r="V267"/>
  <c r="V266"/>
  <c r="V265"/>
  <c r="U264"/>
  <c r="V263"/>
  <c r="V262"/>
  <c r="V264" s="1"/>
  <c r="V261"/>
  <c r="U260"/>
  <c r="V259"/>
  <c r="V258"/>
  <c r="V257"/>
  <c r="V256"/>
  <c r="V255"/>
  <c r="U252"/>
  <c r="V251"/>
  <c r="V252" s="1"/>
  <c r="U250"/>
  <c r="V249"/>
  <c r="V248"/>
  <c r="V247"/>
  <c r="V250" s="1"/>
  <c r="V246"/>
  <c r="V245"/>
  <c r="V244"/>
  <c r="U243"/>
  <c r="U253" s="1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Y318"/>
  <c r="Z317"/>
  <c r="Z318" s="1"/>
  <c r="Y316"/>
  <c r="Z315"/>
  <c r="Z316" s="1"/>
  <c r="Y314"/>
  <c r="Y319" s="1"/>
  <c r="Z313"/>
  <c r="Z312"/>
  <c r="Z311"/>
  <c r="Z310"/>
  <c r="Z309"/>
  <c r="Z314" s="1"/>
  <c r="Y306"/>
  <c r="Z305"/>
  <c r="Z306" s="1"/>
  <c r="Y304"/>
  <c r="Z303"/>
  <c r="Z302"/>
  <c r="Z301"/>
  <c r="Y301"/>
  <c r="Y307" s="1"/>
  <c r="Z300"/>
  <c r="Y297"/>
  <c r="Z296"/>
  <c r="Z297" s="1"/>
  <c r="Y295"/>
  <c r="Z294"/>
  <c r="Z295" s="1"/>
  <c r="Y293"/>
  <c r="Y298" s="1"/>
  <c r="Z292"/>
  <c r="Z291"/>
  <c r="Z290"/>
  <c r="Z289"/>
  <c r="Z288"/>
  <c r="Y285"/>
  <c r="Z284"/>
  <c r="Z285" s="1"/>
  <c r="Z283"/>
  <c r="Y283"/>
  <c r="Z282"/>
  <c r="Y281"/>
  <c r="Z280"/>
  <c r="Z279"/>
  <c r="Z278"/>
  <c r="Z277"/>
  <c r="Z276"/>
  <c r="Z275"/>
  <c r="Y272"/>
  <c r="Z271"/>
  <c r="Z270"/>
  <c r="Z269"/>
  <c r="Z268"/>
  <c r="Z267"/>
  <c r="Z266"/>
  <c r="Z265"/>
  <c r="Y264"/>
  <c r="Z263"/>
  <c r="Z262"/>
  <c r="Z261"/>
  <c r="Y260"/>
  <c r="Y273" s="1"/>
  <c r="Z259"/>
  <c r="Z258"/>
  <c r="Z257"/>
  <c r="Z256"/>
  <c r="Z255"/>
  <c r="Y252"/>
  <c r="Z251"/>
  <c r="Z252" s="1"/>
  <c r="Y250"/>
  <c r="Z249"/>
  <c r="Z248"/>
  <c r="Z247"/>
  <c r="Z246"/>
  <c r="Z245"/>
  <c r="Z250" s="1"/>
  <c r="Z244"/>
  <c r="Y243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AD318"/>
  <c r="AC318"/>
  <c r="AD317"/>
  <c r="AC316"/>
  <c r="AD315"/>
  <c r="AD316" s="1"/>
  <c r="AC314"/>
  <c r="AC319" s="1"/>
  <c r="AD313"/>
  <c r="AD312"/>
  <c r="AD311"/>
  <c r="AD310"/>
  <c r="AD309"/>
  <c r="AC306"/>
  <c r="AD305"/>
  <c r="AD306" s="1"/>
  <c r="AC304"/>
  <c r="AD303"/>
  <c r="AD302"/>
  <c r="AC301"/>
  <c r="AD300"/>
  <c r="AD301" s="1"/>
  <c r="AC297"/>
  <c r="AD296"/>
  <c r="AD297" s="1"/>
  <c r="AC295"/>
  <c r="AD294"/>
  <c r="AD295" s="1"/>
  <c r="AC293"/>
  <c r="AD292"/>
  <c r="AD291"/>
  <c r="AD293" s="1"/>
  <c r="AD290"/>
  <c r="AD289"/>
  <c r="AD288"/>
  <c r="AC285"/>
  <c r="AD284"/>
  <c r="AD285" s="1"/>
  <c r="AC283"/>
  <c r="AD282"/>
  <c r="AD283" s="1"/>
  <c r="AC281"/>
  <c r="AD280"/>
  <c r="AD279"/>
  <c r="AD278"/>
  <c r="AD281" s="1"/>
  <c r="AD277"/>
  <c r="AD276"/>
  <c r="AD275"/>
  <c r="AC272"/>
  <c r="AD271"/>
  <c r="AD270"/>
  <c r="AD269"/>
  <c r="AD268"/>
  <c r="AD267"/>
  <c r="AD266"/>
  <c r="AD265"/>
  <c r="AC264"/>
  <c r="AD263"/>
  <c r="AD262"/>
  <c r="AD261"/>
  <c r="AC260"/>
  <c r="AC273" s="1"/>
  <c r="AD259"/>
  <c r="AD258"/>
  <c r="AD257"/>
  <c r="AD256"/>
  <c r="AD255"/>
  <c r="AC252"/>
  <c r="AD251"/>
  <c r="AD252" s="1"/>
  <c r="AC250"/>
  <c r="AD249"/>
  <c r="AD248"/>
  <c r="AD247"/>
  <c r="AD246"/>
  <c r="AD245"/>
  <c r="AD250" s="1"/>
  <c r="AD244"/>
  <c r="AC243"/>
  <c r="AC253" s="1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H318"/>
  <c r="AG318"/>
  <c r="AH317"/>
  <c r="AG316"/>
  <c r="AH315"/>
  <c r="AH316" s="1"/>
  <c r="AG314"/>
  <c r="AG319" s="1"/>
  <c r="AH313"/>
  <c r="AH312"/>
  <c r="AH311"/>
  <c r="AH310"/>
  <c r="AH309"/>
  <c r="AG306"/>
  <c r="AH305"/>
  <c r="AH306" s="1"/>
  <c r="AG304"/>
  <c r="AH303"/>
  <c r="AH302"/>
  <c r="AG301"/>
  <c r="AH300"/>
  <c r="AH301" s="1"/>
  <c r="AG297"/>
  <c r="AH296"/>
  <c r="AH297" s="1"/>
  <c r="AG295"/>
  <c r="AH294"/>
  <c r="AH295" s="1"/>
  <c r="AG293"/>
  <c r="AH292"/>
  <c r="AH291"/>
  <c r="AH290"/>
  <c r="AH289"/>
  <c r="AH288"/>
  <c r="AG285"/>
  <c r="AH284"/>
  <c r="AH285" s="1"/>
  <c r="AG283"/>
  <c r="AH282"/>
  <c r="AH283" s="1"/>
  <c r="AG281"/>
  <c r="AH280"/>
  <c r="AH279"/>
  <c r="AH278"/>
  <c r="AH277"/>
  <c r="AH276"/>
  <c r="AH275"/>
  <c r="AG272"/>
  <c r="AH271"/>
  <c r="AH270"/>
  <c r="AH269"/>
  <c r="AH268"/>
  <c r="AH267"/>
  <c r="AH266"/>
  <c r="AH265"/>
  <c r="AG264"/>
  <c r="AH263"/>
  <c r="AH262"/>
  <c r="AH261"/>
  <c r="AG260"/>
  <c r="AG273" s="1"/>
  <c r="AH259"/>
  <c r="AH258"/>
  <c r="AH257"/>
  <c r="AH256"/>
  <c r="AH255"/>
  <c r="AG252"/>
  <c r="AH251"/>
  <c r="AH252" s="1"/>
  <c r="AH250"/>
  <c r="AG250"/>
  <c r="AH249"/>
  <c r="AH248"/>
  <c r="AH247"/>
  <c r="AH246"/>
  <c r="AH245"/>
  <c r="AH244"/>
  <c r="AG243"/>
  <c r="AG253" s="1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O318"/>
  <c r="AP317"/>
  <c r="AP318" s="1"/>
  <c r="AP316"/>
  <c r="AO316"/>
  <c r="AP315"/>
  <c r="AO314"/>
  <c r="AP313"/>
  <c r="AP312"/>
  <c r="AP311"/>
  <c r="AP310"/>
  <c r="AP309"/>
  <c r="AO306"/>
  <c r="AP305"/>
  <c r="AP306" s="1"/>
  <c r="AP304"/>
  <c r="AO304"/>
  <c r="AP303"/>
  <c r="AP302"/>
  <c r="AP301"/>
  <c r="AO301"/>
  <c r="AP300"/>
  <c r="AO297"/>
  <c r="AP296"/>
  <c r="AP297" s="1"/>
  <c r="AO295"/>
  <c r="AP294"/>
  <c r="AP295" s="1"/>
  <c r="AO293"/>
  <c r="AP292"/>
  <c r="AP291"/>
  <c r="AP290"/>
  <c r="AP289"/>
  <c r="AP288"/>
  <c r="AO285"/>
  <c r="AP284"/>
  <c r="AP285" s="1"/>
  <c r="AO283"/>
  <c r="AP282"/>
  <c r="AP283" s="1"/>
  <c r="AO281"/>
  <c r="AO286" s="1"/>
  <c r="AP280"/>
  <c r="AP279"/>
  <c r="AP278"/>
  <c r="AP277"/>
  <c r="AP276"/>
  <c r="AP275"/>
  <c r="AO272"/>
  <c r="AP271"/>
  <c r="AP270"/>
  <c r="AP269"/>
  <c r="AP268"/>
  <c r="AP267"/>
  <c r="AP266"/>
  <c r="AP265"/>
  <c r="AO264"/>
  <c r="AP263"/>
  <c r="AP262"/>
  <c r="AP261"/>
  <c r="AP264" s="1"/>
  <c r="AO260"/>
  <c r="AO273" s="1"/>
  <c r="AP259"/>
  <c r="AP258"/>
  <c r="AP257"/>
  <c r="AP256"/>
  <c r="AP255"/>
  <c r="AO252"/>
  <c r="AP251"/>
  <c r="AP252" s="1"/>
  <c r="AO250"/>
  <c r="AP249"/>
  <c r="AP248"/>
  <c r="AP247"/>
  <c r="AP246"/>
  <c r="AP245"/>
  <c r="AP244"/>
  <c r="AO243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S318"/>
  <c r="AT317"/>
  <c r="AT318" s="1"/>
  <c r="AS316"/>
  <c r="AT315"/>
  <c r="AT316" s="1"/>
  <c r="AS314"/>
  <c r="AS319" s="1"/>
  <c r="AT313"/>
  <c r="AT312"/>
  <c r="AT311"/>
  <c r="AT310"/>
  <c r="AT309"/>
  <c r="AS306"/>
  <c r="AT305"/>
  <c r="AT306" s="1"/>
  <c r="AS304"/>
  <c r="AT303"/>
  <c r="AT302"/>
  <c r="AT304" s="1"/>
  <c r="AS301"/>
  <c r="AT300"/>
  <c r="AT301" s="1"/>
  <c r="AS297"/>
  <c r="AT296"/>
  <c r="AT297" s="1"/>
  <c r="AS295"/>
  <c r="AT294"/>
  <c r="AT295" s="1"/>
  <c r="AS293"/>
  <c r="AT292"/>
  <c r="AT291"/>
  <c r="AT290"/>
  <c r="AT289"/>
  <c r="AT288"/>
  <c r="AS285"/>
  <c r="AT284"/>
  <c r="AT285" s="1"/>
  <c r="AS283"/>
  <c r="AT282"/>
  <c r="AT283" s="1"/>
  <c r="AS281"/>
  <c r="AT280"/>
  <c r="AT279"/>
  <c r="AT278"/>
  <c r="AT277"/>
  <c r="AT276"/>
  <c r="AT275"/>
  <c r="AS272"/>
  <c r="AT271"/>
  <c r="AT270"/>
  <c r="AT269"/>
  <c r="AT268"/>
  <c r="AT267"/>
  <c r="AT266"/>
  <c r="AT265"/>
  <c r="AS264"/>
  <c r="AT263"/>
  <c r="AT262"/>
  <c r="AT261"/>
  <c r="AS260"/>
  <c r="AS273" s="1"/>
  <c r="AT259"/>
  <c r="AT258"/>
  <c r="AT257"/>
  <c r="AT256"/>
  <c r="AT255"/>
  <c r="AS252"/>
  <c r="AT251"/>
  <c r="AT252" s="1"/>
  <c r="AS250"/>
  <c r="AT249"/>
  <c r="AT248"/>
  <c r="AT247"/>
  <c r="AT246"/>
  <c r="AT245"/>
  <c r="AT244"/>
  <c r="AS243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W318"/>
  <c r="AX317"/>
  <c r="AX318" s="1"/>
  <c r="AW316"/>
  <c r="AX315"/>
  <c r="AX316" s="1"/>
  <c r="AW314"/>
  <c r="AX313"/>
  <c r="AX312"/>
  <c r="AX311"/>
  <c r="AX310"/>
  <c r="AX309"/>
  <c r="AW306"/>
  <c r="AX305"/>
  <c r="AX306" s="1"/>
  <c r="AW304"/>
  <c r="AX303"/>
  <c r="AX302"/>
  <c r="AW301"/>
  <c r="AX300"/>
  <c r="AX301" s="1"/>
  <c r="AX297"/>
  <c r="AW297"/>
  <c r="AX296"/>
  <c r="AX295"/>
  <c r="AW295"/>
  <c r="AX294"/>
  <c r="AW293"/>
  <c r="AX292"/>
  <c r="AX291"/>
  <c r="AX293" s="1"/>
  <c r="AX298" s="1"/>
  <c r="AX290"/>
  <c r="AX289"/>
  <c r="AX288"/>
  <c r="AW285"/>
  <c r="AX284"/>
  <c r="AX285" s="1"/>
  <c r="AW283"/>
  <c r="AX282"/>
  <c r="AX283" s="1"/>
  <c r="AW281"/>
  <c r="AW286" s="1"/>
  <c r="AX280"/>
  <c r="AX279"/>
  <c r="AX278"/>
  <c r="AX277"/>
  <c r="AX276"/>
  <c r="AX275"/>
  <c r="AW272"/>
  <c r="AX271"/>
  <c r="AX270"/>
  <c r="AX269"/>
  <c r="AX268"/>
  <c r="AX267"/>
  <c r="AX266"/>
  <c r="AX265"/>
  <c r="AW264"/>
  <c r="AX263"/>
  <c r="AX262"/>
  <c r="AX261"/>
  <c r="AX264" s="1"/>
  <c r="AW260"/>
  <c r="AX259"/>
  <c r="AX258"/>
  <c r="AX257"/>
  <c r="AX256"/>
  <c r="AX255"/>
  <c r="AW252"/>
  <c r="AX251"/>
  <c r="AX252" s="1"/>
  <c r="AW250"/>
  <c r="AX249"/>
  <c r="AX248"/>
  <c r="AX247"/>
  <c r="AX246"/>
  <c r="AX245"/>
  <c r="AX244"/>
  <c r="AX250" s="1"/>
  <c r="AW243"/>
  <c r="AW253" s="1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171"/>
  <c r="AX170"/>
  <c r="AS156"/>
  <c r="AT155"/>
  <c r="AT156" s="1"/>
  <c r="AS154"/>
  <c r="AT153"/>
  <c r="AT154" s="1"/>
  <c r="AS152"/>
  <c r="AS157" s="1"/>
  <c r="AT151"/>
  <c r="AT150"/>
  <c r="AT149"/>
  <c r="AT148"/>
  <c r="AT147"/>
  <c r="AS144"/>
  <c r="AT143"/>
  <c r="AT144" s="1"/>
  <c r="AS142"/>
  <c r="AT141"/>
  <c r="AT140"/>
  <c r="AT142" s="1"/>
  <c r="AT139"/>
  <c r="AS139"/>
  <c r="AS145" s="1"/>
  <c r="AT138"/>
  <c r="AS135"/>
  <c r="AT134"/>
  <c r="AT135" s="1"/>
  <c r="AS133"/>
  <c r="AT132"/>
  <c r="AT133" s="1"/>
  <c r="AS131"/>
  <c r="AS136" s="1"/>
  <c r="AT130"/>
  <c r="AT129"/>
  <c r="AT128"/>
  <c r="AT127"/>
  <c r="AT126"/>
  <c r="AS123"/>
  <c r="AT122"/>
  <c r="AT123" s="1"/>
  <c r="AT121"/>
  <c r="AS121"/>
  <c r="AT120"/>
  <c r="AS119"/>
  <c r="AS124" s="1"/>
  <c r="AT118"/>
  <c r="AT117"/>
  <c r="AT116"/>
  <c r="AT115"/>
  <c r="AT114"/>
  <c r="AT113"/>
  <c r="AS110"/>
  <c r="AT109"/>
  <c r="AT108"/>
  <c r="AT107"/>
  <c r="AT106"/>
  <c r="AT105"/>
  <c r="AT104"/>
  <c r="AT103"/>
  <c r="AS102"/>
  <c r="AT101"/>
  <c r="AT100"/>
  <c r="AT99"/>
  <c r="AS98"/>
  <c r="AS111" s="1"/>
  <c r="AT97"/>
  <c r="AT96"/>
  <c r="AT95"/>
  <c r="AT94"/>
  <c r="AT93"/>
  <c r="AT98" s="1"/>
  <c r="AS90"/>
  <c r="AT89"/>
  <c r="AT90" s="1"/>
  <c r="AS88"/>
  <c r="AT87"/>
  <c r="AT86"/>
  <c r="AT85"/>
  <c r="AT84"/>
  <c r="AT83"/>
  <c r="AT82"/>
  <c r="AT88" s="1"/>
  <c r="AS81"/>
  <c r="AS91" s="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81" s="1"/>
  <c r="AT9"/>
  <c r="AT8"/>
  <c r="AO156"/>
  <c r="AP155"/>
  <c r="AP156" s="1"/>
  <c r="AO154"/>
  <c r="AP153"/>
  <c r="AP154" s="1"/>
  <c r="AO152"/>
  <c r="AO157" s="1"/>
  <c r="AP151"/>
  <c r="AP150"/>
  <c r="AP149"/>
  <c r="AP148"/>
  <c r="AP147"/>
  <c r="AO144"/>
  <c r="AP143"/>
  <c r="AP144" s="1"/>
  <c r="AP142"/>
  <c r="AO142"/>
  <c r="AP141"/>
  <c r="AP140"/>
  <c r="AO139"/>
  <c r="AO145" s="1"/>
  <c r="AP138"/>
  <c r="AP139" s="1"/>
  <c r="AO135"/>
  <c r="AP134"/>
  <c r="AP135" s="1"/>
  <c r="AO133"/>
  <c r="AP132"/>
  <c r="AP133" s="1"/>
  <c r="AO131"/>
  <c r="AO136" s="1"/>
  <c r="AP130"/>
  <c r="AP129"/>
  <c r="AP128"/>
  <c r="AP127"/>
  <c r="AP126"/>
  <c r="AO123"/>
  <c r="AP122"/>
  <c r="AP123" s="1"/>
  <c r="AO121"/>
  <c r="AP120"/>
  <c r="AP121" s="1"/>
  <c r="AO119"/>
  <c r="AP118"/>
  <c r="AP117"/>
  <c r="AP116"/>
  <c r="AP115"/>
  <c r="AP114"/>
  <c r="AP113"/>
  <c r="AO110"/>
  <c r="AP109"/>
  <c r="AP108"/>
  <c r="AP107"/>
  <c r="AP106"/>
  <c r="AP105"/>
  <c r="AP104"/>
  <c r="AP103"/>
  <c r="AO102"/>
  <c r="AP101"/>
  <c r="AP100"/>
  <c r="AP99"/>
  <c r="AP102" s="1"/>
  <c r="AO98"/>
  <c r="AO111" s="1"/>
  <c r="AP97"/>
  <c r="AP96"/>
  <c r="AP95"/>
  <c r="AP94"/>
  <c r="AP93"/>
  <c r="AP98" s="1"/>
  <c r="AO90"/>
  <c r="AP89"/>
  <c r="AP90" s="1"/>
  <c r="AO88"/>
  <c r="AP87"/>
  <c r="AP86"/>
  <c r="AP85"/>
  <c r="AP84"/>
  <c r="AP83"/>
  <c r="AP82"/>
  <c r="AO81"/>
  <c r="AO91" s="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K156"/>
  <c r="AL155"/>
  <c r="AL156" s="1"/>
  <c r="AK154"/>
  <c r="AL153"/>
  <c r="AL154" s="1"/>
  <c r="AK152"/>
  <c r="AK157" s="1"/>
  <c r="AL151"/>
  <c r="AL150"/>
  <c r="AL149"/>
  <c r="AL148"/>
  <c r="AL147"/>
  <c r="AL152" s="1"/>
  <c r="AK144"/>
  <c r="AL143"/>
  <c r="AL144" s="1"/>
  <c r="AK142"/>
  <c r="AL141"/>
  <c r="AL140"/>
  <c r="AL142" s="1"/>
  <c r="AK139"/>
  <c r="AL138"/>
  <c r="AL139" s="1"/>
  <c r="AK135"/>
  <c r="AL134"/>
  <c r="AL135" s="1"/>
  <c r="AK133"/>
  <c r="AL132"/>
  <c r="AL133" s="1"/>
  <c r="AK131"/>
  <c r="AK136" s="1"/>
  <c r="AL130"/>
  <c r="AL129"/>
  <c r="AL128"/>
  <c r="AL127"/>
  <c r="AL126"/>
  <c r="AL131" s="1"/>
  <c r="AL136" s="1"/>
  <c r="AK123"/>
  <c r="AL122"/>
  <c r="AL123" s="1"/>
  <c r="AL121"/>
  <c r="AK121"/>
  <c r="AL120"/>
  <c r="AK119"/>
  <c r="AK124" s="1"/>
  <c r="AL118"/>
  <c r="AL117"/>
  <c r="AL116"/>
  <c r="AL115"/>
  <c r="AL114"/>
  <c r="AL113"/>
  <c r="AL119" s="1"/>
  <c r="AK110"/>
  <c r="AL109"/>
  <c r="AL108"/>
  <c r="AL107"/>
  <c r="AL106"/>
  <c r="AL105"/>
  <c r="AL104"/>
  <c r="AL103"/>
  <c r="AK102"/>
  <c r="AL101"/>
  <c r="AL102" s="1"/>
  <c r="AL100"/>
  <c r="AL99"/>
  <c r="AK98"/>
  <c r="AK111" s="1"/>
  <c r="AL97"/>
  <c r="AL96"/>
  <c r="AL95"/>
  <c r="AL94"/>
  <c r="AL93"/>
  <c r="AL98" s="1"/>
  <c r="AK90"/>
  <c r="AL89"/>
  <c r="AL90" s="1"/>
  <c r="AK88"/>
  <c r="AL87"/>
  <c r="AL86"/>
  <c r="AL85"/>
  <c r="AL84"/>
  <c r="AL83"/>
  <c r="AL82"/>
  <c r="AK81"/>
  <c r="AK91" s="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C156"/>
  <c r="AD155"/>
  <c r="AD156" s="1"/>
  <c r="AD154"/>
  <c r="AC154"/>
  <c r="AD153"/>
  <c r="AC152"/>
  <c r="AD151"/>
  <c r="AD150"/>
  <c r="AD149"/>
  <c r="AD148"/>
  <c r="AD147"/>
  <c r="AD144"/>
  <c r="AC144"/>
  <c r="AD143"/>
  <c r="AD142"/>
  <c r="AC142"/>
  <c r="AD141"/>
  <c r="AD140"/>
  <c r="AD139"/>
  <c r="AC139"/>
  <c r="AC145" s="1"/>
  <c r="AD138"/>
  <c r="AD135"/>
  <c r="AC135"/>
  <c r="AD134"/>
  <c r="AC133"/>
  <c r="AD132"/>
  <c r="AD133" s="1"/>
  <c r="AC131"/>
  <c r="AC136" s="1"/>
  <c r="AD130"/>
  <c r="AD129"/>
  <c r="AD128"/>
  <c r="AD127"/>
  <c r="AD126"/>
  <c r="AC123"/>
  <c r="AD122"/>
  <c r="AD123" s="1"/>
  <c r="AC121"/>
  <c r="AD120"/>
  <c r="AD121" s="1"/>
  <c r="AC119"/>
  <c r="AC124" s="1"/>
  <c r="AD118"/>
  <c r="AD117"/>
  <c r="AD116"/>
  <c r="AD115"/>
  <c r="AD114"/>
  <c r="AD113"/>
  <c r="AC110"/>
  <c r="AD109"/>
  <c r="AD108"/>
  <c r="AD107"/>
  <c r="AD106"/>
  <c r="AD105"/>
  <c r="AD104"/>
  <c r="AD103"/>
  <c r="AD102"/>
  <c r="AC102"/>
  <c r="AD101"/>
  <c r="AD100"/>
  <c r="AD99"/>
  <c r="AC98"/>
  <c r="AC111" s="1"/>
  <c r="AD97"/>
  <c r="AD96"/>
  <c r="AD95"/>
  <c r="AD94"/>
  <c r="AD93"/>
  <c r="AC90"/>
  <c r="AD89"/>
  <c r="AD90" s="1"/>
  <c r="AC88"/>
  <c r="AD87"/>
  <c r="AD86"/>
  <c r="AD85"/>
  <c r="AD84"/>
  <c r="AD83"/>
  <c r="AD82"/>
  <c r="AC81"/>
  <c r="AC91" s="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Z156"/>
  <c r="Y156"/>
  <c r="Z155"/>
  <c r="Y154"/>
  <c r="Z153"/>
  <c r="Z154" s="1"/>
  <c r="Y152"/>
  <c r="Y157" s="1"/>
  <c r="Z151"/>
  <c r="Z150"/>
  <c r="Z149"/>
  <c r="Z148"/>
  <c r="Z147"/>
  <c r="Z152" s="1"/>
  <c r="Y144"/>
  <c r="Z143"/>
  <c r="Z144" s="1"/>
  <c r="Y142"/>
  <c r="Z141"/>
  <c r="Z140"/>
  <c r="Z142" s="1"/>
  <c r="Y139"/>
  <c r="Z138"/>
  <c r="Z139" s="1"/>
  <c r="Y135"/>
  <c r="Z134"/>
  <c r="Z135" s="1"/>
  <c r="Z133"/>
  <c r="Y133"/>
  <c r="Z132"/>
  <c r="Y131"/>
  <c r="Y136" s="1"/>
  <c r="Z130"/>
  <c r="Z129"/>
  <c r="Z128"/>
  <c r="Z127"/>
  <c r="Z126"/>
  <c r="Y123"/>
  <c r="Z122"/>
  <c r="Z123" s="1"/>
  <c r="Z121"/>
  <c r="Y121"/>
  <c r="Z120"/>
  <c r="Y119"/>
  <c r="Z118"/>
  <c r="Z117"/>
  <c r="Z116"/>
  <c r="Z115"/>
  <c r="Z114"/>
  <c r="Z113"/>
  <c r="Y110"/>
  <c r="Z109"/>
  <c r="Z108"/>
  <c r="Z107"/>
  <c r="Z106"/>
  <c r="Z105"/>
  <c r="Z104"/>
  <c r="Z103"/>
  <c r="Z110" s="1"/>
  <c r="Y102"/>
  <c r="Z101"/>
  <c r="Z100"/>
  <c r="Z99"/>
  <c r="Z102" s="1"/>
  <c r="Y98"/>
  <c r="Y111" s="1"/>
  <c r="Z97"/>
  <c r="Z96"/>
  <c r="Z95"/>
  <c r="Z94"/>
  <c r="Z93"/>
  <c r="Y90"/>
  <c r="Z89"/>
  <c r="Z90" s="1"/>
  <c r="Y88"/>
  <c r="Z87"/>
  <c r="Z86"/>
  <c r="Z85"/>
  <c r="Z84"/>
  <c r="Z83"/>
  <c r="Z82"/>
  <c r="Z88" s="1"/>
  <c r="Y81"/>
  <c r="Y91" s="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V156"/>
  <c r="U156"/>
  <c r="V155"/>
  <c r="U154"/>
  <c r="V153"/>
  <c r="V154" s="1"/>
  <c r="U152"/>
  <c r="V151"/>
  <c r="V150"/>
  <c r="V149"/>
  <c r="V148"/>
  <c r="V147"/>
  <c r="U144"/>
  <c r="V143"/>
  <c r="V144" s="1"/>
  <c r="U142"/>
  <c r="V141"/>
  <c r="V140"/>
  <c r="U139"/>
  <c r="U145" s="1"/>
  <c r="V138"/>
  <c r="V139" s="1"/>
  <c r="U135"/>
  <c r="V134"/>
  <c r="V135" s="1"/>
  <c r="U133"/>
  <c r="V132"/>
  <c r="V133" s="1"/>
  <c r="U131"/>
  <c r="U136" s="1"/>
  <c r="V130"/>
  <c r="V129"/>
  <c r="V128"/>
  <c r="V127"/>
  <c r="V126"/>
  <c r="U123"/>
  <c r="V122"/>
  <c r="V123" s="1"/>
  <c r="V121"/>
  <c r="U121"/>
  <c r="V120"/>
  <c r="U119"/>
  <c r="V118"/>
  <c r="V117"/>
  <c r="V116"/>
  <c r="V115"/>
  <c r="V114"/>
  <c r="V113"/>
  <c r="U110"/>
  <c r="V109"/>
  <c r="V108"/>
  <c r="V107"/>
  <c r="V106"/>
  <c r="V105"/>
  <c r="V104"/>
  <c r="V103"/>
  <c r="V110" s="1"/>
  <c r="U102"/>
  <c r="V101"/>
  <c r="V100"/>
  <c r="V99"/>
  <c r="U98"/>
  <c r="U111" s="1"/>
  <c r="V97"/>
  <c r="V96"/>
  <c r="V95"/>
  <c r="V94"/>
  <c r="V93"/>
  <c r="U90"/>
  <c r="V89"/>
  <c r="V90" s="1"/>
  <c r="U88"/>
  <c r="V87"/>
  <c r="V86"/>
  <c r="V85"/>
  <c r="V84"/>
  <c r="V83"/>
  <c r="V88" s="1"/>
  <c r="V82"/>
  <c r="U81"/>
  <c r="U91" s="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R155"/>
  <c r="R153"/>
  <c r="R151"/>
  <c r="R150"/>
  <c r="R149"/>
  <c r="R148"/>
  <c r="R147"/>
  <c r="R143"/>
  <c r="R141"/>
  <c r="R140"/>
  <c r="R138"/>
  <c r="R134"/>
  <c r="R132"/>
  <c r="R130"/>
  <c r="R129"/>
  <c r="R128"/>
  <c r="R127"/>
  <c r="R126"/>
  <c r="R122"/>
  <c r="R120"/>
  <c r="R118"/>
  <c r="R117"/>
  <c r="R116"/>
  <c r="R115"/>
  <c r="R114"/>
  <c r="R113"/>
  <c r="R109"/>
  <c r="R108"/>
  <c r="R107"/>
  <c r="R106"/>
  <c r="R105"/>
  <c r="R104"/>
  <c r="R103"/>
  <c r="R101"/>
  <c r="R100"/>
  <c r="R99"/>
  <c r="R97"/>
  <c r="R96"/>
  <c r="R95"/>
  <c r="R94"/>
  <c r="R93"/>
  <c r="R89"/>
  <c r="R87"/>
  <c r="R86"/>
  <c r="R85"/>
  <c r="R84"/>
  <c r="R83"/>
  <c r="R82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K317"/>
  <c r="K315"/>
  <c r="K316" s="1"/>
  <c r="K313"/>
  <c r="K312"/>
  <c r="K311"/>
  <c r="K310"/>
  <c r="K309"/>
  <c r="K305"/>
  <c r="K306" s="1"/>
  <c r="K303"/>
  <c r="K302"/>
  <c r="K304" s="1"/>
  <c r="K300"/>
  <c r="K296"/>
  <c r="K297" s="1"/>
  <c r="K294"/>
  <c r="K295" s="1"/>
  <c r="K292"/>
  <c r="K291"/>
  <c r="K290"/>
  <c r="K289"/>
  <c r="K288"/>
  <c r="K284"/>
  <c r="K283"/>
  <c r="K282"/>
  <c r="K280"/>
  <c r="K279"/>
  <c r="K278"/>
  <c r="K277"/>
  <c r="K276"/>
  <c r="K275"/>
  <c r="K271"/>
  <c r="K272" s="1"/>
  <c r="K270"/>
  <c r="K269"/>
  <c r="K268"/>
  <c r="K267"/>
  <c r="K266"/>
  <c r="K265"/>
  <c r="K263"/>
  <c r="K262"/>
  <c r="K261"/>
  <c r="K259"/>
  <c r="K258"/>
  <c r="K257"/>
  <c r="K256"/>
  <c r="K255"/>
  <c r="K251"/>
  <c r="K252" s="1"/>
  <c r="K249"/>
  <c r="K248"/>
  <c r="K247"/>
  <c r="K246"/>
  <c r="K245"/>
  <c r="K244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G193" s="1"/>
  <c r="K192"/>
  <c r="K191"/>
  <c r="K190"/>
  <c r="K189"/>
  <c r="K188"/>
  <c r="K187"/>
  <c r="K186"/>
  <c r="K185"/>
  <c r="G185" s="1"/>
  <c r="K184"/>
  <c r="K183"/>
  <c r="K182"/>
  <c r="K181"/>
  <c r="K180"/>
  <c r="K179"/>
  <c r="K178"/>
  <c r="K177"/>
  <c r="G177" s="1"/>
  <c r="K176"/>
  <c r="K175"/>
  <c r="K174"/>
  <c r="K173"/>
  <c r="K172"/>
  <c r="K171"/>
  <c r="K170"/>
  <c r="K155"/>
  <c r="K156" s="1"/>
  <c r="K153"/>
  <c r="K154" s="1"/>
  <c r="K151"/>
  <c r="K150"/>
  <c r="K149"/>
  <c r="K148"/>
  <c r="K147"/>
  <c r="K143"/>
  <c r="K144" s="1"/>
  <c r="K141"/>
  <c r="G141" s="1"/>
  <c r="K140"/>
  <c r="K138"/>
  <c r="K139" s="1"/>
  <c r="K134"/>
  <c r="K135" s="1"/>
  <c r="K132"/>
  <c r="K130"/>
  <c r="K129"/>
  <c r="K128"/>
  <c r="K127"/>
  <c r="G127" s="1"/>
  <c r="K126"/>
  <c r="K122"/>
  <c r="K120"/>
  <c r="K118"/>
  <c r="K117"/>
  <c r="K116"/>
  <c r="K115"/>
  <c r="K114"/>
  <c r="G114" s="1"/>
  <c r="K113"/>
  <c r="K109"/>
  <c r="K108"/>
  <c r="G108" s="1"/>
  <c r="K107"/>
  <c r="K106"/>
  <c r="K105"/>
  <c r="K104"/>
  <c r="K103"/>
  <c r="K101"/>
  <c r="K100"/>
  <c r="K99"/>
  <c r="K97"/>
  <c r="K96"/>
  <c r="K95"/>
  <c r="K94"/>
  <c r="K93"/>
  <c r="G93" s="1"/>
  <c r="K89"/>
  <c r="K87"/>
  <c r="K86"/>
  <c r="K85"/>
  <c r="K84"/>
  <c r="K83"/>
  <c r="K82"/>
  <c r="K80"/>
  <c r="G80" s="1"/>
  <c r="K79"/>
  <c r="K78"/>
  <c r="K77"/>
  <c r="K76"/>
  <c r="K75"/>
  <c r="K74"/>
  <c r="K73"/>
  <c r="K72"/>
  <c r="G72" s="1"/>
  <c r="K71"/>
  <c r="K70"/>
  <c r="K69"/>
  <c r="K68"/>
  <c r="K67"/>
  <c r="K66"/>
  <c r="K65"/>
  <c r="K64"/>
  <c r="G64" s="1"/>
  <c r="K63"/>
  <c r="K62"/>
  <c r="K61"/>
  <c r="K60"/>
  <c r="K59"/>
  <c r="K58"/>
  <c r="K57"/>
  <c r="K56"/>
  <c r="G56" s="1"/>
  <c r="K55"/>
  <c r="K54"/>
  <c r="K53"/>
  <c r="K52"/>
  <c r="K51"/>
  <c r="K50"/>
  <c r="K49"/>
  <c r="K48"/>
  <c r="G48" s="1"/>
  <c r="K47"/>
  <c r="K46"/>
  <c r="K45"/>
  <c r="K44"/>
  <c r="K43"/>
  <c r="K42"/>
  <c r="K41"/>
  <c r="K40"/>
  <c r="G40" s="1"/>
  <c r="K39"/>
  <c r="G39" s="1"/>
  <c r="K38"/>
  <c r="K37"/>
  <c r="K36"/>
  <c r="K35"/>
  <c r="K34"/>
  <c r="K33"/>
  <c r="K32"/>
  <c r="G32" s="1"/>
  <c r="K31"/>
  <c r="K30"/>
  <c r="K29"/>
  <c r="K28"/>
  <c r="K27"/>
  <c r="K26"/>
  <c r="K25"/>
  <c r="K24"/>
  <c r="G24" s="1"/>
  <c r="K23"/>
  <c r="K22"/>
  <c r="K21"/>
  <c r="K20"/>
  <c r="K19"/>
  <c r="K18"/>
  <c r="K17"/>
  <c r="K16"/>
  <c r="G16" s="1"/>
  <c r="K15"/>
  <c r="K14"/>
  <c r="K13"/>
  <c r="K12"/>
  <c r="K11"/>
  <c r="K10"/>
  <c r="K9"/>
  <c r="K8"/>
  <c r="G8" s="1"/>
  <c r="L317"/>
  <c r="L315"/>
  <c r="L316" s="1"/>
  <c r="L313"/>
  <c r="L312"/>
  <c r="L311"/>
  <c r="L310"/>
  <c r="L309"/>
  <c r="L305"/>
  <c r="L306" s="1"/>
  <c r="L303"/>
  <c r="L302"/>
  <c r="L300"/>
  <c r="L301" s="1"/>
  <c r="L296"/>
  <c r="L297" s="1"/>
  <c r="L294"/>
  <c r="L295" s="1"/>
  <c r="L292"/>
  <c r="L291"/>
  <c r="L290"/>
  <c r="H290" s="1"/>
  <c r="L289"/>
  <c r="L288"/>
  <c r="L284"/>
  <c r="L282"/>
  <c r="L283" s="1"/>
  <c r="L280"/>
  <c r="L279"/>
  <c r="L278"/>
  <c r="L277"/>
  <c r="H277" s="1"/>
  <c r="L276"/>
  <c r="L275"/>
  <c r="L271"/>
  <c r="L272" s="1"/>
  <c r="L270"/>
  <c r="L269"/>
  <c r="L268"/>
  <c r="L267"/>
  <c r="L266"/>
  <c r="H266" s="1"/>
  <c r="L265"/>
  <c r="L263"/>
  <c r="L262"/>
  <c r="L261"/>
  <c r="L259"/>
  <c r="L258"/>
  <c r="L257"/>
  <c r="L256"/>
  <c r="H256" s="1"/>
  <c r="L255"/>
  <c r="L251"/>
  <c r="L252" s="1"/>
  <c r="L249"/>
  <c r="L248"/>
  <c r="L247"/>
  <c r="L246"/>
  <c r="L245"/>
  <c r="L244"/>
  <c r="L250" s="1"/>
  <c r="L242"/>
  <c r="L241"/>
  <c r="L240"/>
  <c r="L239"/>
  <c r="L238"/>
  <c r="L237"/>
  <c r="L236"/>
  <c r="L235"/>
  <c r="H235" s="1"/>
  <c r="L234"/>
  <c r="L233"/>
  <c r="L232"/>
  <c r="L231"/>
  <c r="L230"/>
  <c r="L229"/>
  <c r="L228"/>
  <c r="L227"/>
  <c r="H227" s="1"/>
  <c r="L226"/>
  <c r="L225"/>
  <c r="L224"/>
  <c r="L223"/>
  <c r="L222"/>
  <c r="L221"/>
  <c r="L220"/>
  <c r="L219"/>
  <c r="H219" s="1"/>
  <c r="L218"/>
  <c r="L217"/>
  <c r="L216"/>
  <c r="L215"/>
  <c r="L214"/>
  <c r="L213"/>
  <c r="L212"/>
  <c r="L211"/>
  <c r="H211" s="1"/>
  <c r="L210"/>
  <c r="L209"/>
  <c r="L208"/>
  <c r="L207"/>
  <c r="L206"/>
  <c r="L205"/>
  <c r="L204"/>
  <c r="L203"/>
  <c r="H203" s="1"/>
  <c r="L202"/>
  <c r="L201"/>
  <c r="L200"/>
  <c r="L199"/>
  <c r="L198"/>
  <c r="L197"/>
  <c r="L196"/>
  <c r="L195"/>
  <c r="H195" s="1"/>
  <c r="L194"/>
  <c r="L193"/>
  <c r="L192"/>
  <c r="L191"/>
  <c r="L190"/>
  <c r="L189"/>
  <c r="L188"/>
  <c r="L187"/>
  <c r="H187" s="1"/>
  <c r="L186"/>
  <c r="L185"/>
  <c r="L184"/>
  <c r="L183"/>
  <c r="L182"/>
  <c r="L181"/>
  <c r="L180"/>
  <c r="L179"/>
  <c r="H179" s="1"/>
  <c r="L178"/>
  <c r="L177"/>
  <c r="L176"/>
  <c r="L175"/>
  <c r="L174"/>
  <c r="L173"/>
  <c r="L172"/>
  <c r="L171"/>
  <c r="L243" s="1"/>
  <c r="L170"/>
  <c r="L155"/>
  <c r="L156" s="1"/>
  <c r="L153"/>
  <c r="L154" s="1"/>
  <c r="L151"/>
  <c r="L150"/>
  <c r="L149"/>
  <c r="L148"/>
  <c r="H148" s="1"/>
  <c r="L147"/>
  <c r="L143"/>
  <c r="L144" s="1"/>
  <c r="L141"/>
  <c r="L140"/>
  <c r="L138"/>
  <c r="L139" s="1"/>
  <c r="L134"/>
  <c r="L135" s="1"/>
  <c r="L132"/>
  <c r="L133" s="1"/>
  <c r="L130"/>
  <c r="H130" s="1"/>
  <c r="L129"/>
  <c r="L128"/>
  <c r="L127"/>
  <c r="L126"/>
  <c r="L122"/>
  <c r="L123" s="1"/>
  <c r="L120"/>
  <c r="L121" s="1"/>
  <c r="L118"/>
  <c r="L117"/>
  <c r="L116"/>
  <c r="L115"/>
  <c r="L114"/>
  <c r="L113"/>
  <c r="L109"/>
  <c r="L108"/>
  <c r="L107"/>
  <c r="L106"/>
  <c r="L105"/>
  <c r="L104"/>
  <c r="L103"/>
  <c r="L101"/>
  <c r="L100"/>
  <c r="L99"/>
  <c r="L97"/>
  <c r="H97" s="1"/>
  <c r="L96"/>
  <c r="L95"/>
  <c r="L94"/>
  <c r="L93"/>
  <c r="L89"/>
  <c r="L90" s="1"/>
  <c r="L87"/>
  <c r="L86"/>
  <c r="L85"/>
  <c r="L84"/>
  <c r="L83"/>
  <c r="L82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M317"/>
  <c r="M318" s="1"/>
  <c r="M315"/>
  <c r="M316" s="1"/>
  <c r="M313"/>
  <c r="M312"/>
  <c r="M311"/>
  <c r="M310"/>
  <c r="M309"/>
  <c r="M305"/>
  <c r="M303"/>
  <c r="M302"/>
  <c r="M300"/>
  <c r="M301" s="1"/>
  <c r="M296"/>
  <c r="M297" s="1"/>
  <c r="M294"/>
  <c r="M295" s="1"/>
  <c r="M292"/>
  <c r="M291"/>
  <c r="M290"/>
  <c r="M289"/>
  <c r="M288"/>
  <c r="M284"/>
  <c r="M285" s="1"/>
  <c r="M282"/>
  <c r="M283" s="1"/>
  <c r="M280"/>
  <c r="M279"/>
  <c r="M278"/>
  <c r="M277"/>
  <c r="M276"/>
  <c r="M275"/>
  <c r="M271"/>
  <c r="M272" s="1"/>
  <c r="M270"/>
  <c r="M269"/>
  <c r="M268"/>
  <c r="M267"/>
  <c r="M266"/>
  <c r="M265"/>
  <c r="M263"/>
  <c r="M262"/>
  <c r="M261"/>
  <c r="M259"/>
  <c r="M258"/>
  <c r="M257"/>
  <c r="M256"/>
  <c r="M255"/>
  <c r="M251"/>
  <c r="M252" s="1"/>
  <c r="M249"/>
  <c r="M248"/>
  <c r="M247"/>
  <c r="M246"/>
  <c r="M245"/>
  <c r="M244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55"/>
  <c r="M156" s="1"/>
  <c r="M153"/>
  <c r="M154" s="1"/>
  <c r="M151"/>
  <c r="M150"/>
  <c r="M149"/>
  <c r="M148"/>
  <c r="M147"/>
  <c r="M143"/>
  <c r="M144" s="1"/>
  <c r="M141"/>
  <c r="M140"/>
  <c r="M138"/>
  <c r="M139" s="1"/>
  <c r="M134"/>
  <c r="M135" s="1"/>
  <c r="M132"/>
  <c r="M133" s="1"/>
  <c r="M130"/>
  <c r="M129"/>
  <c r="M128"/>
  <c r="M127"/>
  <c r="M126"/>
  <c r="M122"/>
  <c r="M123" s="1"/>
  <c r="M120"/>
  <c r="M121" s="1"/>
  <c r="M118"/>
  <c r="M117"/>
  <c r="M116"/>
  <c r="M115"/>
  <c r="M114"/>
  <c r="M113"/>
  <c r="M109"/>
  <c r="M108"/>
  <c r="M107"/>
  <c r="M106"/>
  <c r="M105"/>
  <c r="M104"/>
  <c r="M103"/>
  <c r="M101"/>
  <c r="M100"/>
  <c r="M99"/>
  <c r="M102" s="1"/>
  <c r="M97"/>
  <c r="M96"/>
  <c r="M95"/>
  <c r="M94"/>
  <c r="M93"/>
  <c r="M89"/>
  <c r="M90" s="1"/>
  <c r="M87"/>
  <c r="M86"/>
  <c r="M85"/>
  <c r="M84"/>
  <c r="M83"/>
  <c r="M82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O318"/>
  <c r="O316"/>
  <c r="O314"/>
  <c r="O319" s="1"/>
  <c r="O306"/>
  <c r="O304"/>
  <c r="O307" s="1"/>
  <c r="O301"/>
  <c r="O297"/>
  <c r="O295"/>
  <c r="O293"/>
  <c r="O285"/>
  <c r="O283"/>
  <c r="O286" s="1"/>
  <c r="O281"/>
  <c r="O272"/>
  <c r="O264"/>
  <c r="O260"/>
  <c r="O273" s="1"/>
  <c r="O252"/>
  <c r="O250"/>
  <c r="O243"/>
  <c r="O156"/>
  <c r="O154"/>
  <c r="O152"/>
  <c r="O144"/>
  <c r="O142"/>
  <c r="O139"/>
  <c r="O135"/>
  <c r="O133"/>
  <c r="O131"/>
  <c r="O123"/>
  <c r="O121"/>
  <c r="O119"/>
  <c r="O110"/>
  <c r="O102"/>
  <c r="O98"/>
  <c r="O90"/>
  <c r="O88"/>
  <c r="O81"/>
  <c r="P318"/>
  <c r="P316"/>
  <c r="P314"/>
  <c r="P319" s="1"/>
  <c r="P306"/>
  <c r="P304"/>
  <c r="P301"/>
  <c r="P297"/>
  <c r="P295"/>
  <c r="P293"/>
  <c r="P285"/>
  <c r="P283"/>
  <c r="P281"/>
  <c r="P272"/>
  <c r="P264"/>
  <c r="P260"/>
  <c r="P273" s="1"/>
  <c r="P252"/>
  <c r="P250"/>
  <c r="P243"/>
  <c r="P156"/>
  <c r="P154"/>
  <c r="P152"/>
  <c r="P144"/>
  <c r="P142"/>
  <c r="P139"/>
  <c r="P135"/>
  <c r="P133"/>
  <c r="P131"/>
  <c r="P123"/>
  <c r="P121"/>
  <c r="P119"/>
  <c r="P110"/>
  <c r="P102"/>
  <c r="P98"/>
  <c r="P90"/>
  <c r="P88"/>
  <c r="P81"/>
  <c r="Q156"/>
  <c r="Q154"/>
  <c r="Q152"/>
  <c r="Q144"/>
  <c r="Q142"/>
  <c r="Q139"/>
  <c r="Q135"/>
  <c r="Q133"/>
  <c r="Q131"/>
  <c r="Q123"/>
  <c r="Q121"/>
  <c r="Q119"/>
  <c r="Q110"/>
  <c r="Q102"/>
  <c r="Q98"/>
  <c r="Q90"/>
  <c r="Q88"/>
  <c r="Q81"/>
  <c r="S318"/>
  <c r="S316"/>
  <c r="S314"/>
  <c r="S306"/>
  <c r="S304"/>
  <c r="S307" s="1"/>
  <c r="S301"/>
  <c r="S297"/>
  <c r="S295"/>
  <c r="S293"/>
  <c r="S285"/>
  <c r="S283"/>
  <c r="S286" s="1"/>
  <c r="S281"/>
  <c r="S272"/>
  <c r="S264"/>
  <c r="S260"/>
  <c r="S252"/>
  <c r="S250"/>
  <c r="S243"/>
  <c r="S156"/>
  <c r="S154"/>
  <c r="S152"/>
  <c r="S157" s="1"/>
  <c r="S144"/>
  <c r="S145" s="1"/>
  <c r="S142"/>
  <c r="S139"/>
  <c r="S135"/>
  <c r="S133"/>
  <c r="S131"/>
  <c r="S123"/>
  <c r="S121"/>
  <c r="S119"/>
  <c r="S110"/>
  <c r="S102"/>
  <c r="S98"/>
  <c r="S111" s="1"/>
  <c r="S90"/>
  <c r="S88"/>
  <c r="S81"/>
  <c r="T318"/>
  <c r="T316"/>
  <c r="T314"/>
  <c r="T306"/>
  <c r="T304"/>
  <c r="T307" s="1"/>
  <c r="T301"/>
  <c r="T297"/>
  <c r="T295"/>
  <c r="T293"/>
  <c r="T298" s="1"/>
  <c r="T285"/>
  <c r="T283"/>
  <c r="T281"/>
  <c r="T272"/>
  <c r="T264"/>
  <c r="T260"/>
  <c r="T252"/>
  <c r="T250"/>
  <c r="T243"/>
  <c r="T156"/>
  <c r="T154"/>
  <c r="T152"/>
  <c r="T157" s="1"/>
  <c r="T144"/>
  <c r="T142"/>
  <c r="T139"/>
  <c r="T135"/>
  <c r="T133"/>
  <c r="T131"/>
  <c r="T123"/>
  <c r="T121"/>
  <c r="T119"/>
  <c r="T110"/>
  <c r="T102"/>
  <c r="T98"/>
  <c r="T90"/>
  <c r="T88"/>
  <c r="T81"/>
  <c r="T91" s="1"/>
  <c r="W318"/>
  <c r="W316"/>
  <c r="W314"/>
  <c r="W307"/>
  <c r="W306"/>
  <c r="W304"/>
  <c r="W301"/>
  <c r="W297"/>
  <c r="W295"/>
  <c r="W293"/>
  <c r="W285"/>
  <c r="W283"/>
  <c r="W281"/>
  <c r="W272"/>
  <c r="W264"/>
  <c r="W260"/>
  <c r="W273" s="1"/>
  <c r="W252"/>
  <c r="W250"/>
  <c r="W243"/>
  <c r="W156"/>
  <c r="W154"/>
  <c r="W152"/>
  <c r="W144"/>
  <c r="W142"/>
  <c r="W145" s="1"/>
  <c r="W139"/>
  <c r="W135"/>
  <c r="W133"/>
  <c r="W131"/>
  <c r="W136" s="1"/>
  <c r="W123"/>
  <c r="W121"/>
  <c r="W119"/>
  <c r="W110"/>
  <c r="W102"/>
  <c r="W98"/>
  <c r="W90"/>
  <c r="W88"/>
  <c r="W81"/>
  <c r="X318"/>
  <c r="X316"/>
  <c r="X314"/>
  <c r="X319" s="1"/>
  <c r="X306"/>
  <c r="X304"/>
  <c r="X301"/>
  <c r="X297"/>
  <c r="X295"/>
  <c r="X293"/>
  <c r="X285"/>
  <c r="X283"/>
  <c r="X281"/>
  <c r="X272"/>
  <c r="X264"/>
  <c r="X260"/>
  <c r="X252"/>
  <c r="X250"/>
  <c r="X243"/>
  <c r="X156"/>
  <c r="X154"/>
  <c r="X152"/>
  <c r="X144"/>
  <c r="X142"/>
  <c r="X139"/>
  <c r="X135"/>
  <c r="X133"/>
  <c r="X131"/>
  <c r="X123"/>
  <c r="X121"/>
  <c r="X119"/>
  <c r="X110"/>
  <c r="X102"/>
  <c r="X98"/>
  <c r="X90"/>
  <c r="X88"/>
  <c r="X81"/>
  <c r="AA318"/>
  <c r="AA316"/>
  <c r="AA314"/>
  <c r="AA319" s="1"/>
  <c r="AA306"/>
  <c r="AA304"/>
  <c r="AA301"/>
  <c r="AA297"/>
  <c r="AA295"/>
  <c r="AA293"/>
  <c r="AA285"/>
  <c r="AA283"/>
  <c r="AA281"/>
  <c r="AA272"/>
  <c r="AA264"/>
  <c r="AA260"/>
  <c r="AA273" s="1"/>
  <c r="AA252"/>
  <c r="AA250"/>
  <c r="AA243"/>
  <c r="AA156"/>
  <c r="AA154"/>
  <c r="AA152"/>
  <c r="AA144"/>
  <c r="AA142"/>
  <c r="AA139"/>
  <c r="AA135"/>
  <c r="AA133"/>
  <c r="AA131"/>
  <c r="AA136" s="1"/>
  <c r="AA123"/>
  <c r="AA121"/>
  <c r="AA119"/>
  <c r="AA110"/>
  <c r="AA102"/>
  <c r="AA98"/>
  <c r="AA90"/>
  <c r="AA88"/>
  <c r="AA81"/>
  <c r="AA91" s="1"/>
  <c r="AB318"/>
  <c r="AB316"/>
  <c r="AB314"/>
  <c r="AB319" s="1"/>
  <c r="AB306"/>
  <c r="AB304"/>
  <c r="AB301"/>
  <c r="AB297"/>
  <c r="AB295"/>
  <c r="AB293"/>
  <c r="AB285"/>
  <c r="AB283"/>
  <c r="AB281"/>
  <c r="AB272"/>
  <c r="AB264"/>
  <c r="AB260"/>
  <c r="AB273" s="1"/>
  <c r="AB252"/>
  <c r="AB250"/>
  <c r="AB243"/>
  <c r="AB253" s="1"/>
  <c r="AB156"/>
  <c r="AB154"/>
  <c r="AB152"/>
  <c r="AB144"/>
  <c r="AB142"/>
  <c r="AB139"/>
  <c r="AB135"/>
  <c r="AB133"/>
  <c r="AB131"/>
  <c r="AB123"/>
  <c r="AB121"/>
  <c r="AB119"/>
  <c r="AB110"/>
  <c r="AB102"/>
  <c r="AB98"/>
  <c r="AB90"/>
  <c r="AB88"/>
  <c r="AB81"/>
  <c r="AE318"/>
  <c r="AE316"/>
  <c r="AE314"/>
  <c r="AE306"/>
  <c r="AE304"/>
  <c r="AE301"/>
  <c r="AE307" s="1"/>
  <c r="AE297"/>
  <c r="AE295"/>
  <c r="AE298" s="1"/>
  <c r="AE293"/>
  <c r="AE285"/>
  <c r="AE283"/>
  <c r="AE281"/>
  <c r="AE272"/>
  <c r="AE264"/>
  <c r="AE273" s="1"/>
  <c r="AE260"/>
  <c r="AE252"/>
  <c r="AE250"/>
  <c r="AE243"/>
  <c r="AE253" s="1"/>
  <c r="AE155"/>
  <c r="AE156" s="1"/>
  <c r="AE153"/>
  <c r="AE154" s="1"/>
  <c r="AE151"/>
  <c r="AE150"/>
  <c r="AE149"/>
  <c r="AE148"/>
  <c r="AE147"/>
  <c r="AE143"/>
  <c r="AE144" s="1"/>
  <c r="AE141"/>
  <c r="AE140"/>
  <c r="AE138"/>
  <c r="AE139" s="1"/>
  <c r="AE134"/>
  <c r="AE135" s="1"/>
  <c r="AE132"/>
  <c r="AE133" s="1"/>
  <c r="AE130"/>
  <c r="AE129"/>
  <c r="AE128"/>
  <c r="AE127"/>
  <c r="AE126"/>
  <c r="AE122"/>
  <c r="AE123" s="1"/>
  <c r="AE120"/>
  <c r="AE121" s="1"/>
  <c r="AE118"/>
  <c r="AE117"/>
  <c r="AE116"/>
  <c r="AE115"/>
  <c r="AE114"/>
  <c r="AE113"/>
  <c r="AE109"/>
  <c r="AE108"/>
  <c r="AE107"/>
  <c r="AE106"/>
  <c r="AE105"/>
  <c r="AE104"/>
  <c r="AE103"/>
  <c r="AE101"/>
  <c r="AE100"/>
  <c r="AE99"/>
  <c r="AE97"/>
  <c r="AE96"/>
  <c r="AE95"/>
  <c r="AE94"/>
  <c r="AE93"/>
  <c r="AE89"/>
  <c r="AE90" s="1"/>
  <c r="AE87"/>
  <c r="AE86"/>
  <c r="AE85"/>
  <c r="AE84"/>
  <c r="AE83"/>
  <c r="AE82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F318"/>
  <c r="AF316"/>
  <c r="AF314"/>
  <c r="AF306"/>
  <c r="AF304"/>
  <c r="AF301"/>
  <c r="AF297"/>
  <c r="AF295"/>
  <c r="AF293"/>
  <c r="AF285"/>
  <c r="AF283"/>
  <c r="AF281"/>
  <c r="AF272"/>
  <c r="AF264"/>
  <c r="AF260"/>
  <c r="AF252"/>
  <c r="AF250"/>
  <c r="AF243"/>
  <c r="AF253" s="1"/>
  <c r="AF155"/>
  <c r="AF156" s="1"/>
  <c r="AF153"/>
  <c r="AF154" s="1"/>
  <c r="AF151"/>
  <c r="AF150"/>
  <c r="AF149"/>
  <c r="AF148"/>
  <c r="AF147"/>
  <c r="AF143"/>
  <c r="AF144" s="1"/>
  <c r="AF141"/>
  <c r="AF140"/>
  <c r="AF142" s="1"/>
  <c r="AF138"/>
  <c r="AF139" s="1"/>
  <c r="AF134"/>
  <c r="AF135" s="1"/>
  <c r="AF133"/>
  <c r="AF132"/>
  <c r="AF130"/>
  <c r="AF129"/>
  <c r="AF128"/>
  <c r="AF127"/>
  <c r="AF126"/>
  <c r="AF122"/>
  <c r="AF123" s="1"/>
  <c r="AF120"/>
  <c r="AF121" s="1"/>
  <c r="AF118"/>
  <c r="AF117"/>
  <c r="AF116"/>
  <c r="AF115"/>
  <c r="AF114"/>
  <c r="AF113"/>
  <c r="AF109"/>
  <c r="AF108"/>
  <c r="AF107"/>
  <c r="AF106"/>
  <c r="AF105"/>
  <c r="AF104"/>
  <c r="AF103"/>
  <c r="AF101"/>
  <c r="AF100"/>
  <c r="AF99"/>
  <c r="AF97"/>
  <c r="AF96"/>
  <c r="AF95"/>
  <c r="AF94"/>
  <c r="AF93"/>
  <c r="AF89"/>
  <c r="AF90" s="1"/>
  <c r="AF87"/>
  <c r="AF86"/>
  <c r="AF85"/>
  <c r="H85" s="1"/>
  <c r="AF84"/>
  <c r="AF83"/>
  <c r="AF82"/>
  <c r="AF80"/>
  <c r="AF79"/>
  <c r="AF78"/>
  <c r="AF77"/>
  <c r="AF76"/>
  <c r="H76" s="1"/>
  <c r="AF75"/>
  <c r="AF74"/>
  <c r="AF73"/>
  <c r="AF72"/>
  <c r="AF71"/>
  <c r="AF70"/>
  <c r="AF69"/>
  <c r="AF68"/>
  <c r="H68" s="1"/>
  <c r="AF67"/>
  <c r="AF66"/>
  <c r="AF65"/>
  <c r="AF64"/>
  <c r="AF63"/>
  <c r="AF62"/>
  <c r="AF61"/>
  <c r="AF60"/>
  <c r="H60" s="1"/>
  <c r="AF59"/>
  <c r="AF58"/>
  <c r="AF57"/>
  <c r="AF56"/>
  <c r="AF55"/>
  <c r="AF54"/>
  <c r="AF53"/>
  <c r="AF52"/>
  <c r="H52" s="1"/>
  <c r="AF51"/>
  <c r="AF50"/>
  <c r="AF49"/>
  <c r="AF48"/>
  <c r="AF47"/>
  <c r="AF46"/>
  <c r="AF45"/>
  <c r="AF44"/>
  <c r="H44" s="1"/>
  <c r="AF43"/>
  <c r="AF42"/>
  <c r="AF41"/>
  <c r="AF40"/>
  <c r="AF39"/>
  <c r="AF38"/>
  <c r="AF37"/>
  <c r="AF36"/>
  <c r="H36" s="1"/>
  <c r="AF35"/>
  <c r="AF34"/>
  <c r="AF33"/>
  <c r="AF32"/>
  <c r="AF31"/>
  <c r="AF30"/>
  <c r="AF29"/>
  <c r="AF28"/>
  <c r="H28" s="1"/>
  <c r="AF27"/>
  <c r="AF26"/>
  <c r="AF25"/>
  <c r="AF24"/>
  <c r="AF23"/>
  <c r="AF22"/>
  <c r="AF21"/>
  <c r="AF20"/>
  <c r="H20" s="1"/>
  <c r="AF19"/>
  <c r="AF18"/>
  <c r="AF17"/>
  <c r="AF16"/>
  <c r="AF15"/>
  <c r="AF14"/>
  <c r="AF13"/>
  <c r="AF12"/>
  <c r="H12" s="1"/>
  <c r="AF11"/>
  <c r="AF10"/>
  <c r="AF9"/>
  <c r="AF8"/>
  <c r="AG155"/>
  <c r="AG156" s="1"/>
  <c r="AG153"/>
  <c r="AG154" s="1"/>
  <c r="AG151"/>
  <c r="AG150"/>
  <c r="AG149"/>
  <c r="AG148"/>
  <c r="AG147"/>
  <c r="AG143"/>
  <c r="AG144" s="1"/>
  <c r="AG141"/>
  <c r="AG140"/>
  <c r="AG142" s="1"/>
  <c r="AG138"/>
  <c r="AG139" s="1"/>
  <c r="AG134"/>
  <c r="AG135" s="1"/>
  <c r="AG132"/>
  <c r="AG133" s="1"/>
  <c r="AG130"/>
  <c r="AG129"/>
  <c r="AG128"/>
  <c r="AG127"/>
  <c r="AG126"/>
  <c r="AG122"/>
  <c r="AG123" s="1"/>
  <c r="AG120"/>
  <c r="AG121" s="1"/>
  <c r="AG118"/>
  <c r="AG117"/>
  <c r="AG116"/>
  <c r="AG115"/>
  <c r="AG114"/>
  <c r="AG113"/>
  <c r="AG109"/>
  <c r="AG108"/>
  <c r="AG107"/>
  <c r="AG106"/>
  <c r="AG105"/>
  <c r="AG104"/>
  <c r="AG103"/>
  <c r="AG101"/>
  <c r="AG100"/>
  <c r="AG99"/>
  <c r="AG97"/>
  <c r="AG96"/>
  <c r="AG95"/>
  <c r="AG94"/>
  <c r="AG93"/>
  <c r="AG90"/>
  <c r="AG89"/>
  <c r="AG87"/>
  <c r="AG86"/>
  <c r="AG85"/>
  <c r="AG84"/>
  <c r="AG83"/>
  <c r="AG82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I317"/>
  <c r="AI318" s="1"/>
  <c r="AI315"/>
  <c r="AI316" s="1"/>
  <c r="AI313"/>
  <c r="AI312"/>
  <c r="AI311"/>
  <c r="AI310"/>
  <c r="AI309"/>
  <c r="AI305"/>
  <c r="AI306" s="1"/>
  <c r="AI303"/>
  <c r="AI302"/>
  <c r="AI304" s="1"/>
  <c r="AI300"/>
  <c r="AI301" s="1"/>
  <c r="AI296"/>
  <c r="AI297" s="1"/>
  <c r="AI294"/>
  <c r="AI295" s="1"/>
  <c r="AI292"/>
  <c r="AI291"/>
  <c r="AI290"/>
  <c r="AI289"/>
  <c r="AI288"/>
  <c r="AI285"/>
  <c r="AI284"/>
  <c r="AI282"/>
  <c r="AI283" s="1"/>
  <c r="AI280"/>
  <c r="AI279"/>
  <c r="AI278"/>
  <c r="AI277"/>
  <c r="AI276"/>
  <c r="AI275"/>
  <c r="AI271"/>
  <c r="AI272" s="1"/>
  <c r="AI270"/>
  <c r="AI269"/>
  <c r="AI268"/>
  <c r="AI267"/>
  <c r="AI266"/>
  <c r="AI265"/>
  <c r="AI263"/>
  <c r="AI262"/>
  <c r="AI261"/>
  <c r="AI264" s="1"/>
  <c r="AI259"/>
  <c r="AI258"/>
  <c r="AI257"/>
  <c r="AI256"/>
  <c r="AI260" s="1"/>
  <c r="AI255"/>
  <c r="AI251"/>
  <c r="AI252" s="1"/>
  <c r="AI249"/>
  <c r="AI248"/>
  <c r="AI247"/>
  <c r="AI246"/>
  <c r="AI245"/>
  <c r="AI244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56"/>
  <c r="AI154"/>
  <c r="AI152"/>
  <c r="AI144"/>
  <c r="AI142"/>
  <c r="AI139"/>
  <c r="AI135"/>
  <c r="AI133"/>
  <c r="AI131"/>
  <c r="AI123"/>
  <c r="AI121"/>
  <c r="AI119"/>
  <c r="AI124" s="1"/>
  <c r="AI110"/>
  <c r="AI102"/>
  <c r="AI98"/>
  <c r="AI111" s="1"/>
  <c r="AI90"/>
  <c r="AI88"/>
  <c r="AI81"/>
  <c r="AJ317"/>
  <c r="AJ318" s="1"/>
  <c r="AJ316"/>
  <c r="AJ315"/>
  <c r="AJ313"/>
  <c r="AJ312"/>
  <c r="AJ311"/>
  <c r="AJ310"/>
  <c r="AJ309"/>
  <c r="AJ305"/>
  <c r="AJ306" s="1"/>
  <c r="AJ303"/>
  <c r="AJ302"/>
  <c r="AJ300"/>
  <c r="AJ301" s="1"/>
  <c r="AJ296"/>
  <c r="AJ297" s="1"/>
  <c r="AJ294"/>
  <c r="AJ295" s="1"/>
  <c r="AJ292"/>
  <c r="AJ291"/>
  <c r="AJ290"/>
  <c r="AJ289"/>
  <c r="AJ288"/>
  <c r="AJ284"/>
  <c r="AJ285" s="1"/>
  <c r="AJ282"/>
  <c r="AJ283" s="1"/>
  <c r="AJ280"/>
  <c r="AJ279"/>
  <c r="AJ278"/>
  <c r="AJ277"/>
  <c r="AJ276"/>
  <c r="AJ275"/>
  <c r="AJ271"/>
  <c r="AJ272" s="1"/>
  <c r="AJ270"/>
  <c r="AJ269"/>
  <c r="AJ268"/>
  <c r="AJ267"/>
  <c r="AJ266"/>
  <c r="AJ265"/>
  <c r="AJ263"/>
  <c r="AJ262"/>
  <c r="AJ261"/>
  <c r="AJ259"/>
  <c r="AJ258"/>
  <c r="AJ257"/>
  <c r="AJ256"/>
  <c r="AJ260" s="1"/>
  <c r="AJ255"/>
  <c r="AJ251"/>
  <c r="AJ252" s="1"/>
  <c r="AJ249"/>
  <c r="AJ248"/>
  <c r="AJ247"/>
  <c r="AJ246"/>
  <c r="AJ245"/>
  <c r="AJ244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56"/>
  <c r="AJ154"/>
  <c r="AJ152"/>
  <c r="AJ144"/>
  <c r="AJ142"/>
  <c r="AJ139"/>
  <c r="AJ145" s="1"/>
  <c r="AJ135"/>
  <c r="AJ133"/>
  <c r="AJ131"/>
  <c r="AJ123"/>
  <c r="AJ121"/>
  <c r="AJ119"/>
  <c r="AJ110"/>
  <c r="AJ102"/>
  <c r="AJ98"/>
  <c r="AJ111" s="1"/>
  <c r="AJ90"/>
  <c r="AJ88"/>
  <c r="AJ81"/>
  <c r="AJ91" s="1"/>
  <c r="AK317"/>
  <c r="AK318" s="1"/>
  <c r="AK315"/>
  <c r="AK316" s="1"/>
  <c r="AK313"/>
  <c r="AK312"/>
  <c r="AK311"/>
  <c r="AK310"/>
  <c r="AK309"/>
  <c r="AK305"/>
  <c r="AK306" s="1"/>
  <c r="AK303"/>
  <c r="AK302"/>
  <c r="AK304" s="1"/>
  <c r="AK300"/>
  <c r="AK301" s="1"/>
  <c r="AK296"/>
  <c r="AK297" s="1"/>
  <c r="AK294"/>
  <c r="AK295" s="1"/>
  <c r="AK292"/>
  <c r="AK291"/>
  <c r="AK290"/>
  <c r="AK289"/>
  <c r="AK288"/>
  <c r="AK284"/>
  <c r="AK285" s="1"/>
  <c r="AK282"/>
  <c r="AK283" s="1"/>
  <c r="AK280"/>
  <c r="AK279"/>
  <c r="AK278"/>
  <c r="AK277"/>
  <c r="AK276"/>
  <c r="AK275"/>
  <c r="AK271"/>
  <c r="AK272" s="1"/>
  <c r="AK270"/>
  <c r="AK269"/>
  <c r="AK268"/>
  <c r="AK267"/>
  <c r="AK266"/>
  <c r="AK265"/>
  <c r="AK263"/>
  <c r="AK262"/>
  <c r="AK261"/>
  <c r="AK259"/>
  <c r="AK258"/>
  <c r="AK257"/>
  <c r="AK256"/>
  <c r="AK255"/>
  <c r="AK251"/>
  <c r="AK252" s="1"/>
  <c r="AK249"/>
  <c r="AK248"/>
  <c r="AK247"/>
  <c r="AK246"/>
  <c r="AK245"/>
  <c r="AK244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M318"/>
  <c r="AM316"/>
  <c r="AM314"/>
  <c r="AM319" s="1"/>
  <c r="AM306"/>
  <c r="AM304"/>
  <c r="AM301"/>
  <c r="AM297"/>
  <c r="AM295"/>
  <c r="AM293"/>
  <c r="AM285"/>
  <c r="AM283"/>
  <c r="AM281"/>
  <c r="AM272"/>
  <c r="AM264"/>
  <c r="AM260"/>
  <c r="AM273" s="1"/>
  <c r="AM252"/>
  <c r="AM250"/>
  <c r="AM243"/>
  <c r="AM156"/>
  <c r="AM154"/>
  <c r="AM152"/>
  <c r="AM144"/>
  <c r="AM142"/>
  <c r="AM139"/>
  <c r="AM135"/>
  <c r="AM133"/>
  <c r="AM131"/>
  <c r="AM123"/>
  <c r="AM121"/>
  <c r="AM119"/>
  <c r="AM110"/>
  <c r="AM102"/>
  <c r="AM98"/>
  <c r="AM90"/>
  <c r="AM88"/>
  <c r="AM81"/>
  <c r="AM91" s="1"/>
  <c r="AN318"/>
  <c r="AN316"/>
  <c r="AN314"/>
  <c r="AN306"/>
  <c r="AN304"/>
  <c r="AN307" s="1"/>
  <c r="AN301"/>
  <c r="AN297"/>
  <c r="AN295"/>
  <c r="AN293"/>
  <c r="AN285"/>
  <c r="AN283"/>
  <c r="AN281"/>
  <c r="AN272"/>
  <c r="AN264"/>
  <c r="AN260"/>
  <c r="AN252"/>
  <c r="AN250"/>
  <c r="AN243"/>
  <c r="AN156"/>
  <c r="AN154"/>
  <c r="AN152"/>
  <c r="AN144"/>
  <c r="AN142"/>
  <c r="AN139"/>
  <c r="AN145" s="1"/>
  <c r="AN135"/>
  <c r="AN133"/>
  <c r="AN131"/>
  <c r="AN136" s="1"/>
  <c r="AN123"/>
  <c r="AN121"/>
  <c r="AN119"/>
  <c r="AN110"/>
  <c r="AN111" s="1"/>
  <c r="AN102"/>
  <c r="AN98"/>
  <c r="AN90"/>
  <c r="AN88"/>
  <c r="AN81"/>
  <c r="AQ318"/>
  <c r="AQ316"/>
  <c r="AQ314"/>
  <c r="AQ306"/>
  <c r="AQ304"/>
  <c r="AQ301"/>
  <c r="AQ297"/>
  <c r="AQ295"/>
  <c r="AQ293"/>
  <c r="AQ285"/>
  <c r="AQ283"/>
  <c r="AQ281"/>
  <c r="AQ272"/>
  <c r="AQ264"/>
  <c r="AQ260"/>
  <c r="AQ252"/>
  <c r="AQ250"/>
  <c r="AQ243"/>
  <c r="AQ253" s="1"/>
  <c r="AQ156"/>
  <c r="AQ154"/>
  <c r="AQ152"/>
  <c r="AQ144"/>
  <c r="AQ142"/>
  <c r="AQ139"/>
  <c r="AQ135"/>
  <c r="AQ133"/>
  <c r="AQ131"/>
  <c r="AQ136" s="1"/>
  <c r="AQ123"/>
  <c r="AQ121"/>
  <c r="AQ119"/>
  <c r="AQ110"/>
  <c r="AQ102"/>
  <c r="AQ98"/>
  <c r="AQ111" s="1"/>
  <c r="AQ90"/>
  <c r="AQ88"/>
  <c r="AQ81"/>
  <c r="AR318"/>
  <c r="AR316"/>
  <c r="AR314"/>
  <c r="AR306"/>
  <c r="AR304"/>
  <c r="AR301"/>
  <c r="AR297"/>
  <c r="AR295"/>
  <c r="AR293"/>
  <c r="AR285"/>
  <c r="AR283"/>
  <c r="AR286" s="1"/>
  <c r="AR281"/>
  <c r="AR272"/>
  <c r="AR264"/>
  <c r="AR260"/>
  <c r="AR252"/>
  <c r="AR250"/>
  <c r="AR243"/>
  <c r="AR156"/>
  <c r="AR154"/>
  <c r="AR152"/>
  <c r="AR157" s="1"/>
  <c r="AR144"/>
  <c r="AR142"/>
  <c r="AR139"/>
  <c r="AR135"/>
  <c r="AR133"/>
  <c r="AR131"/>
  <c r="AR123"/>
  <c r="AR121"/>
  <c r="AR119"/>
  <c r="AR110"/>
  <c r="AR102"/>
  <c r="AR98"/>
  <c r="AR90"/>
  <c r="AR88"/>
  <c r="AR81"/>
  <c r="AU318"/>
  <c r="AU316"/>
  <c r="AU314"/>
  <c r="AU306"/>
  <c r="AU304"/>
  <c r="AU301"/>
  <c r="AU297"/>
  <c r="AU295"/>
  <c r="AU293"/>
  <c r="AU285"/>
  <c r="AU283"/>
  <c r="AU281"/>
  <c r="AU286" s="1"/>
  <c r="AU272"/>
  <c r="AU264"/>
  <c r="AU260"/>
  <c r="AU252"/>
  <c r="AU250"/>
  <c r="AU243"/>
  <c r="AV318"/>
  <c r="AV316"/>
  <c r="AV314"/>
  <c r="AV306"/>
  <c r="AV304"/>
  <c r="AV301"/>
  <c r="AV297"/>
  <c r="AV295"/>
  <c r="AV293"/>
  <c r="AV298" s="1"/>
  <c r="AV285"/>
  <c r="AV283"/>
  <c r="AV281"/>
  <c r="AV272"/>
  <c r="AV273" s="1"/>
  <c r="AV264"/>
  <c r="AV260"/>
  <c r="AV252"/>
  <c r="AV250"/>
  <c r="AV243"/>
  <c r="G34" i="79"/>
  <c r="G30"/>
  <c r="G22"/>
  <c r="G21"/>
  <c r="G20"/>
  <c r="G19"/>
  <c r="D35"/>
  <c r="D31"/>
  <c r="D18"/>
  <c r="D17"/>
  <c r="D16"/>
  <c r="D15"/>
  <c r="D14"/>
  <c r="D13"/>
  <c r="D8"/>
  <c r="E35"/>
  <c r="E31"/>
  <c r="E18"/>
  <c r="G18" s="1"/>
  <c r="E17"/>
  <c r="G17" s="1"/>
  <c r="E16"/>
  <c r="G16" s="1"/>
  <c r="E15"/>
  <c r="G15" s="1"/>
  <c r="G14"/>
  <c r="E13"/>
  <c r="G13" s="1"/>
  <c r="E8"/>
  <c r="G8" s="1"/>
  <c r="F35"/>
  <c r="F31"/>
  <c r="F27"/>
  <c r="H93" i="78"/>
  <c r="H90"/>
  <c r="H87"/>
  <c r="H84"/>
  <c r="H81"/>
  <c r="H78"/>
  <c r="H75"/>
  <c r="H69"/>
  <c r="H66"/>
  <c r="H63"/>
  <c r="H60"/>
  <c r="H57"/>
  <c r="H54"/>
  <c r="H50"/>
  <c r="H49"/>
  <c r="H48"/>
  <c r="H42"/>
  <c r="H39"/>
  <c r="H36"/>
  <c r="H33"/>
  <c r="H30"/>
  <c r="H29"/>
  <c r="H20"/>
  <c r="H13"/>
  <c r="H12"/>
  <c r="H11"/>
  <c r="H10"/>
  <c r="H9"/>
  <c r="E94"/>
  <c r="E91"/>
  <c r="E88"/>
  <c r="E85"/>
  <c r="E82"/>
  <c r="E79"/>
  <c r="E76"/>
  <c r="E70"/>
  <c r="E67"/>
  <c r="E64"/>
  <c r="E61"/>
  <c r="E58"/>
  <c r="E55"/>
  <c r="E51"/>
  <c r="E52" s="1"/>
  <c r="E72" s="1"/>
  <c r="E43"/>
  <c r="E40"/>
  <c r="E36"/>
  <c r="E37" s="1"/>
  <c r="E32"/>
  <c r="E31"/>
  <c r="E30"/>
  <c r="E29"/>
  <c r="E34" s="1"/>
  <c r="E26"/>
  <c r="E27" s="1"/>
  <c r="E24"/>
  <c r="E13"/>
  <c r="E9"/>
  <c r="E21" s="1"/>
  <c r="F94"/>
  <c r="F91"/>
  <c r="F88"/>
  <c r="F85"/>
  <c r="F82"/>
  <c r="F79"/>
  <c r="F76"/>
  <c r="F96" s="1"/>
  <c r="F70"/>
  <c r="F67"/>
  <c r="F64"/>
  <c r="F61"/>
  <c r="F58"/>
  <c r="F55"/>
  <c r="F51"/>
  <c r="H51" s="1"/>
  <c r="F43"/>
  <c r="F40"/>
  <c r="F37"/>
  <c r="F32"/>
  <c r="H32" s="1"/>
  <c r="F31"/>
  <c r="H31" s="1"/>
  <c r="F30"/>
  <c r="F29"/>
  <c r="F27"/>
  <c r="F26"/>
  <c r="H26" s="1"/>
  <c r="F24"/>
  <c r="F9"/>
  <c r="F21" s="1"/>
  <c r="G94"/>
  <c r="G91"/>
  <c r="G88"/>
  <c r="G85"/>
  <c r="G82"/>
  <c r="G79"/>
  <c r="G76"/>
  <c r="G70"/>
  <c r="G67"/>
  <c r="G64"/>
  <c r="G61"/>
  <c r="G58"/>
  <c r="G55"/>
  <c r="G52"/>
  <c r="G43"/>
  <c r="G40"/>
  <c r="G37"/>
  <c r="G34"/>
  <c r="G27"/>
  <c r="G24"/>
  <c r="G21"/>
  <c r="G133" i="77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0"/>
  <c r="G99"/>
  <c r="G98"/>
  <c r="G97"/>
  <c r="G95"/>
  <c r="G93"/>
  <c r="G92"/>
  <c r="G91"/>
  <c r="G90"/>
  <c r="G89"/>
  <c r="G87"/>
  <c r="G86"/>
  <c r="G84"/>
  <c r="G83"/>
  <c r="G82"/>
  <c r="G81"/>
  <c r="G80"/>
  <c r="G79"/>
  <c r="G78"/>
  <c r="G77"/>
  <c r="G76"/>
  <c r="G75"/>
  <c r="G74"/>
  <c r="G73"/>
  <c r="G67"/>
  <c r="G66"/>
  <c r="G65"/>
  <c r="G64"/>
  <c r="G63"/>
  <c r="G61"/>
  <c r="G60"/>
  <c r="G59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3"/>
  <c r="G31"/>
  <c r="G29"/>
  <c r="G28"/>
  <c r="G27"/>
  <c r="G24"/>
  <c r="G23"/>
  <c r="G22"/>
  <c r="G21"/>
  <c r="G25"/>
  <c r="G20"/>
  <c r="G19"/>
  <c r="G18"/>
  <c r="G16"/>
  <c r="G15"/>
  <c r="G14"/>
  <c r="G13"/>
  <c r="G12"/>
  <c r="G11"/>
  <c r="G10"/>
  <c r="D134"/>
  <c r="D101"/>
  <c r="D96"/>
  <c r="D132" s="1"/>
  <c r="D88"/>
  <c r="D85" s="1"/>
  <c r="D81"/>
  <c r="D68"/>
  <c r="D58"/>
  <c r="D57" s="1"/>
  <c r="D54"/>
  <c r="D51"/>
  <c r="D38"/>
  <c r="D34" s="1"/>
  <c r="D62" s="1"/>
  <c r="D30"/>
  <c r="D32" s="1"/>
  <c r="D27"/>
  <c r="D17"/>
  <c r="D11"/>
  <c r="D10"/>
  <c r="D9" s="1"/>
  <c r="D26" s="1"/>
  <c r="E134"/>
  <c r="E101"/>
  <c r="E96"/>
  <c r="E132" s="1"/>
  <c r="E88"/>
  <c r="E85" s="1"/>
  <c r="E94" s="1"/>
  <c r="E68"/>
  <c r="E58"/>
  <c r="E57"/>
  <c r="E54"/>
  <c r="E51"/>
  <c r="E38"/>
  <c r="E34"/>
  <c r="E32"/>
  <c r="E30"/>
  <c r="G30" s="1"/>
  <c r="E17"/>
  <c r="E11"/>
  <c r="E9" s="1"/>
  <c r="E26" s="1"/>
  <c r="F134"/>
  <c r="F101"/>
  <c r="F96"/>
  <c r="F132" s="1"/>
  <c r="F85"/>
  <c r="F94" s="1"/>
  <c r="F68"/>
  <c r="F58"/>
  <c r="F57" s="1"/>
  <c r="F54"/>
  <c r="F51"/>
  <c r="F38"/>
  <c r="F34" s="1"/>
  <c r="F32"/>
  <c r="F17"/>
  <c r="F9"/>
  <c r="F26" s="1"/>
  <c r="E199" i="76"/>
  <c r="E184"/>
  <c r="E94"/>
  <c r="E79"/>
  <c r="F199"/>
  <c r="F184"/>
  <c r="F94"/>
  <c r="F79"/>
  <c r="G199"/>
  <c r="G184"/>
  <c r="G94"/>
  <c r="G79"/>
  <c r="E241" i="61"/>
  <c r="G241" i="76" s="1"/>
  <c r="D241" i="61"/>
  <c r="F241" i="76" s="1"/>
  <c r="C241" i="61"/>
  <c r="E241" i="76" s="1"/>
  <c r="E240" i="61"/>
  <c r="G240" i="76" s="1"/>
  <c r="D240" i="61"/>
  <c r="F240" i="76" s="1"/>
  <c r="C240" i="61"/>
  <c r="E240" i="76" s="1"/>
  <c r="E239" i="61"/>
  <c r="G239" i="76" s="1"/>
  <c r="D239" i="61"/>
  <c r="C239"/>
  <c r="E206"/>
  <c r="G206" i="76" s="1"/>
  <c r="D206" i="61"/>
  <c r="F206" i="76" s="1"/>
  <c r="C206" i="61"/>
  <c r="E206" i="76" s="1"/>
  <c r="E205" i="61"/>
  <c r="G205" i="76" s="1"/>
  <c r="D205" i="61"/>
  <c r="F205" i="76" s="1"/>
  <c r="C205" i="61"/>
  <c r="E205" i="76" s="1"/>
  <c r="E204" i="61"/>
  <c r="G204" i="76" s="1"/>
  <c r="D204" i="61"/>
  <c r="F204" i="76" s="1"/>
  <c r="C204" i="61"/>
  <c r="E204" i="76" s="1"/>
  <c r="E203" i="61"/>
  <c r="G203" i="76" s="1"/>
  <c r="D203" i="61"/>
  <c r="F203" i="76" s="1"/>
  <c r="C203" i="61"/>
  <c r="E203" i="76" s="1"/>
  <c r="E202" i="61"/>
  <c r="G202" i="76" s="1"/>
  <c r="D202" i="61"/>
  <c r="F202" i="76" s="1"/>
  <c r="C202" i="61"/>
  <c r="E202" i="76" s="1"/>
  <c r="E201" i="61"/>
  <c r="G201" i="76" s="1"/>
  <c r="D201" i="61"/>
  <c r="F201" i="76" s="1"/>
  <c r="C201" i="61"/>
  <c r="E201" i="76" s="1"/>
  <c r="E200" i="61"/>
  <c r="G200" i="76" s="1"/>
  <c r="G233" s="1"/>
  <c r="D200" i="61"/>
  <c r="F200" i="76" s="1"/>
  <c r="F233" s="1"/>
  <c r="C200" i="61"/>
  <c r="E200" i="76" s="1"/>
  <c r="E233" s="1"/>
  <c r="E198" i="61"/>
  <c r="G198" i="76" s="1"/>
  <c r="D198" i="61"/>
  <c r="F198" i="76" s="1"/>
  <c r="C198" i="61"/>
  <c r="E198" i="76" s="1"/>
  <c r="E197" i="61"/>
  <c r="G197" i="76" s="1"/>
  <c r="D197" i="61"/>
  <c r="F197" i="76" s="1"/>
  <c r="C197" i="61"/>
  <c r="E197" i="76" s="1"/>
  <c r="E196" i="61"/>
  <c r="G196" i="76" s="1"/>
  <c r="D196" i="61"/>
  <c r="F196" i="76" s="1"/>
  <c r="C196" i="61"/>
  <c r="E196" i="76" s="1"/>
  <c r="E195" i="61"/>
  <c r="D195"/>
  <c r="D194" s="1"/>
  <c r="D193" s="1"/>
  <c r="C195"/>
  <c r="E191"/>
  <c r="G191" i="76" s="1"/>
  <c r="D191" i="61"/>
  <c r="F191" i="76" s="1"/>
  <c r="C191" i="61"/>
  <c r="E191" i="76" s="1"/>
  <c r="E190" i="61"/>
  <c r="G190" i="76" s="1"/>
  <c r="D190" i="61"/>
  <c r="F190" i="76" s="1"/>
  <c r="C190" i="61"/>
  <c r="E190" i="76" s="1"/>
  <c r="E189" i="61"/>
  <c r="G189" i="76" s="1"/>
  <c r="D189" i="61"/>
  <c r="F189" i="76" s="1"/>
  <c r="C189" i="61"/>
  <c r="E189" i="76" s="1"/>
  <c r="E188" i="61"/>
  <c r="G188" i="76" s="1"/>
  <c r="D188" i="61"/>
  <c r="F188" i="76" s="1"/>
  <c r="C188" i="61"/>
  <c r="E188" i="76" s="1"/>
  <c r="E187" i="61"/>
  <c r="G187" i="76" s="1"/>
  <c r="D187" i="61"/>
  <c r="F187" i="76" s="1"/>
  <c r="C187" i="61"/>
  <c r="E187" i="76" s="1"/>
  <c r="E186" i="61"/>
  <c r="G186" i="76" s="1"/>
  <c r="D186" i="61"/>
  <c r="F186" i="76" s="1"/>
  <c r="C186" i="61"/>
  <c r="E186" i="76" s="1"/>
  <c r="E185" i="61"/>
  <c r="G185" i="76" s="1"/>
  <c r="G226" s="1"/>
  <c r="D185" i="61"/>
  <c r="F185" i="76" s="1"/>
  <c r="F226" s="1"/>
  <c r="C185" i="61"/>
  <c r="E185" i="76" s="1"/>
  <c r="E226" s="1"/>
  <c r="E183" i="61"/>
  <c r="G183" i="76" s="1"/>
  <c r="D183" i="61"/>
  <c r="F183" i="76" s="1"/>
  <c r="C183" i="61"/>
  <c r="E183" i="76" s="1"/>
  <c r="E182" i="61"/>
  <c r="G182" i="76" s="1"/>
  <c r="D182" i="61"/>
  <c r="F182" i="76" s="1"/>
  <c r="C182" i="61"/>
  <c r="E182" i="76" s="1"/>
  <c r="E181" i="61"/>
  <c r="G181" i="76" s="1"/>
  <c r="D181" i="61"/>
  <c r="F181" i="76" s="1"/>
  <c r="C181" i="61"/>
  <c r="E180"/>
  <c r="G180" i="76" s="1"/>
  <c r="D180" i="61"/>
  <c r="F180" i="76" s="1"/>
  <c r="C180" i="61"/>
  <c r="E180" i="76" s="1"/>
  <c r="E175" i="61"/>
  <c r="G175" i="76" s="1"/>
  <c r="D175" i="61"/>
  <c r="F175" i="76" s="1"/>
  <c r="C175" i="61"/>
  <c r="E175" i="76" s="1"/>
  <c r="E174" i="61"/>
  <c r="G174" i="76" s="1"/>
  <c r="D174" i="61"/>
  <c r="F174" i="76" s="1"/>
  <c r="C174" i="61"/>
  <c r="E174" i="76" s="1"/>
  <c r="E173" i="61"/>
  <c r="G173" i="76" s="1"/>
  <c r="D173" i="61"/>
  <c r="F173" i="76" s="1"/>
  <c r="C173" i="61"/>
  <c r="E173" i="76" s="1"/>
  <c r="E172" i="61"/>
  <c r="G172" i="76" s="1"/>
  <c r="D172" i="61"/>
  <c r="F172" i="76" s="1"/>
  <c r="C172" i="61"/>
  <c r="E172" i="76" s="1"/>
  <c r="E171" i="61"/>
  <c r="G171" i="76" s="1"/>
  <c r="D171" i="61"/>
  <c r="F171" i="76" s="1"/>
  <c r="C171" i="61"/>
  <c r="E171" i="76" s="1"/>
  <c r="E170" i="61"/>
  <c r="G170" i="76" s="1"/>
  <c r="D170" i="61"/>
  <c r="F170" i="76" s="1"/>
  <c r="C170" i="61"/>
  <c r="E170" i="76" s="1"/>
  <c r="E169" i="61"/>
  <c r="G169" i="76" s="1"/>
  <c r="D169" i="61"/>
  <c r="F169" i="76" s="1"/>
  <c r="C169" i="61"/>
  <c r="E169" i="76" s="1"/>
  <c r="E168" i="61"/>
  <c r="G168" i="76" s="1"/>
  <c r="D168" i="61"/>
  <c r="F168" i="76" s="1"/>
  <c r="C168" i="61"/>
  <c r="E168" i="76" s="1"/>
  <c r="E167" i="61"/>
  <c r="G167" i="76" s="1"/>
  <c r="D167" i="61"/>
  <c r="F167" i="76" s="1"/>
  <c r="C167" i="61"/>
  <c r="E167" i="76" s="1"/>
  <c r="E166" i="61"/>
  <c r="G166" i="76" s="1"/>
  <c r="D166" i="61"/>
  <c r="F166" i="76" s="1"/>
  <c r="C166" i="61"/>
  <c r="E166" i="76" s="1"/>
  <c r="D165" i="61"/>
  <c r="E164"/>
  <c r="G164" i="76" s="1"/>
  <c r="D164" i="61"/>
  <c r="F164" i="76" s="1"/>
  <c r="C164" i="61"/>
  <c r="E164" i="76" s="1"/>
  <c r="E163" i="61"/>
  <c r="G163" i="76" s="1"/>
  <c r="D163" i="61"/>
  <c r="F163" i="76" s="1"/>
  <c r="C163" i="61"/>
  <c r="E163" i="76" s="1"/>
  <c r="E162" i="61"/>
  <c r="G162" i="76" s="1"/>
  <c r="D162" i="61"/>
  <c r="F162" i="76" s="1"/>
  <c r="C162" i="61"/>
  <c r="E162" i="76" s="1"/>
  <c r="E161" i="61"/>
  <c r="D161"/>
  <c r="C161"/>
  <c r="E161" i="76" s="1"/>
  <c r="E160" i="61"/>
  <c r="G160" i="76" s="1"/>
  <c r="D160" i="61"/>
  <c r="F160" i="76" s="1"/>
  <c r="C160" i="61"/>
  <c r="E160" i="76" s="1"/>
  <c r="E158" i="61"/>
  <c r="G158" i="76" s="1"/>
  <c r="D158" i="61"/>
  <c r="F158" i="76" s="1"/>
  <c r="C158" i="61"/>
  <c r="E158" i="76" s="1"/>
  <c r="E157" i="61"/>
  <c r="G157" i="76" s="1"/>
  <c r="D157" i="61"/>
  <c r="F157" i="76" s="1"/>
  <c r="C157" i="61"/>
  <c r="E157" i="76" s="1"/>
  <c r="E156" i="61"/>
  <c r="G156" i="76" s="1"/>
  <c r="D156" i="61"/>
  <c r="F156" i="76" s="1"/>
  <c r="C156" i="61"/>
  <c r="E156" i="76" s="1"/>
  <c r="E155" i="61"/>
  <c r="D155"/>
  <c r="F155" i="76" s="1"/>
  <c r="C155" i="61"/>
  <c r="E155" i="76" s="1"/>
  <c r="E154" i="61"/>
  <c r="G154" i="76" s="1"/>
  <c r="D154" i="61"/>
  <c r="F154" i="76" s="1"/>
  <c r="C154" i="61"/>
  <c r="E154" i="76" s="1"/>
  <c r="E153" i="61"/>
  <c r="G153" i="76" s="1"/>
  <c r="D153" i="61"/>
  <c r="F153" i="76" s="1"/>
  <c r="C153" i="61"/>
  <c r="E153" i="76" s="1"/>
  <c r="E152" i="61"/>
  <c r="G152" i="76" s="1"/>
  <c r="D152" i="61"/>
  <c r="F152" i="76" s="1"/>
  <c r="C152" i="61"/>
  <c r="E152" i="76" s="1"/>
  <c r="E151" i="61"/>
  <c r="G151" i="76" s="1"/>
  <c r="D151" i="61"/>
  <c r="F151" i="76" s="1"/>
  <c r="C151" i="61"/>
  <c r="E151" i="76" s="1"/>
  <c r="E148" i="61"/>
  <c r="D148"/>
  <c r="F148" i="76" s="1"/>
  <c r="C148" i="61"/>
  <c r="E147"/>
  <c r="G147" i="76" s="1"/>
  <c r="D147" i="61"/>
  <c r="F147" i="76" s="1"/>
  <c r="C147" i="61"/>
  <c r="E147" i="76" s="1"/>
  <c r="E145" i="61"/>
  <c r="G145" i="76" s="1"/>
  <c r="D145" i="61"/>
  <c r="F145" i="76" s="1"/>
  <c r="C145" i="61"/>
  <c r="E145" i="76" s="1"/>
  <c r="E144" i="61"/>
  <c r="G144" i="76" s="1"/>
  <c r="D144" i="61"/>
  <c r="F144" i="76" s="1"/>
  <c r="C144" i="61"/>
  <c r="E144" i="76" s="1"/>
  <c r="E143" i="61"/>
  <c r="G143" i="76" s="1"/>
  <c r="D143" i="61"/>
  <c r="F143" i="76" s="1"/>
  <c r="C143" i="61"/>
  <c r="E143" i="76" s="1"/>
  <c r="E142" i="61"/>
  <c r="G142" i="76" s="1"/>
  <c r="D142" i="61"/>
  <c r="F142" i="76" s="1"/>
  <c r="C142" i="61"/>
  <c r="E142" i="76" s="1"/>
  <c r="E141" i="61"/>
  <c r="D141"/>
  <c r="F141" i="76" s="1"/>
  <c r="C141" i="61"/>
  <c r="E141" i="76" s="1"/>
  <c r="E140" i="61"/>
  <c r="G140" i="76" s="1"/>
  <c r="D140" i="61"/>
  <c r="F140" i="76" s="1"/>
  <c r="C140" i="61"/>
  <c r="E140" i="76" s="1"/>
  <c r="E139" i="61"/>
  <c r="G139" i="76" s="1"/>
  <c r="D139" i="61"/>
  <c r="F139" i="76" s="1"/>
  <c r="C139" i="61"/>
  <c r="E139" i="76" s="1"/>
  <c r="E138" i="61"/>
  <c r="G138" i="76" s="1"/>
  <c r="D138" i="61"/>
  <c r="F138" i="76" s="1"/>
  <c r="C138" i="61"/>
  <c r="E138" i="76" s="1"/>
  <c r="E137" i="61"/>
  <c r="G137" i="76" s="1"/>
  <c r="D137" i="61"/>
  <c r="F137" i="76" s="1"/>
  <c r="C137" i="61"/>
  <c r="E137" i="76" s="1"/>
  <c r="E136" i="61"/>
  <c r="G136" i="76" s="1"/>
  <c r="D136" i="61"/>
  <c r="F136" i="76" s="1"/>
  <c r="C136" i="61"/>
  <c r="E136" i="76" s="1"/>
  <c r="E135" i="61"/>
  <c r="G135" i="76" s="1"/>
  <c r="D135" i="61"/>
  <c r="F135" i="76" s="1"/>
  <c r="C135" i="61"/>
  <c r="E135" i="76" s="1"/>
  <c r="E134" i="61"/>
  <c r="G134" i="76" s="1"/>
  <c r="D134" i="61"/>
  <c r="F134" i="76" s="1"/>
  <c r="C134" i="61"/>
  <c r="E134" i="76" s="1"/>
  <c r="E133" i="61"/>
  <c r="G133" i="76" s="1"/>
  <c r="D133" i="61"/>
  <c r="F133" i="76" s="1"/>
  <c r="C133" i="61"/>
  <c r="E133" i="76" s="1"/>
  <c r="E131" i="61"/>
  <c r="G131" i="76" s="1"/>
  <c r="D131" i="61"/>
  <c r="F131" i="76" s="1"/>
  <c r="C131" i="61"/>
  <c r="E131" i="76" s="1"/>
  <c r="E130" i="61"/>
  <c r="G130" i="76" s="1"/>
  <c r="D130" i="61"/>
  <c r="F130" i="76" s="1"/>
  <c r="C130" i="61"/>
  <c r="E130" i="76" s="1"/>
  <c r="E129" i="61"/>
  <c r="G129" i="76" s="1"/>
  <c r="D129" i="61"/>
  <c r="F129" i="76" s="1"/>
  <c r="C129" i="61"/>
  <c r="E129" i="76" s="1"/>
  <c r="E128" i="61"/>
  <c r="G128" i="76" s="1"/>
  <c r="D128" i="61"/>
  <c r="F128" i="76" s="1"/>
  <c r="C128" i="61"/>
  <c r="E128" i="76" s="1"/>
  <c r="E127" i="61"/>
  <c r="G127" i="76" s="1"/>
  <c r="D127" i="61"/>
  <c r="F127" i="76" s="1"/>
  <c r="C127" i="61"/>
  <c r="E127" i="76" s="1"/>
  <c r="E126" i="61"/>
  <c r="G126" i="76" s="1"/>
  <c r="D126" i="61"/>
  <c r="F126" i="76" s="1"/>
  <c r="C126" i="61"/>
  <c r="E126" i="76" s="1"/>
  <c r="E125" i="61"/>
  <c r="G125" i="76" s="1"/>
  <c r="D125" i="61"/>
  <c r="F125" i="76" s="1"/>
  <c r="C125" i="61"/>
  <c r="E125" i="76" s="1"/>
  <c r="E124" i="61"/>
  <c r="G124" i="76" s="1"/>
  <c r="D124" i="61"/>
  <c r="F124" i="76" s="1"/>
  <c r="C124" i="61"/>
  <c r="C123" s="1"/>
  <c r="AA326" i="84" s="1"/>
  <c r="E122" i="61"/>
  <c r="G122" i="76" s="1"/>
  <c r="D122" i="61"/>
  <c r="F122" i="76" s="1"/>
  <c r="C122" i="61"/>
  <c r="E122" i="76" s="1"/>
  <c r="E121" i="61"/>
  <c r="G121" i="76" s="1"/>
  <c r="D121" i="61"/>
  <c r="F121" i="76" s="1"/>
  <c r="C121" i="61"/>
  <c r="E121" i="76" s="1"/>
  <c r="E120" i="61"/>
  <c r="D120"/>
  <c r="F120" i="76" s="1"/>
  <c r="C120" i="61"/>
  <c r="E120" i="76" s="1"/>
  <c r="E119" i="61"/>
  <c r="G119" i="76" s="1"/>
  <c r="D119" i="61"/>
  <c r="C119"/>
  <c r="E118"/>
  <c r="G118" i="76" s="1"/>
  <c r="D118" i="61"/>
  <c r="F118" i="76" s="1"/>
  <c r="C118" i="61"/>
  <c r="E118" i="76" s="1"/>
  <c r="E117" i="61"/>
  <c r="G117" i="76" s="1"/>
  <c r="D117" i="61"/>
  <c r="F117" i="76" s="1"/>
  <c r="C117" i="61"/>
  <c r="E117" i="76" s="1"/>
  <c r="E115" i="61"/>
  <c r="G115" i="76" s="1"/>
  <c r="D115" i="61"/>
  <c r="F115" i="76" s="1"/>
  <c r="C115" i="61"/>
  <c r="E115" i="76" s="1"/>
  <c r="E114" i="61"/>
  <c r="U326" i="84" s="1"/>
  <c r="D114" i="61"/>
  <c r="T326" i="84" s="1"/>
  <c r="C114" i="61"/>
  <c r="C19" i="75" s="1"/>
  <c r="E113" i="61"/>
  <c r="G113" i="76" s="1"/>
  <c r="D113" i="61"/>
  <c r="C113"/>
  <c r="E112"/>
  <c r="G112" i="76" s="1"/>
  <c r="D112" i="61"/>
  <c r="F112" i="76" s="1"/>
  <c r="C112" i="61"/>
  <c r="E112" i="76" s="1"/>
  <c r="E111" i="61"/>
  <c r="G111" i="76" s="1"/>
  <c r="D111" i="61"/>
  <c r="F111" i="76" s="1"/>
  <c r="C111" i="61"/>
  <c r="E111" i="76" s="1"/>
  <c r="E100" i="61"/>
  <c r="G100" i="76" s="1"/>
  <c r="D100" i="61"/>
  <c r="F100" i="76" s="1"/>
  <c r="C100" i="61"/>
  <c r="E100" i="76" s="1"/>
  <c r="E99" i="61"/>
  <c r="G99" i="76" s="1"/>
  <c r="D99" i="61"/>
  <c r="F99" i="76" s="1"/>
  <c r="C99" i="61"/>
  <c r="E99" i="76" s="1"/>
  <c r="E98" i="61"/>
  <c r="G98" i="76" s="1"/>
  <c r="D98" i="61"/>
  <c r="F98" i="76" s="1"/>
  <c r="C98" i="61"/>
  <c r="E98" i="76" s="1"/>
  <c r="E97" i="61"/>
  <c r="G97" i="76" s="1"/>
  <c r="D97" i="61"/>
  <c r="F97" i="76" s="1"/>
  <c r="C97" i="61"/>
  <c r="E97" i="76" s="1"/>
  <c r="E96" i="61"/>
  <c r="G96" i="76" s="1"/>
  <c r="D96" i="61"/>
  <c r="F96" i="76" s="1"/>
  <c r="C96" i="61"/>
  <c r="E96" i="76" s="1"/>
  <c r="E95" i="61"/>
  <c r="G95" i="76" s="1"/>
  <c r="D95" i="61"/>
  <c r="F95" i="76" s="1"/>
  <c r="C95" i="61"/>
  <c r="E95" i="76" s="1"/>
  <c r="E93" i="61"/>
  <c r="G93" i="76" s="1"/>
  <c r="D93" i="61"/>
  <c r="F93" i="76" s="1"/>
  <c r="C93" i="61"/>
  <c r="E93" i="76" s="1"/>
  <c r="E92" i="61"/>
  <c r="G92" i="76" s="1"/>
  <c r="D92" i="61"/>
  <c r="F92" i="76" s="1"/>
  <c r="C92" i="61"/>
  <c r="E92" i="76" s="1"/>
  <c r="E91" i="61"/>
  <c r="G91" i="76" s="1"/>
  <c r="D91" i="61"/>
  <c r="F91" i="76" s="1"/>
  <c r="C91" i="61"/>
  <c r="E91" i="76" s="1"/>
  <c r="E230" s="1"/>
  <c r="E90" i="61"/>
  <c r="G90" i="76" s="1"/>
  <c r="D90" i="61"/>
  <c r="F90" i="76" s="1"/>
  <c r="C90" i="61"/>
  <c r="E90" i="76" s="1"/>
  <c r="E89" i="61"/>
  <c r="D89"/>
  <c r="F89" i="76" s="1"/>
  <c r="C89" i="61"/>
  <c r="E85"/>
  <c r="G85" i="76" s="1"/>
  <c r="D85" i="61"/>
  <c r="F85" i="76" s="1"/>
  <c r="C85" i="61"/>
  <c r="E85" i="76" s="1"/>
  <c r="E84" i="61"/>
  <c r="G84" i="76" s="1"/>
  <c r="D84" i="61"/>
  <c r="F84" i="76" s="1"/>
  <c r="C84" i="61"/>
  <c r="E84" i="76" s="1"/>
  <c r="E83" i="61"/>
  <c r="G83" i="76" s="1"/>
  <c r="D83" i="61"/>
  <c r="F83" i="76" s="1"/>
  <c r="C83" i="61"/>
  <c r="E83" i="76" s="1"/>
  <c r="E82" i="61"/>
  <c r="G82" i="76" s="1"/>
  <c r="D82" i="61"/>
  <c r="F82" i="76" s="1"/>
  <c r="C82" i="61"/>
  <c r="E82" i="76" s="1"/>
  <c r="E81" i="61"/>
  <c r="G81" i="76" s="1"/>
  <c r="D81" i="61"/>
  <c r="F81" i="76" s="1"/>
  <c r="C81" i="61"/>
  <c r="E81" i="76" s="1"/>
  <c r="E80" i="61"/>
  <c r="G80" i="76" s="1"/>
  <c r="D80" i="61"/>
  <c r="F80" i="76" s="1"/>
  <c r="C80" i="61"/>
  <c r="E80" i="76" s="1"/>
  <c r="E78" i="61"/>
  <c r="G78" i="76" s="1"/>
  <c r="D78" i="61"/>
  <c r="F78" i="76" s="1"/>
  <c r="C78" i="61"/>
  <c r="E78" i="76" s="1"/>
  <c r="E77" i="61"/>
  <c r="G77" i="76" s="1"/>
  <c r="D77" i="61"/>
  <c r="F77" i="76" s="1"/>
  <c r="C77" i="61"/>
  <c r="E77" i="76" s="1"/>
  <c r="E76" i="61"/>
  <c r="G76" i="76" s="1"/>
  <c r="D76" i="61"/>
  <c r="F76" i="76" s="1"/>
  <c r="C76" i="61"/>
  <c r="E76" i="76" s="1"/>
  <c r="E75" i="61"/>
  <c r="G75" i="76" s="1"/>
  <c r="D75" i="61"/>
  <c r="F75" i="76" s="1"/>
  <c r="C75" i="61"/>
  <c r="E75" i="76" s="1"/>
  <c r="E74" i="61"/>
  <c r="G74" i="76" s="1"/>
  <c r="D74" i="61"/>
  <c r="C74"/>
  <c r="E69"/>
  <c r="G69" i="76" s="1"/>
  <c r="D69" i="61"/>
  <c r="F69" i="76" s="1"/>
  <c r="C69" i="61"/>
  <c r="E69" i="76" s="1"/>
  <c r="E68" i="61"/>
  <c r="G68" i="76" s="1"/>
  <c r="D68" i="61"/>
  <c r="F68" i="76" s="1"/>
  <c r="C68" i="61"/>
  <c r="E68" i="76" s="1"/>
  <c r="E67" i="61"/>
  <c r="G67" i="76" s="1"/>
  <c r="D67" i="61"/>
  <c r="F67" i="76" s="1"/>
  <c r="C67" i="61"/>
  <c r="E67" i="76" s="1"/>
  <c r="E66" i="61"/>
  <c r="G66" i="76" s="1"/>
  <c r="D66" i="61"/>
  <c r="F66" i="76" s="1"/>
  <c r="C66" i="61"/>
  <c r="E66" i="76" s="1"/>
  <c r="E65" i="61"/>
  <c r="D65"/>
  <c r="F65" i="76" s="1"/>
  <c r="C65" i="61"/>
  <c r="E65" i="76" s="1"/>
  <c r="E63" i="61"/>
  <c r="G63" i="76" s="1"/>
  <c r="D63" i="61"/>
  <c r="F63" i="76" s="1"/>
  <c r="C63" i="61"/>
  <c r="E63" i="76" s="1"/>
  <c r="E62" i="61"/>
  <c r="G62" i="76" s="1"/>
  <c r="D62" i="61"/>
  <c r="F62" i="76" s="1"/>
  <c r="C62" i="61"/>
  <c r="E62" i="76" s="1"/>
  <c r="E61" i="61"/>
  <c r="G61" i="76" s="1"/>
  <c r="D61" i="61"/>
  <c r="F61" i="76" s="1"/>
  <c r="C61" i="61"/>
  <c r="E61" i="76" s="1"/>
  <c r="E60" i="61"/>
  <c r="G60" i="76" s="1"/>
  <c r="D60" i="61"/>
  <c r="F60" i="76" s="1"/>
  <c r="C60" i="61"/>
  <c r="E60" i="76" s="1"/>
  <c r="E59" i="61"/>
  <c r="D59"/>
  <c r="C59"/>
  <c r="E57"/>
  <c r="G57" i="76" s="1"/>
  <c r="D57" i="61"/>
  <c r="F57" i="76" s="1"/>
  <c r="C57" i="61"/>
  <c r="E57" i="76" s="1"/>
  <c r="E56" i="61"/>
  <c r="G56" i="76" s="1"/>
  <c r="D56" i="61"/>
  <c r="F56" i="76" s="1"/>
  <c r="C56" i="61"/>
  <c r="E56" i="76" s="1"/>
  <c r="E55" i="61"/>
  <c r="G55" i="76" s="1"/>
  <c r="D55" i="61"/>
  <c r="F55" i="76" s="1"/>
  <c r="C55" i="61"/>
  <c r="E55" i="76" s="1"/>
  <c r="E54" i="61"/>
  <c r="G54" i="76" s="1"/>
  <c r="D54" i="61"/>
  <c r="F54" i="76" s="1"/>
  <c r="C54" i="61"/>
  <c r="E54" i="76" s="1"/>
  <c r="E53" i="61"/>
  <c r="D53"/>
  <c r="F53" i="76" s="1"/>
  <c r="C53" i="61"/>
  <c r="E53" i="76" s="1"/>
  <c r="E52" i="61"/>
  <c r="G52" i="76" s="1"/>
  <c r="D52" i="61"/>
  <c r="F52" i="76" s="1"/>
  <c r="C52" i="61"/>
  <c r="E52" i="76" s="1"/>
  <c r="E49" i="61"/>
  <c r="G49" i="76" s="1"/>
  <c r="D49" i="61"/>
  <c r="F49" i="76" s="1"/>
  <c r="C49" i="61"/>
  <c r="E49" i="76" s="1"/>
  <c r="E48" i="61"/>
  <c r="G48" i="76" s="1"/>
  <c r="D48" i="61"/>
  <c r="F48" i="76" s="1"/>
  <c r="C48" i="61"/>
  <c r="E48" i="76" s="1"/>
  <c r="E47" i="61"/>
  <c r="G47" i="76" s="1"/>
  <c r="D47" i="61"/>
  <c r="F47" i="76" s="1"/>
  <c r="C47" i="61"/>
  <c r="E47" i="76" s="1"/>
  <c r="E46" i="61"/>
  <c r="G46" i="76" s="1"/>
  <c r="D46" i="61"/>
  <c r="F46" i="76" s="1"/>
  <c r="C46" i="61"/>
  <c r="E46" i="76" s="1"/>
  <c r="E45" i="61"/>
  <c r="G45" i="76" s="1"/>
  <c r="D45" i="61"/>
  <c r="F45" i="76" s="1"/>
  <c r="C45" i="61"/>
  <c r="E45" i="76" s="1"/>
  <c r="E43" i="61"/>
  <c r="G43" i="76" s="1"/>
  <c r="D43" i="61"/>
  <c r="F43" i="76" s="1"/>
  <c r="C43" i="61"/>
  <c r="E43" i="76" s="1"/>
  <c r="E42" i="61"/>
  <c r="G42" i="76" s="1"/>
  <c r="D42" i="61"/>
  <c r="F42" i="76" s="1"/>
  <c r="C42" i="61"/>
  <c r="E42" i="76" s="1"/>
  <c r="E41" i="61"/>
  <c r="G41" i="76" s="1"/>
  <c r="D41" i="61"/>
  <c r="F41" i="76" s="1"/>
  <c r="C41" i="61"/>
  <c r="E41" i="76" s="1"/>
  <c r="E40" i="61"/>
  <c r="G40" i="76" s="1"/>
  <c r="D40" i="61"/>
  <c r="F40" i="76" s="1"/>
  <c r="C40" i="61"/>
  <c r="E40" i="76" s="1"/>
  <c r="E39" i="61"/>
  <c r="G39" i="76" s="1"/>
  <c r="D39" i="61"/>
  <c r="F39" i="76" s="1"/>
  <c r="C39" i="61"/>
  <c r="E39" i="76" s="1"/>
  <c r="E38" i="61"/>
  <c r="G38" i="76" s="1"/>
  <c r="D38" i="61"/>
  <c r="F38" i="76" s="1"/>
  <c r="C38" i="61"/>
  <c r="E38" i="76" s="1"/>
  <c r="E37" i="61"/>
  <c r="G37" i="76" s="1"/>
  <c r="D37" i="61"/>
  <c r="F37" i="76" s="1"/>
  <c r="C37" i="61"/>
  <c r="E37" i="76" s="1"/>
  <c r="E36" i="61"/>
  <c r="G36" i="76" s="1"/>
  <c r="D36" i="61"/>
  <c r="F36" i="76" s="1"/>
  <c r="C36" i="61"/>
  <c r="E36" i="76" s="1"/>
  <c r="E35" i="61"/>
  <c r="G35" i="76" s="1"/>
  <c r="D35" i="61"/>
  <c r="F35" i="76" s="1"/>
  <c r="C35" i="61"/>
  <c r="E35" i="76" s="1"/>
  <c r="E34" i="61"/>
  <c r="G34" i="76" s="1"/>
  <c r="D34" i="61"/>
  <c r="F34" i="76" s="1"/>
  <c r="C34" i="61"/>
  <c r="E34" i="76" s="1"/>
  <c r="E33" i="61"/>
  <c r="D33"/>
  <c r="C33"/>
  <c r="E33" i="76" s="1"/>
  <c r="E31" i="61"/>
  <c r="G31" i="76" s="1"/>
  <c r="D31" i="61"/>
  <c r="F31" i="76" s="1"/>
  <c r="C31" i="61"/>
  <c r="E31" i="76" s="1"/>
  <c r="E30" i="61"/>
  <c r="G30" i="76" s="1"/>
  <c r="D30" i="61"/>
  <c r="F30" i="76" s="1"/>
  <c r="C30" i="61"/>
  <c r="E30" i="76" s="1"/>
  <c r="E29" i="61"/>
  <c r="G29" i="76" s="1"/>
  <c r="D29" i="61"/>
  <c r="F29" i="76" s="1"/>
  <c r="C29" i="61"/>
  <c r="E29" i="76" s="1"/>
  <c r="E28" i="61"/>
  <c r="G28" i="76" s="1"/>
  <c r="D28" i="61"/>
  <c r="F28" i="76" s="1"/>
  <c r="C28" i="61"/>
  <c r="E28" i="76" s="1"/>
  <c r="E27" i="61"/>
  <c r="G27" i="76" s="1"/>
  <c r="D27" i="61"/>
  <c r="F27" i="76" s="1"/>
  <c r="C27" i="61"/>
  <c r="E27" i="76" s="1"/>
  <c r="E26" i="61"/>
  <c r="G26" i="76" s="1"/>
  <c r="D26" i="61"/>
  <c r="F26" i="76" s="1"/>
  <c r="C26" i="61"/>
  <c r="E26" i="76" s="1"/>
  <c r="E24" i="61"/>
  <c r="G24" i="76" s="1"/>
  <c r="D24" i="61"/>
  <c r="F24" i="76" s="1"/>
  <c r="C24" i="61"/>
  <c r="E24" i="76" s="1"/>
  <c r="E23" i="61"/>
  <c r="G23" i="76" s="1"/>
  <c r="D23" i="61"/>
  <c r="F23" i="76" s="1"/>
  <c r="C23" i="61"/>
  <c r="E23" i="76" s="1"/>
  <c r="E22" i="61"/>
  <c r="G22" i="76" s="1"/>
  <c r="D22" i="61"/>
  <c r="F22" i="76" s="1"/>
  <c r="C22" i="61"/>
  <c r="E22" i="76" s="1"/>
  <c r="E21" i="61"/>
  <c r="G21" i="76" s="1"/>
  <c r="D21" i="61"/>
  <c r="F21" i="76" s="1"/>
  <c r="C21" i="61"/>
  <c r="E21" i="76" s="1"/>
  <c r="E20" i="61"/>
  <c r="G20" i="76" s="1"/>
  <c r="D20" i="61"/>
  <c r="F20" i="76" s="1"/>
  <c r="C20" i="61"/>
  <c r="E20" i="76" s="1"/>
  <c r="E19" i="61"/>
  <c r="G19" i="76" s="1"/>
  <c r="D19" i="61"/>
  <c r="F19" i="76" s="1"/>
  <c r="C19" i="61"/>
  <c r="E19" i="76" s="1"/>
  <c r="E18" i="61"/>
  <c r="G18" i="76" s="1"/>
  <c r="D18" i="61"/>
  <c r="F18" i="76" s="1"/>
  <c r="C18" i="61"/>
  <c r="E18" i="76" s="1"/>
  <c r="E17" i="61"/>
  <c r="G17" i="76" s="1"/>
  <c r="D17" i="61"/>
  <c r="F17" i="76" s="1"/>
  <c r="C17" i="61"/>
  <c r="E17" i="76" s="1"/>
  <c r="E16" i="61"/>
  <c r="D16"/>
  <c r="F16" i="76" s="1"/>
  <c r="C16" i="61"/>
  <c r="E16" i="76" s="1"/>
  <c r="G15"/>
  <c r="D15" i="61"/>
  <c r="F15" i="76" s="1"/>
  <c r="C15" i="61"/>
  <c r="E15" i="76" s="1"/>
  <c r="G14"/>
  <c r="D14" i="61"/>
  <c r="F14" i="76" s="1"/>
  <c r="C14" i="61"/>
  <c r="E14" i="76" s="1"/>
  <c r="E13" i="61"/>
  <c r="G13" i="76" s="1"/>
  <c r="D13" i="61"/>
  <c r="F13" i="76" s="1"/>
  <c r="C13" i="61"/>
  <c r="J24" i="7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C25"/>
  <c r="D12"/>
  <c r="D25" s="1"/>
  <c r="C12"/>
  <c r="F12"/>
  <c r="F25" s="1"/>
  <c r="E12"/>
  <c r="E25" s="1"/>
  <c r="H12"/>
  <c r="H25" s="1"/>
  <c r="G12"/>
  <c r="G25" s="1"/>
  <c r="H40" i="73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2"/>
  <c r="H10"/>
  <c r="E45"/>
  <c r="E44"/>
  <c r="E43"/>
  <c r="E41" s="1"/>
  <c r="E42"/>
  <c r="E15"/>
  <c r="E13"/>
  <c r="E11"/>
  <c r="E9"/>
  <c r="F45"/>
  <c r="H45" s="1"/>
  <c r="F44"/>
  <c r="H44" s="1"/>
  <c r="F43"/>
  <c r="H43" s="1"/>
  <c r="F42"/>
  <c r="F15"/>
  <c r="F13"/>
  <c r="F11"/>
  <c r="F9"/>
  <c r="G41"/>
  <c r="G15"/>
  <c r="G13"/>
  <c r="G11"/>
  <c r="G9"/>
  <c r="E114" i="76" l="1"/>
  <c r="I12" i="74"/>
  <c r="AV326" i="84"/>
  <c r="D25" i="75"/>
  <c r="D32" i="61"/>
  <c r="D9" i="75" s="1"/>
  <c r="H11" i="84"/>
  <c r="H35"/>
  <c r="H59"/>
  <c r="H67"/>
  <c r="H84"/>
  <c r="H96"/>
  <c r="H106"/>
  <c r="H117"/>
  <c r="D94" i="77"/>
  <c r="D135" s="1"/>
  <c r="H19" i="84"/>
  <c r="H27"/>
  <c r="H51"/>
  <c r="H75"/>
  <c r="F41" i="73"/>
  <c r="H42"/>
  <c r="F34" i="78"/>
  <c r="F52"/>
  <c r="F72" s="1"/>
  <c r="AR145" i="84"/>
  <c r="AR298"/>
  <c r="AQ91"/>
  <c r="AQ157"/>
  <c r="AM124"/>
  <c r="AJ281"/>
  <c r="AI145"/>
  <c r="AF298"/>
  <c r="AB111"/>
  <c r="AB298"/>
  <c r="AA124"/>
  <c r="X253"/>
  <c r="T136"/>
  <c r="O253"/>
  <c r="H107"/>
  <c r="H118"/>
  <c r="H149"/>
  <c r="H172"/>
  <c r="H180"/>
  <c r="H188"/>
  <c r="H204"/>
  <c r="H212"/>
  <c r="H220"/>
  <c r="H228"/>
  <c r="H236"/>
  <c r="H245"/>
  <c r="H257"/>
  <c r="H267"/>
  <c r="H278"/>
  <c r="H291"/>
  <c r="G17"/>
  <c r="G25"/>
  <c r="G33"/>
  <c r="G41"/>
  <c r="G49"/>
  <c r="G57"/>
  <c r="G65"/>
  <c r="G73"/>
  <c r="G82"/>
  <c r="G94"/>
  <c r="G104"/>
  <c r="K119"/>
  <c r="G128"/>
  <c r="G170"/>
  <c r="G178"/>
  <c r="G186"/>
  <c r="AP145"/>
  <c r="AU253"/>
  <c r="AR273"/>
  <c r="AN298"/>
  <c r="AN319"/>
  <c r="AM157"/>
  <c r="AM307"/>
  <c r="AF102"/>
  <c r="AE142"/>
  <c r="AB145"/>
  <c r="AA157"/>
  <c r="AA307"/>
  <c r="X298"/>
  <c r="W124"/>
  <c r="W157"/>
  <c r="T319"/>
  <c r="O111"/>
  <c r="O298"/>
  <c r="H13"/>
  <c r="H21"/>
  <c r="H29"/>
  <c r="H37"/>
  <c r="H45"/>
  <c r="H53"/>
  <c r="H61"/>
  <c r="H69"/>
  <c r="H77"/>
  <c r="H86"/>
  <c r="H99"/>
  <c r="H108"/>
  <c r="H150"/>
  <c r="H173"/>
  <c r="H181"/>
  <c r="H189"/>
  <c r="H197"/>
  <c r="H205"/>
  <c r="H213"/>
  <c r="H221"/>
  <c r="H229"/>
  <c r="H237"/>
  <c r="H246"/>
  <c r="H258"/>
  <c r="H268"/>
  <c r="H279"/>
  <c r="H292"/>
  <c r="H310"/>
  <c r="G10"/>
  <c r="G18"/>
  <c r="G26"/>
  <c r="G34"/>
  <c r="G42"/>
  <c r="G50"/>
  <c r="G58"/>
  <c r="G66"/>
  <c r="G74"/>
  <c r="K88"/>
  <c r="G95"/>
  <c r="G105"/>
  <c r="G116"/>
  <c r="G129"/>
  <c r="K152"/>
  <c r="G147"/>
  <c r="K243"/>
  <c r="G179"/>
  <c r="G187"/>
  <c r="G195"/>
  <c r="C44" i="61"/>
  <c r="AA323" i="84" s="1"/>
  <c r="C110" i="61"/>
  <c r="O326" i="84" s="1"/>
  <c r="AA286"/>
  <c r="X145"/>
  <c r="W91"/>
  <c r="T111"/>
  <c r="P286"/>
  <c r="O145"/>
  <c r="H14"/>
  <c r="H22"/>
  <c r="H30"/>
  <c r="H38"/>
  <c r="H46"/>
  <c r="H54"/>
  <c r="H62"/>
  <c r="H70"/>
  <c r="H78"/>
  <c r="H87"/>
  <c r="H109"/>
  <c r="H151"/>
  <c r="H174"/>
  <c r="H182"/>
  <c r="H190"/>
  <c r="H206"/>
  <c r="H214"/>
  <c r="H222"/>
  <c r="H230"/>
  <c r="H238"/>
  <c r="H247"/>
  <c r="H259"/>
  <c r="H269"/>
  <c r="H280"/>
  <c r="H311"/>
  <c r="G11"/>
  <c r="G19"/>
  <c r="G27"/>
  <c r="G35"/>
  <c r="G43"/>
  <c r="G51"/>
  <c r="G59"/>
  <c r="G67"/>
  <c r="G75"/>
  <c r="G84"/>
  <c r="G96"/>
  <c r="G106"/>
  <c r="G117"/>
  <c r="G130"/>
  <c r="G148"/>
  <c r="G172"/>
  <c r="G180"/>
  <c r="G188"/>
  <c r="G196"/>
  <c r="G290"/>
  <c r="E51" i="61"/>
  <c r="E64"/>
  <c r="E96" i="78"/>
  <c r="AR307" i="84"/>
  <c r="AN273"/>
  <c r="AM286"/>
  <c r="AI314"/>
  <c r="H15"/>
  <c r="H23"/>
  <c r="H31"/>
  <c r="H39"/>
  <c r="H47"/>
  <c r="H55"/>
  <c r="H63"/>
  <c r="H71"/>
  <c r="H79"/>
  <c r="H101"/>
  <c r="L152"/>
  <c r="H183"/>
  <c r="H191"/>
  <c r="H199"/>
  <c r="H207"/>
  <c r="H215"/>
  <c r="H223"/>
  <c r="H231"/>
  <c r="H239"/>
  <c r="H248"/>
  <c r="H261"/>
  <c r="H270"/>
  <c r="H312"/>
  <c r="G12"/>
  <c r="G20"/>
  <c r="G28"/>
  <c r="G36"/>
  <c r="G44"/>
  <c r="G52"/>
  <c r="G60"/>
  <c r="G68"/>
  <c r="G76"/>
  <c r="G85"/>
  <c r="G97"/>
  <c r="G107"/>
  <c r="G118"/>
  <c r="K133"/>
  <c r="G132"/>
  <c r="G133" s="1"/>
  <c r="G149"/>
  <c r="G173"/>
  <c r="G181"/>
  <c r="G189"/>
  <c r="G197"/>
  <c r="G205"/>
  <c r="G213"/>
  <c r="G221"/>
  <c r="G229"/>
  <c r="G237"/>
  <c r="G246"/>
  <c r="G258"/>
  <c r="G268"/>
  <c r="G279"/>
  <c r="H43"/>
  <c r="J12" i="74"/>
  <c r="G88" i="77"/>
  <c r="G96" i="78"/>
  <c r="AU273" i="84"/>
  <c r="AR91"/>
  <c r="AQ298"/>
  <c r="AM253"/>
  <c r="AI91"/>
  <c r="AB157"/>
  <c r="AB307"/>
  <c r="AA253"/>
  <c r="W253"/>
  <c r="W286"/>
  <c r="W319"/>
  <c r="Q111"/>
  <c r="H16"/>
  <c r="H24"/>
  <c r="H32"/>
  <c r="H40"/>
  <c r="H48"/>
  <c r="H56"/>
  <c r="H64"/>
  <c r="H72"/>
  <c r="H80"/>
  <c r="L98"/>
  <c r="L110"/>
  <c r="H114"/>
  <c r="H127"/>
  <c r="H141"/>
  <c r="H176"/>
  <c r="H184"/>
  <c r="H192"/>
  <c r="H200"/>
  <c r="H208"/>
  <c r="H216"/>
  <c r="H224"/>
  <c r="H232"/>
  <c r="H240"/>
  <c r="H249"/>
  <c r="H262"/>
  <c r="H284"/>
  <c r="H285" s="1"/>
  <c r="H313"/>
  <c r="G13"/>
  <c r="G21"/>
  <c r="G29"/>
  <c r="G37"/>
  <c r="G45"/>
  <c r="G53"/>
  <c r="G61"/>
  <c r="G69"/>
  <c r="G77"/>
  <c r="G86"/>
  <c r="G99"/>
  <c r="K121"/>
  <c r="G120"/>
  <c r="G121" s="1"/>
  <c r="G150"/>
  <c r="G174"/>
  <c r="G182"/>
  <c r="G190"/>
  <c r="E46" i="73"/>
  <c r="E135" i="77"/>
  <c r="G72" i="78"/>
  <c r="AV253" i="84"/>
  <c r="AN157"/>
  <c r="AM111"/>
  <c r="AK307"/>
  <c r="AF286"/>
  <c r="AA298"/>
  <c r="W298"/>
  <c r="T124"/>
  <c r="T273"/>
  <c r="S136"/>
  <c r="S319"/>
  <c r="P298"/>
  <c r="O157"/>
  <c r="H9"/>
  <c r="H17"/>
  <c r="H25"/>
  <c r="H33"/>
  <c r="H41"/>
  <c r="H49"/>
  <c r="H57"/>
  <c r="H65"/>
  <c r="H73"/>
  <c r="L88"/>
  <c r="H94"/>
  <c r="H104"/>
  <c r="H115"/>
  <c r="H128"/>
  <c r="H177"/>
  <c r="H185"/>
  <c r="H193"/>
  <c r="H201"/>
  <c r="H209"/>
  <c r="H217"/>
  <c r="H225"/>
  <c r="H233"/>
  <c r="H241"/>
  <c r="H263"/>
  <c r="G14"/>
  <c r="G22"/>
  <c r="G30"/>
  <c r="G38"/>
  <c r="G46"/>
  <c r="G54"/>
  <c r="G62"/>
  <c r="G70"/>
  <c r="G78"/>
  <c r="G87"/>
  <c r="K102"/>
  <c r="G109"/>
  <c r="G122"/>
  <c r="G123" s="1"/>
  <c r="G151"/>
  <c r="G175"/>
  <c r="G183"/>
  <c r="G191"/>
  <c r="G199"/>
  <c r="G207"/>
  <c r="G215"/>
  <c r="G223"/>
  <c r="G231"/>
  <c r="AV319"/>
  <c r="AQ273"/>
  <c r="AJ264"/>
  <c r="AJ314"/>
  <c r="AI293"/>
  <c r="AB136"/>
  <c r="X91"/>
  <c r="X157"/>
  <c r="O91"/>
  <c r="H10"/>
  <c r="H18"/>
  <c r="H26"/>
  <c r="H34"/>
  <c r="H42"/>
  <c r="H50"/>
  <c r="H58"/>
  <c r="H66"/>
  <c r="H74"/>
  <c r="H83"/>
  <c r="H95"/>
  <c r="H105"/>
  <c r="H116"/>
  <c r="H129"/>
  <c r="H147"/>
  <c r="H170"/>
  <c r="H178"/>
  <c r="H186"/>
  <c r="H194"/>
  <c r="H202"/>
  <c r="H210"/>
  <c r="H218"/>
  <c r="H226"/>
  <c r="H234"/>
  <c r="H242"/>
  <c r="H255"/>
  <c r="H265"/>
  <c r="H276"/>
  <c r="H289"/>
  <c r="L304"/>
  <c r="H317"/>
  <c r="H318" s="1"/>
  <c r="G15"/>
  <c r="G23"/>
  <c r="G31"/>
  <c r="G47"/>
  <c r="G55"/>
  <c r="G63"/>
  <c r="G71"/>
  <c r="G79"/>
  <c r="K90"/>
  <c r="G89"/>
  <c r="G90" s="1"/>
  <c r="G101"/>
  <c r="G113"/>
  <c r="G176"/>
  <c r="G184"/>
  <c r="G192"/>
  <c r="G200"/>
  <c r="G208"/>
  <c r="G216"/>
  <c r="G224"/>
  <c r="G232"/>
  <c r="G240"/>
  <c r="G249"/>
  <c r="G262"/>
  <c r="G239"/>
  <c r="G248"/>
  <c r="G270"/>
  <c r="G282"/>
  <c r="G283" s="1"/>
  <c r="G292"/>
  <c r="G310"/>
  <c r="AD145"/>
  <c r="AO124"/>
  <c r="AW273"/>
  <c r="AT307"/>
  <c r="Z319"/>
  <c r="U148" i="85"/>
  <c r="H148"/>
  <c r="Q148"/>
  <c r="G148"/>
  <c r="R148"/>
  <c r="I148"/>
  <c r="P148"/>
  <c r="M148"/>
  <c r="N148"/>
  <c r="O148"/>
  <c r="F148"/>
  <c r="E148"/>
  <c r="K148"/>
  <c r="G311" i="84"/>
  <c r="Z98"/>
  <c r="AD152"/>
  <c r="AD157" s="1"/>
  <c r="AL110"/>
  <c r="AL157"/>
  <c r="AT102"/>
  <c r="AX304"/>
  <c r="AS253"/>
  <c r="AO253"/>
  <c r="AP314"/>
  <c r="AP319" s="1"/>
  <c r="AH272"/>
  <c r="AD260"/>
  <c r="AD272"/>
  <c r="AD304"/>
  <c r="Z304"/>
  <c r="Z307" s="1"/>
  <c r="V272"/>
  <c r="V281"/>
  <c r="V286" s="1"/>
  <c r="R260"/>
  <c r="Q319"/>
  <c r="V161" i="85"/>
  <c r="C148"/>
  <c r="D148"/>
  <c r="G201" i="84"/>
  <c r="G209"/>
  <c r="G217"/>
  <c r="G225"/>
  <c r="G233"/>
  <c r="G241"/>
  <c r="G263"/>
  <c r="G284"/>
  <c r="G285" s="1"/>
  <c r="K314"/>
  <c r="V119"/>
  <c r="V124" s="1"/>
  <c r="V152"/>
  <c r="Y124"/>
  <c r="AD88"/>
  <c r="AD131"/>
  <c r="AD136" s="1"/>
  <c r="AK145"/>
  <c r="AP110"/>
  <c r="AP119"/>
  <c r="AP124" s="1"/>
  <c r="AW319"/>
  <c r="AT250"/>
  <c r="AT293"/>
  <c r="AS307"/>
  <c r="AP250"/>
  <c r="AP293"/>
  <c r="AP298" s="1"/>
  <c r="AG298"/>
  <c r="AC298"/>
  <c r="Y253"/>
  <c r="G194"/>
  <c r="G202"/>
  <c r="G210"/>
  <c r="G218"/>
  <c r="G226"/>
  <c r="G234"/>
  <c r="G242"/>
  <c r="G255"/>
  <c r="G265"/>
  <c r="G276"/>
  <c r="K285"/>
  <c r="G300"/>
  <c r="G301" s="1"/>
  <c r="G313"/>
  <c r="V142"/>
  <c r="V145" s="1"/>
  <c r="Z131"/>
  <c r="Z136" s="1"/>
  <c r="AD98"/>
  <c r="AL81"/>
  <c r="AT110"/>
  <c r="AT119"/>
  <c r="AT152"/>
  <c r="AT157" s="1"/>
  <c r="AX260"/>
  <c r="AT260"/>
  <c r="AT264"/>
  <c r="AS286"/>
  <c r="AP260"/>
  <c r="AO307"/>
  <c r="AD243"/>
  <c r="AD253" s="1"/>
  <c r="Z264"/>
  <c r="Z293"/>
  <c r="U78" i="85"/>
  <c r="I78"/>
  <c r="P78"/>
  <c r="H78"/>
  <c r="G78"/>
  <c r="R78"/>
  <c r="Q78"/>
  <c r="O78"/>
  <c r="N78"/>
  <c r="F78"/>
  <c r="E78"/>
  <c r="K78"/>
  <c r="D78"/>
  <c r="M78"/>
  <c r="V139"/>
  <c r="L78"/>
  <c r="L148"/>
  <c r="G203" i="84"/>
  <c r="G211"/>
  <c r="G219"/>
  <c r="G227"/>
  <c r="G235"/>
  <c r="G244"/>
  <c r="G256"/>
  <c r="G266"/>
  <c r="G277"/>
  <c r="Z119"/>
  <c r="Z157"/>
  <c r="AL145"/>
  <c r="AP81"/>
  <c r="U273"/>
  <c r="R272"/>
  <c r="R281"/>
  <c r="R286" s="1"/>
  <c r="Q307"/>
  <c r="V33" i="85"/>
  <c r="G204" i="84"/>
  <c r="G212"/>
  <c r="G220"/>
  <c r="G228"/>
  <c r="G236"/>
  <c r="G257"/>
  <c r="G267"/>
  <c r="G278"/>
  <c r="G289"/>
  <c r="G303"/>
  <c r="G317"/>
  <c r="G318" s="1"/>
  <c r="V102"/>
  <c r="V131"/>
  <c r="V136" s="1"/>
  <c r="Y145"/>
  <c r="AC157"/>
  <c r="AC159" s="1"/>
  <c r="AL88"/>
  <c r="AP152"/>
  <c r="AT145"/>
  <c r="AX314"/>
  <c r="AT272"/>
  <c r="AO319"/>
  <c r="AD264"/>
  <c r="AC307"/>
  <c r="Z260"/>
  <c r="Y286"/>
  <c r="V293"/>
  <c r="V298" s="1"/>
  <c r="V201" i="85"/>
  <c r="V123"/>
  <c r="C8"/>
  <c r="Y159" i="84"/>
  <c r="AD110"/>
  <c r="AD119"/>
  <c r="AP88"/>
  <c r="AP131"/>
  <c r="AP136" s="1"/>
  <c r="AX272"/>
  <c r="AX281"/>
  <c r="AX286" s="1"/>
  <c r="AW298"/>
  <c r="AW307"/>
  <c r="AT281"/>
  <c r="AT286" s="1"/>
  <c r="AP272"/>
  <c r="AP281"/>
  <c r="AD314"/>
  <c r="U307"/>
  <c r="Q273"/>
  <c r="R8" i="85"/>
  <c r="H8"/>
  <c r="U8"/>
  <c r="Q8"/>
  <c r="I8"/>
  <c r="P8"/>
  <c r="O8"/>
  <c r="G8"/>
  <c r="N8"/>
  <c r="F8"/>
  <c r="M8"/>
  <c r="K8"/>
  <c r="E8"/>
  <c r="V61"/>
  <c r="G198" i="84"/>
  <c r="G206"/>
  <c r="G214"/>
  <c r="G222"/>
  <c r="G230"/>
  <c r="G238"/>
  <c r="G247"/>
  <c r="G259"/>
  <c r="G269"/>
  <c r="G280"/>
  <c r="G291"/>
  <c r="G309"/>
  <c r="V98"/>
  <c r="U124"/>
  <c r="U159" s="1"/>
  <c r="U157"/>
  <c r="Z81"/>
  <c r="Z91" s="1"/>
  <c r="Z145"/>
  <c r="AL111"/>
  <c r="AT91"/>
  <c r="AT131"/>
  <c r="AS298"/>
  <c r="AT314"/>
  <c r="AT319" s="1"/>
  <c r="AO298"/>
  <c r="AH264"/>
  <c r="AG286"/>
  <c r="AC286"/>
  <c r="AD307"/>
  <c r="Z272"/>
  <c r="Z281"/>
  <c r="V260"/>
  <c r="U286"/>
  <c r="U319"/>
  <c r="Q253"/>
  <c r="V183" i="85"/>
  <c r="V103"/>
  <c r="V141" s="1"/>
  <c r="V143" s="1"/>
  <c r="V21"/>
  <c r="C78"/>
  <c r="D8"/>
  <c r="AX243" i="84"/>
  <c r="AX253" s="1"/>
  <c r="E165" i="61"/>
  <c r="H175" i="84"/>
  <c r="H198"/>
  <c r="AH314"/>
  <c r="AH319" s="1"/>
  <c r="AH293"/>
  <c r="AH298" s="1"/>
  <c r="AH281"/>
  <c r="AH286" s="1"/>
  <c r="L314"/>
  <c r="V81"/>
  <c r="V91" s="1"/>
  <c r="E70" i="77"/>
  <c r="E137" s="1"/>
  <c r="E62"/>
  <c r="G34"/>
  <c r="C194" i="61"/>
  <c r="C193" s="1"/>
  <c r="C27" i="75" s="1"/>
  <c r="C146" i="61"/>
  <c r="C132" s="1"/>
  <c r="K16" i="68" s="1"/>
  <c r="C12" i="61"/>
  <c r="C11" s="1"/>
  <c r="O323" i="84" s="1"/>
  <c r="D242" i="61"/>
  <c r="E124" i="76"/>
  <c r="E123" s="1"/>
  <c r="S326" i="84"/>
  <c r="E32" i="76"/>
  <c r="E88" i="61"/>
  <c r="E87" s="1"/>
  <c r="E15" i="75" s="1"/>
  <c r="C242" i="61"/>
  <c r="E239" i="76"/>
  <c r="E194" i="61"/>
  <c r="E193" s="1"/>
  <c r="E32"/>
  <c r="E9" i="75" s="1"/>
  <c r="D58" i="61"/>
  <c r="D12" i="75" s="1"/>
  <c r="C179" i="61"/>
  <c r="C178" s="1"/>
  <c r="D73"/>
  <c r="D72" s="1"/>
  <c r="D14" i="75" s="1"/>
  <c r="C58" i="61"/>
  <c r="C12" i="75" s="1"/>
  <c r="C73" i="61"/>
  <c r="C72" s="1"/>
  <c r="D123"/>
  <c r="D21" i="75" s="1"/>
  <c r="E181" i="76"/>
  <c r="AH260" i="84"/>
  <c r="AH273" s="1"/>
  <c r="R243"/>
  <c r="R253" s="1"/>
  <c r="F62" i="77"/>
  <c r="F70" s="1"/>
  <c r="R314" i="84"/>
  <c r="R319" s="1"/>
  <c r="L293"/>
  <c r="L298" s="1"/>
  <c r="U321"/>
  <c r="U327" s="1"/>
  <c r="AF307"/>
  <c r="H196"/>
  <c r="AP243"/>
  <c r="AP253" s="1"/>
  <c r="H302"/>
  <c r="L81"/>
  <c r="L91" s="1"/>
  <c r="D110" i="61"/>
  <c r="P326" i="84" s="1"/>
  <c r="D159" i="61"/>
  <c r="AR326" i="84" s="1"/>
  <c r="F161" i="76"/>
  <c r="D150" i="61"/>
  <c r="AN326" i="84" s="1"/>
  <c r="F146" i="76"/>
  <c r="F114"/>
  <c r="AK323" i="84"/>
  <c r="E11" i="75"/>
  <c r="D23"/>
  <c r="E150" i="76"/>
  <c r="E44"/>
  <c r="E25"/>
  <c r="E159"/>
  <c r="G223"/>
  <c r="F223"/>
  <c r="E51"/>
  <c r="E223"/>
  <c r="C10" i="75"/>
  <c r="E148" i="76"/>
  <c r="E146" s="1"/>
  <c r="E132" s="1"/>
  <c r="D25" i="61"/>
  <c r="C51"/>
  <c r="C64"/>
  <c r="C88"/>
  <c r="C87" s="1"/>
  <c r="C21" i="75"/>
  <c r="C25" i="61"/>
  <c r="C11" i="68" s="1"/>
  <c r="D44" i="61"/>
  <c r="D15" i="68" s="1"/>
  <c r="D116" i="61"/>
  <c r="L13" i="68" s="1"/>
  <c r="E123" i="61"/>
  <c r="C150"/>
  <c r="D19" i="75"/>
  <c r="E58" i="61"/>
  <c r="E50" s="1"/>
  <c r="E73"/>
  <c r="E72" s="1"/>
  <c r="E14" i="75" s="1"/>
  <c r="C116" i="61"/>
  <c r="G65" i="76"/>
  <c r="G64" s="1"/>
  <c r="G195"/>
  <c r="F119"/>
  <c r="E59"/>
  <c r="E58" s="1"/>
  <c r="E195"/>
  <c r="E234" s="1"/>
  <c r="E232" s="1"/>
  <c r="X323" i="84"/>
  <c r="C159" i="61"/>
  <c r="D179"/>
  <c r="D178" s="1"/>
  <c r="D177" s="1"/>
  <c r="O142" i="85" s="1"/>
  <c r="G33" i="76"/>
  <c r="G32" s="1"/>
  <c r="G114"/>
  <c r="F59"/>
  <c r="F58" s="1"/>
  <c r="F195"/>
  <c r="AM323" i="84"/>
  <c r="G53" i="76"/>
  <c r="G51" s="1"/>
  <c r="E13"/>
  <c r="E12" s="1"/>
  <c r="E11" s="1"/>
  <c r="E89"/>
  <c r="E88" s="1"/>
  <c r="E87" s="1"/>
  <c r="E86" s="1"/>
  <c r="G110"/>
  <c r="E227"/>
  <c r="E225" s="1"/>
  <c r="AB326" i="84"/>
  <c r="D12" i="61"/>
  <c r="D11" s="1"/>
  <c r="P323" i="84" s="1"/>
  <c r="E64" i="76"/>
  <c r="E25" i="61"/>
  <c r="U323" i="84" s="1"/>
  <c r="C32" i="61"/>
  <c r="D51"/>
  <c r="D64"/>
  <c r="D88"/>
  <c r="D87" s="1"/>
  <c r="C165"/>
  <c r="G59" i="76"/>
  <c r="G58" s="1"/>
  <c r="F113"/>
  <c r="F110" s="1"/>
  <c r="F239"/>
  <c r="F242" s="1"/>
  <c r="D146" i="61"/>
  <c r="D132" s="1"/>
  <c r="E179"/>
  <c r="E178" s="1"/>
  <c r="E242"/>
  <c r="E74" i="76"/>
  <c r="E224" s="1"/>
  <c r="F159"/>
  <c r="E242"/>
  <c r="E113"/>
  <c r="E110" s="1"/>
  <c r="E165"/>
  <c r="G89"/>
  <c r="F33"/>
  <c r="F32" s="1"/>
  <c r="F74"/>
  <c r="F73" s="1"/>
  <c r="F72" s="1"/>
  <c r="F71" s="1"/>
  <c r="E119"/>
  <c r="E116" s="1"/>
  <c r="AN323" i="84"/>
  <c r="Z243"/>
  <c r="Z253" s="1"/>
  <c r="V243"/>
  <c r="V253" s="1"/>
  <c r="V314"/>
  <c r="V319" s="1"/>
  <c r="R293"/>
  <c r="R298" s="1"/>
  <c r="Q321"/>
  <c r="AT243"/>
  <c r="AT253" s="1"/>
  <c r="AP307"/>
  <c r="AH304"/>
  <c r="AH307" s="1"/>
  <c r="AG307"/>
  <c r="AG321" s="1"/>
  <c r="M304"/>
  <c r="AH243"/>
  <c r="AH253" s="1"/>
  <c r="AD81"/>
  <c r="AD91" s="1"/>
  <c r="E146" i="61"/>
  <c r="E132" s="1"/>
  <c r="M16" i="68" s="1"/>
  <c r="G148" i="76"/>
  <c r="G146" s="1"/>
  <c r="E159" i="61"/>
  <c r="M11" i="69" s="1"/>
  <c r="G161" i="76"/>
  <c r="G159" s="1"/>
  <c r="E150" i="61"/>
  <c r="M9" i="69" s="1"/>
  <c r="G155" i="76"/>
  <c r="G150" s="1"/>
  <c r="E116" i="61"/>
  <c r="Y326" i="84" s="1"/>
  <c r="G120" i="76"/>
  <c r="G116" s="1"/>
  <c r="E19" i="75"/>
  <c r="E110" i="61"/>
  <c r="M9" i="68" s="1"/>
  <c r="G141" i="76"/>
  <c r="E12" i="61"/>
  <c r="E11" s="1"/>
  <c r="Q323" i="84" s="1"/>
  <c r="G16" i="76"/>
  <c r="G12" s="1"/>
  <c r="G11" s="1"/>
  <c r="E44" i="61"/>
  <c r="E15" i="68" s="1"/>
  <c r="G242" i="76"/>
  <c r="V71" i="85"/>
  <c r="V73" s="1"/>
  <c r="S7"/>
  <c r="V53"/>
  <c r="A9"/>
  <c r="J7"/>
  <c r="J77"/>
  <c r="S77"/>
  <c r="A79"/>
  <c r="J147"/>
  <c r="S147"/>
  <c r="V211"/>
  <c r="V213" s="1"/>
  <c r="A149"/>
  <c r="R307" i="84"/>
  <c r="R273"/>
  <c r="V307"/>
  <c r="V273"/>
  <c r="Z286"/>
  <c r="Z273"/>
  <c r="Z298"/>
  <c r="AD298"/>
  <c r="AC321"/>
  <c r="AD319"/>
  <c r="AD286"/>
  <c r="M243"/>
  <c r="M281"/>
  <c r="M286" s="1"/>
  <c r="M293"/>
  <c r="M298" s="1"/>
  <c r="M250"/>
  <c r="M260"/>
  <c r="AO321"/>
  <c r="AP286"/>
  <c r="AT298"/>
  <c r="I175"/>
  <c r="I183"/>
  <c r="I191"/>
  <c r="I199"/>
  <c r="I207"/>
  <c r="I215"/>
  <c r="I223"/>
  <c r="I231"/>
  <c r="I239"/>
  <c r="I248"/>
  <c r="I259"/>
  <c r="I269"/>
  <c r="I280"/>
  <c r="I294"/>
  <c r="I295" s="1"/>
  <c r="AW321"/>
  <c r="AX307"/>
  <c r="AX319"/>
  <c r="AX273"/>
  <c r="AK264"/>
  <c r="I174"/>
  <c r="I182"/>
  <c r="I190"/>
  <c r="I198"/>
  <c r="I206"/>
  <c r="I214"/>
  <c r="I222"/>
  <c r="I230"/>
  <c r="I238"/>
  <c r="I247"/>
  <c r="I258"/>
  <c r="I268"/>
  <c r="I279"/>
  <c r="I292"/>
  <c r="I305"/>
  <c r="I306" s="1"/>
  <c r="I173"/>
  <c r="I181"/>
  <c r="I189"/>
  <c r="I197"/>
  <c r="I205"/>
  <c r="I213"/>
  <c r="I221"/>
  <c r="I229"/>
  <c r="I237"/>
  <c r="I246"/>
  <c r="I257"/>
  <c r="I267"/>
  <c r="I278"/>
  <c r="I291"/>
  <c r="I303"/>
  <c r="AK314"/>
  <c r="AK319" s="1"/>
  <c r="I172"/>
  <c r="I180"/>
  <c r="I188"/>
  <c r="I196"/>
  <c r="I204"/>
  <c r="I212"/>
  <c r="I220"/>
  <c r="I228"/>
  <c r="I236"/>
  <c r="I245"/>
  <c r="I256"/>
  <c r="I266"/>
  <c r="I277"/>
  <c r="I290"/>
  <c r="I171"/>
  <c r="I179"/>
  <c r="I187"/>
  <c r="I195"/>
  <c r="I203"/>
  <c r="I211"/>
  <c r="I219"/>
  <c r="I227"/>
  <c r="I235"/>
  <c r="I265"/>
  <c r="I276"/>
  <c r="I289"/>
  <c r="I313"/>
  <c r="AK250"/>
  <c r="I178"/>
  <c r="I186"/>
  <c r="I194"/>
  <c r="I202"/>
  <c r="I210"/>
  <c r="I218"/>
  <c r="I226"/>
  <c r="I234"/>
  <c r="I242"/>
  <c r="I263"/>
  <c r="I312"/>
  <c r="AK243"/>
  <c r="AK253" s="1"/>
  <c r="AK260"/>
  <c r="AK273" s="1"/>
  <c r="AK293"/>
  <c r="I177"/>
  <c r="I185"/>
  <c r="I193"/>
  <c r="I201"/>
  <c r="I209"/>
  <c r="I217"/>
  <c r="I225"/>
  <c r="I233"/>
  <c r="I241"/>
  <c r="I251"/>
  <c r="I252" s="1"/>
  <c r="I262"/>
  <c r="I296"/>
  <c r="I297" s="1"/>
  <c r="I311"/>
  <c r="AK281"/>
  <c r="AK286" s="1"/>
  <c r="I176"/>
  <c r="I184"/>
  <c r="I192"/>
  <c r="I200"/>
  <c r="I208"/>
  <c r="I216"/>
  <c r="I224"/>
  <c r="I232"/>
  <c r="I240"/>
  <c r="I249"/>
  <c r="I261"/>
  <c r="I270"/>
  <c r="I310"/>
  <c r="AT124"/>
  <c r="AT111"/>
  <c r="AT136"/>
  <c r="AS159"/>
  <c r="AG88"/>
  <c r="AG98"/>
  <c r="AG110"/>
  <c r="AG131"/>
  <c r="AG136" s="1"/>
  <c r="AG102"/>
  <c r="AP111"/>
  <c r="AO159"/>
  <c r="AP157"/>
  <c r="AL124"/>
  <c r="AK159"/>
  <c r="I11"/>
  <c r="I19"/>
  <c r="I27"/>
  <c r="I35"/>
  <c r="I43"/>
  <c r="I51"/>
  <c r="I59"/>
  <c r="I67"/>
  <c r="I75"/>
  <c r="I84"/>
  <c r="I96"/>
  <c r="I106"/>
  <c r="I117"/>
  <c r="I130"/>
  <c r="I148"/>
  <c r="I10"/>
  <c r="I18"/>
  <c r="I26"/>
  <c r="I34"/>
  <c r="I42"/>
  <c r="I50"/>
  <c r="I58"/>
  <c r="I66"/>
  <c r="I74"/>
  <c r="I83"/>
  <c r="I95"/>
  <c r="I105"/>
  <c r="I116"/>
  <c r="I129"/>
  <c r="I9"/>
  <c r="I17"/>
  <c r="I25"/>
  <c r="I33"/>
  <c r="I41"/>
  <c r="I49"/>
  <c r="I57"/>
  <c r="I65"/>
  <c r="I73"/>
  <c r="I82"/>
  <c r="I94"/>
  <c r="I104"/>
  <c r="I115"/>
  <c r="I128"/>
  <c r="I16"/>
  <c r="I24"/>
  <c r="I32"/>
  <c r="I40"/>
  <c r="I48"/>
  <c r="I56"/>
  <c r="I64"/>
  <c r="I72"/>
  <c r="I80"/>
  <c r="I93"/>
  <c r="I127"/>
  <c r="I141"/>
  <c r="I15"/>
  <c r="I23"/>
  <c r="I31"/>
  <c r="I39"/>
  <c r="I47"/>
  <c r="I55"/>
  <c r="I63"/>
  <c r="I71"/>
  <c r="I79"/>
  <c r="I101"/>
  <c r="I113"/>
  <c r="I126"/>
  <c r="I14"/>
  <c r="I22"/>
  <c r="I30"/>
  <c r="I38"/>
  <c r="I46"/>
  <c r="I54"/>
  <c r="I62"/>
  <c r="I70"/>
  <c r="I78"/>
  <c r="I87"/>
  <c r="I100"/>
  <c r="I109"/>
  <c r="I151"/>
  <c r="I13"/>
  <c r="I21"/>
  <c r="I29"/>
  <c r="I37"/>
  <c r="I45"/>
  <c r="I53"/>
  <c r="I61"/>
  <c r="I69"/>
  <c r="I77"/>
  <c r="I86"/>
  <c r="I108"/>
  <c r="I150"/>
  <c r="I12"/>
  <c r="I20"/>
  <c r="I28"/>
  <c r="I36"/>
  <c r="I44"/>
  <c r="I52"/>
  <c r="I60"/>
  <c r="I68"/>
  <c r="I76"/>
  <c r="I85"/>
  <c r="I97"/>
  <c r="I107"/>
  <c r="I118"/>
  <c r="I149"/>
  <c r="AD124"/>
  <c r="AD111"/>
  <c r="Z124"/>
  <c r="Z111"/>
  <c r="Z159" s="1"/>
  <c r="V157"/>
  <c r="V111"/>
  <c r="M152"/>
  <c r="M157" s="1"/>
  <c r="I138"/>
  <c r="I139" s="1"/>
  <c r="I122"/>
  <c r="I123" s="1"/>
  <c r="Q124"/>
  <c r="I89"/>
  <c r="I90" s="1"/>
  <c r="AK298"/>
  <c r="H264"/>
  <c r="G260"/>
  <c r="H260"/>
  <c r="AV286"/>
  <c r="AV321" s="1"/>
  <c r="AV327" s="1"/>
  <c r="AQ286"/>
  <c r="AQ321" s="1"/>
  <c r="AJ293"/>
  <c r="AJ298" s="1"/>
  <c r="AJ304"/>
  <c r="AJ307" s="1"/>
  <c r="AI243"/>
  <c r="AI253" s="1"/>
  <c r="AI250"/>
  <c r="AF273"/>
  <c r="AE286"/>
  <c r="S298"/>
  <c r="L318"/>
  <c r="L319" s="1"/>
  <c r="K264"/>
  <c r="I244"/>
  <c r="I275"/>
  <c r="I300"/>
  <c r="I301" s="1"/>
  <c r="H251"/>
  <c r="H252" s="1"/>
  <c r="H271"/>
  <c r="H272" s="1"/>
  <c r="H282"/>
  <c r="H283" s="1"/>
  <c r="H309"/>
  <c r="H314" s="1"/>
  <c r="G251"/>
  <c r="G252" s="1"/>
  <c r="G271"/>
  <c r="G272" s="1"/>
  <c r="AV307"/>
  <c r="AU298"/>
  <c r="AQ307"/>
  <c r="AN253"/>
  <c r="AM298"/>
  <c r="AJ250"/>
  <c r="T253"/>
  <c r="T321" s="1"/>
  <c r="T327" s="1"/>
  <c r="S253"/>
  <c r="P307"/>
  <c r="K260"/>
  <c r="K318"/>
  <c r="K319" s="1"/>
  <c r="I170"/>
  <c r="I255"/>
  <c r="I284"/>
  <c r="I285" s="1"/>
  <c r="H305"/>
  <c r="H306" s="1"/>
  <c r="G261"/>
  <c r="G264" s="1"/>
  <c r="G305"/>
  <c r="G306" s="1"/>
  <c r="AN286"/>
  <c r="T286"/>
  <c r="I271"/>
  <c r="I272" s="1"/>
  <c r="I282"/>
  <c r="I283" s="1"/>
  <c r="H303"/>
  <c r="AU319"/>
  <c r="AJ273"/>
  <c r="AJ319"/>
  <c r="AB321"/>
  <c r="AB286"/>
  <c r="L281"/>
  <c r="L285"/>
  <c r="H315"/>
  <c r="H316" s="1"/>
  <c r="G302"/>
  <c r="G304" s="1"/>
  <c r="G307" s="1"/>
  <c r="G315"/>
  <c r="G316" s="1"/>
  <c r="AQ319"/>
  <c r="AF319"/>
  <c r="X286"/>
  <c r="M264"/>
  <c r="M314"/>
  <c r="M319" s="1"/>
  <c r="K250"/>
  <c r="K293"/>
  <c r="K298" s="1"/>
  <c r="K301"/>
  <c r="K307" s="1"/>
  <c r="I309"/>
  <c r="H288"/>
  <c r="H293" s="1"/>
  <c r="AJ243"/>
  <c r="AI281"/>
  <c r="P253"/>
  <c r="P321" s="1"/>
  <c r="M306"/>
  <c r="L264"/>
  <c r="I317"/>
  <c r="I318" s="1"/>
  <c r="H300"/>
  <c r="H301" s="1"/>
  <c r="G288"/>
  <c r="G293" s="1"/>
  <c r="G312"/>
  <c r="G314" s="1"/>
  <c r="G319" s="1"/>
  <c r="AU307"/>
  <c r="AR253"/>
  <c r="AR321" s="1"/>
  <c r="AR319"/>
  <c r="AI298"/>
  <c r="AE319"/>
  <c r="X307"/>
  <c r="S273"/>
  <c r="L260"/>
  <c r="K281"/>
  <c r="K286" s="1"/>
  <c r="H171"/>
  <c r="H244"/>
  <c r="H250" s="1"/>
  <c r="H275"/>
  <c r="H281" s="1"/>
  <c r="H296"/>
  <c r="H297" s="1"/>
  <c r="G245"/>
  <c r="G250" s="1"/>
  <c r="G296"/>
  <c r="G297" s="1"/>
  <c r="X273"/>
  <c r="I288"/>
  <c r="I302"/>
  <c r="I315"/>
  <c r="I316" s="1"/>
  <c r="H294"/>
  <c r="H295" s="1"/>
  <c r="G171"/>
  <c r="G243" s="1"/>
  <c r="G275"/>
  <c r="G281" s="1"/>
  <c r="G286" s="1"/>
  <c r="G294"/>
  <c r="G295" s="1"/>
  <c r="H152"/>
  <c r="H102"/>
  <c r="H111" s="1"/>
  <c r="AE145"/>
  <c r="G152"/>
  <c r="G98"/>
  <c r="AR124"/>
  <c r="AQ124"/>
  <c r="AN91"/>
  <c r="AM145"/>
  <c r="AG81"/>
  <c r="AG91" s="1"/>
  <c r="AG119"/>
  <c r="AG124" s="1"/>
  <c r="AF152"/>
  <c r="AF157" s="1"/>
  <c r="AE88"/>
  <c r="AE98"/>
  <c r="AE111" s="1"/>
  <c r="AE110"/>
  <c r="AE131"/>
  <c r="AE136" s="1"/>
  <c r="AB91"/>
  <c r="AB159" s="1"/>
  <c r="AA145"/>
  <c r="AA159" s="1"/>
  <c r="AA324" s="1"/>
  <c r="X136"/>
  <c r="X159" s="1"/>
  <c r="P91"/>
  <c r="P157"/>
  <c r="M142"/>
  <c r="M145" s="1"/>
  <c r="L119"/>
  <c r="L131"/>
  <c r="L142"/>
  <c r="L145" s="1"/>
  <c r="L157"/>
  <c r="K81"/>
  <c r="K91" s="1"/>
  <c r="K110"/>
  <c r="K131"/>
  <c r="K136" s="1"/>
  <c r="K142"/>
  <c r="I134"/>
  <c r="I135" s="1"/>
  <c r="H143"/>
  <c r="H144" s="1"/>
  <c r="H155"/>
  <c r="H156" s="1"/>
  <c r="G143"/>
  <c r="G144" s="1"/>
  <c r="G155"/>
  <c r="G156" s="1"/>
  <c r="AG111"/>
  <c r="AQ145"/>
  <c r="AN124"/>
  <c r="AJ136"/>
  <c r="AF98"/>
  <c r="AF131"/>
  <c r="AF136" s="1"/>
  <c r="AE81"/>
  <c r="AE119"/>
  <c r="AE124" s="1"/>
  <c r="AB124"/>
  <c r="AA111"/>
  <c r="W111"/>
  <c r="Q145"/>
  <c r="P124"/>
  <c r="O136"/>
  <c r="M110"/>
  <c r="M119"/>
  <c r="M124" s="1"/>
  <c r="L102"/>
  <c r="K123"/>
  <c r="I99"/>
  <c r="I120"/>
  <c r="I121" s="1"/>
  <c r="I132"/>
  <c r="I133" s="1"/>
  <c r="H153"/>
  <c r="H154" s="1"/>
  <c r="G153"/>
  <c r="G154" s="1"/>
  <c r="G157" s="1"/>
  <c r="AQ159"/>
  <c r="AF81"/>
  <c r="AF88"/>
  <c r="AF110"/>
  <c r="AF111" s="1"/>
  <c r="I147"/>
  <c r="I155"/>
  <c r="I156" s="1"/>
  <c r="H82"/>
  <c r="H88" s="1"/>
  <c r="H140"/>
  <c r="H142" s="1"/>
  <c r="AR111"/>
  <c r="AJ157"/>
  <c r="AI136"/>
  <c r="AF119"/>
  <c r="AF124" s="1"/>
  <c r="AE102"/>
  <c r="P145"/>
  <c r="I143"/>
  <c r="I144" s="1"/>
  <c r="H8"/>
  <c r="H81" s="1"/>
  <c r="H93"/>
  <c r="H98" s="1"/>
  <c r="H103"/>
  <c r="H110" s="1"/>
  <c r="H126"/>
  <c r="H131" s="1"/>
  <c r="G115"/>
  <c r="G119" s="1"/>
  <c r="G124" s="1"/>
  <c r="G140"/>
  <c r="G142" s="1"/>
  <c r="AM136"/>
  <c r="AJ124"/>
  <c r="AJ159" s="1"/>
  <c r="AI157"/>
  <c r="AI159" s="1"/>
  <c r="AE152"/>
  <c r="AE157" s="1"/>
  <c r="X124"/>
  <c r="Q136"/>
  <c r="P111"/>
  <c r="O124"/>
  <c r="M81"/>
  <c r="K98"/>
  <c r="K111" s="1"/>
  <c r="I153"/>
  <c r="I154" s="1"/>
  <c r="H89"/>
  <c r="H90" s="1"/>
  <c r="H113"/>
  <c r="H119" s="1"/>
  <c r="H122"/>
  <c r="H123" s="1"/>
  <c r="H138"/>
  <c r="H139" s="1"/>
  <c r="H145" s="1"/>
  <c r="G83"/>
  <c r="G88" s="1"/>
  <c r="G103"/>
  <c r="G110" s="1"/>
  <c r="G126"/>
  <c r="G131" s="1"/>
  <c r="G136" s="1"/>
  <c r="G138"/>
  <c r="G139" s="1"/>
  <c r="G145" s="1"/>
  <c r="AR136"/>
  <c r="AG152"/>
  <c r="AG157" s="1"/>
  <c r="T145"/>
  <c r="T159" s="1"/>
  <c r="S91"/>
  <c r="S159" s="1"/>
  <c r="Q91"/>
  <c r="M88"/>
  <c r="M131"/>
  <c r="M136" s="1"/>
  <c r="I140"/>
  <c r="H100"/>
  <c r="H134"/>
  <c r="H135" s="1"/>
  <c r="G9"/>
  <c r="G81" s="1"/>
  <c r="G134"/>
  <c r="G135" s="1"/>
  <c r="AG145"/>
  <c r="X111"/>
  <c r="S124"/>
  <c r="Q157"/>
  <c r="P136"/>
  <c r="M98"/>
  <c r="I8"/>
  <c r="I103"/>
  <c r="I114"/>
  <c r="H120"/>
  <c r="H121" s="1"/>
  <c r="H132"/>
  <c r="H133" s="1"/>
  <c r="G100"/>
  <c r="G102" s="1"/>
  <c r="G111" s="1"/>
  <c r="G273"/>
  <c r="K124"/>
  <c r="K273"/>
  <c r="K157"/>
  <c r="K145"/>
  <c r="K253"/>
  <c r="L253"/>
  <c r="L307"/>
  <c r="L111"/>
  <c r="L124"/>
  <c r="L136"/>
  <c r="O321"/>
  <c r="O327" s="1"/>
  <c r="O159"/>
  <c r="O324" s="1"/>
  <c r="S321"/>
  <c r="S327" s="1"/>
  <c r="W159"/>
  <c r="W321"/>
  <c r="X321"/>
  <c r="AA321"/>
  <c r="AA327" s="1"/>
  <c r="AE321"/>
  <c r="AF145"/>
  <c r="AI273"/>
  <c r="AI319"/>
  <c r="AI286"/>
  <c r="AI307"/>
  <c r="AK324"/>
  <c r="AJ286"/>
  <c r="AM321"/>
  <c r="AM159"/>
  <c r="AN321"/>
  <c r="AU321"/>
  <c r="E27" i="79"/>
  <c r="D27"/>
  <c r="E45" i="78"/>
  <c r="F45"/>
  <c r="G45"/>
  <c r="D70" i="77"/>
  <c r="D137" s="1"/>
  <c r="F135"/>
  <c r="E222" i="76"/>
  <c r="E221" s="1"/>
  <c r="G165"/>
  <c r="F51"/>
  <c r="F116"/>
  <c r="F234"/>
  <c r="F232" s="1"/>
  <c r="E73"/>
  <c r="E72" s="1"/>
  <c r="E71" s="1"/>
  <c r="E231"/>
  <c r="E229" s="1"/>
  <c r="F230"/>
  <c r="F12"/>
  <c r="F11" s="1"/>
  <c r="F231"/>
  <c r="G44"/>
  <c r="F88"/>
  <c r="F87" s="1"/>
  <c r="F86" s="1"/>
  <c r="F101" s="1"/>
  <c r="F150"/>
  <c r="F64"/>
  <c r="F123"/>
  <c r="F132"/>
  <c r="F227"/>
  <c r="F225" s="1"/>
  <c r="E179"/>
  <c r="E178" s="1"/>
  <c r="E177" s="1"/>
  <c r="F44"/>
  <c r="F165"/>
  <c r="E194"/>
  <c r="E193" s="1"/>
  <c r="E192" s="1"/>
  <c r="F25"/>
  <c r="G88"/>
  <c r="G87" s="1"/>
  <c r="G86" s="1"/>
  <c r="G234"/>
  <c r="G232" s="1"/>
  <c r="G25"/>
  <c r="G73"/>
  <c r="G72" s="1"/>
  <c r="G71" s="1"/>
  <c r="G230"/>
  <c r="F179"/>
  <c r="F178" s="1"/>
  <c r="F177" s="1"/>
  <c r="G123"/>
  <c r="G227"/>
  <c r="G225" s="1"/>
  <c r="F194"/>
  <c r="F193" s="1"/>
  <c r="F192" s="1"/>
  <c r="F224"/>
  <c r="F222" s="1"/>
  <c r="F221" s="1"/>
  <c r="G231"/>
  <c r="G194"/>
  <c r="G193" s="1"/>
  <c r="G192" s="1"/>
  <c r="G224"/>
  <c r="G179"/>
  <c r="G178" s="1"/>
  <c r="G177" s="1"/>
  <c r="C177" i="61"/>
  <c r="C26" i="75"/>
  <c r="E192" i="61"/>
  <c r="R212" i="85" s="1"/>
  <c r="E27" i="75"/>
  <c r="D192" i="61"/>
  <c r="R142" i="85" s="1"/>
  <c r="D27" i="75"/>
  <c r="D26"/>
  <c r="D18"/>
  <c r="C18"/>
  <c r="E26"/>
  <c r="E177" i="61"/>
  <c r="E86"/>
  <c r="I212" i="85" s="1"/>
  <c r="D86" i="61"/>
  <c r="I142" i="85" s="1"/>
  <c r="D15" i="75"/>
  <c r="C7"/>
  <c r="C86" i="61"/>
  <c r="I72" i="85" s="1"/>
  <c r="C15" i="75"/>
  <c r="C71" i="61"/>
  <c r="C14" i="75"/>
  <c r="G46" i="73"/>
  <c r="F46"/>
  <c r="F50" i="72"/>
  <c r="F49"/>
  <c r="F48"/>
  <c r="F35"/>
  <c r="F34"/>
  <c r="F33"/>
  <c r="F32"/>
  <c r="F31"/>
  <c r="F30"/>
  <c r="F29"/>
  <c r="F28"/>
  <c r="F27"/>
  <c r="F25"/>
  <c r="F24"/>
  <c r="F22"/>
  <c r="F21"/>
  <c r="F20"/>
  <c r="F19"/>
  <c r="F18"/>
  <c r="F17"/>
  <c r="F13"/>
  <c r="F12"/>
  <c r="F11"/>
  <c r="F10"/>
  <c r="F9"/>
  <c r="F8"/>
  <c r="L25" i="74" s="1"/>
  <c r="C51" i="72"/>
  <c r="C26"/>
  <c r="C23"/>
  <c r="C16" s="1"/>
  <c r="C14"/>
  <c r="C15" s="1"/>
  <c r="D51"/>
  <c r="D26"/>
  <c r="D23"/>
  <c r="F23" s="1"/>
  <c r="D16"/>
  <c r="D36" s="1"/>
  <c r="D14"/>
  <c r="D15" s="1"/>
  <c r="E51"/>
  <c r="E26"/>
  <c r="E16"/>
  <c r="E36" s="1"/>
  <c r="E14"/>
  <c r="E15" s="1"/>
  <c r="F334" i="116"/>
  <c r="Q326"/>
  <c r="Q325"/>
  <c r="Q324"/>
  <c r="Q323"/>
  <c r="Q322"/>
  <c r="Q321"/>
  <c r="Q320"/>
  <c r="Q319"/>
  <c r="F326"/>
  <c r="F325"/>
  <c r="F324"/>
  <c r="F323"/>
  <c r="F322"/>
  <c r="F321"/>
  <c r="F320"/>
  <c r="F319"/>
  <c r="F301"/>
  <c r="F300"/>
  <c r="F299"/>
  <c r="F298"/>
  <c r="F297"/>
  <c r="F296"/>
  <c r="F295"/>
  <c r="F294"/>
  <c r="Q301"/>
  <c r="Q300"/>
  <c r="Q299"/>
  <c r="Q298"/>
  <c r="Q297"/>
  <c r="Q296"/>
  <c r="Q295"/>
  <c r="Q294"/>
  <c r="Q276"/>
  <c r="Q275"/>
  <c r="Q274"/>
  <c r="Q273"/>
  <c r="Q272"/>
  <c r="Q271"/>
  <c r="Q270"/>
  <c r="Q269"/>
  <c r="F276"/>
  <c r="F275"/>
  <c r="F274"/>
  <c r="F273"/>
  <c r="F272"/>
  <c r="F271"/>
  <c r="F270"/>
  <c r="F269"/>
  <c r="F251"/>
  <c r="F250"/>
  <c r="F249"/>
  <c r="F247"/>
  <c r="F246"/>
  <c r="F245"/>
  <c r="F244"/>
  <c r="Q251"/>
  <c r="Q250"/>
  <c r="Q249"/>
  <c r="Q248"/>
  <c r="Q247"/>
  <c r="Q246"/>
  <c r="Q245"/>
  <c r="Q244"/>
  <c r="Q226"/>
  <c r="Q225"/>
  <c r="Q224"/>
  <c r="Q223"/>
  <c r="Q222"/>
  <c r="Q221"/>
  <c r="Q220"/>
  <c r="Q219"/>
  <c r="F226"/>
  <c r="F225"/>
  <c r="F224"/>
  <c r="F223"/>
  <c r="F222"/>
  <c r="F221"/>
  <c r="F220"/>
  <c r="F219"/>
  <c r="F201"/>
  <c r="F200"/>
  <c r="F199"/>
  <c r="F198"/>
  <c r="F197"/>
  <c r="F196"/>
  <c r="F195"/>
  <c r="F194"/>
  <c r="Q201"/>
  <c r="Q200"/>
  <c r="Q199"/>
  <c r="Q198"/>
  <c r="Q197"/>
  <c r="Q196"/>
  <c r="Q195"/>
  <c r="Q194"/>
  <c r="Q176"/>
  <c r="Q175"/>
  <c r="Q174"/>
  <c r="Q173"/>
  <c r="Q172"/>
  <c r="Q171"/>
  <c r="Q170"/>
  <c r="Q169"/>
  <c r="F176"/>
  <c r="F175"/>
  <c r="F174"/>
  <c r="F172"/>
  <c r="F171"/>
  <c r="F170"/>
  <c r="F169"/>
  <c r="F151"/>
  <c r="F150"/>
  <c r="F149"/>
  <c r="F148"/>
  <c r="F147"/>
  <c r="F146"/>
  <c r="F145"/>
  <c r="F144"/>
  <c r="Q151"/>
  <c r="Q150"/>
  <c r="Q149"/>
  <c r="Q148"/>
  <c r="Q147"/>
  <c r="Q146"/>
  <c r="Q145"/>
  <c r="Q144"/>
  <c r="Q126"/>
  <c r="Q125"/>
  <c r="Q124"/>
  <c r="Q123"/>
  <c r="Q122"/>
  <c r="Q121"/>
  <c r="Q120"/>
  <c r="Q119"/>
  <c r="F126"/>
  <c r="F125"/>
  <c r="F124"/>
  <c r="F123"/>
  <c r="F122"/>
  <c r="F121"/>
  <c r="F120"/>
  <c r="F119"/>
  <c r="F101"/>
  <c r="F100"/>
  <c r="F99"/>
  <c r="F98"/>
  <c r="F97"/>
  <c r="F96"/>
  <c r="F95"/>
  <c r="F94"/>
  <c r="Q101"/>
  <c r="Q100"/>
  <c r="Q99"/>
  <c r="Q98"/>
  <c r="Q97"/>
  <c r="Q96"/>
  <c r="Q95"/>
  <c r="Q94"/>
  <c r="Q76"/>
  <c r="Q75"/>
  <c r="Q74"/>
  <c r="Q73"/>
  <c r="Q72"/>
  <c r="Q71"/>
  <c r="Q70"/>
  <c r="Q69"/>
  <c r="F76"/>
  <c r="F75"/>
  <c r="F74"/>
  <c r="F73"/>
  <c r="F72"/>
  <c r="F71"/>
  <c r="F70"/>
  <c r="F69"/>
  <c r="F51"/>
  <c r="F50"/>
  <c r="F49"/>
  <c r="F48"/>
  <c r="F47"/>
  <c r="F46"/>
  <c r="F45"/>
  <c r="F44"/>
  <c r="Q51"/>
  <c r="Q50"/>
  <c r="Q49"/>
  <c r="Q48"/>
  <c r="Q47"/>
  <c r="Q46"/>
  <c r="Q45"/>
  <c r="Q44"/>
  <c r="Q26"/>
  <c r="Q25"/>
  <c r="Q24"/>
  <c r="Q23"/>
  <c r="Q22"/>
  <c r="Q21"/>
  <c r="Q20"/>
  <c r="Q19"/>
  <c r="F26"/>
  <c r="F25"/>
  <c r="F24"/>
  <c r="F23"/>
  <c r="F22"/>
  <c r="F21"/>
  <c r="F20"/>
  <c r="F19"/>
  <c r="F333"/>
  <c r="F315"/>
  <c r="F314"/>
  <c r="F313"/>
  <c r="F312"/>
  <c r="F311"/>
  <c r="Q315"/>
  <c r="Q314"/>
  <c r="Q313"/>
  <c r="Q312"/>
  <c r="Q311"/>
  <c r="Q290"/>
  <c r="Q289"/>
  <c r="Q288"/>
  <c r="Q287"/>
  <c r="Q286"/>
  <c r="F290"/>
  <c r="F289"/>
  <c r="F288"/>
  <c r="F287"/>
  <c r="F286"/>
  <c r="F265"/>
  <c r="F264"/>
  <c r="F263"/>
  <c r="F262"/>
  <c r="F261"/>
  <c r="Q265"/>
  <c r="Q264"/>
  <c r="Q263"/>
  <c r="Q262"/>
  <c r="Q261"/>
  <c r="Q240"/>
  <c r="Q239"/>
  <c r="Q238"/>
  <c r="Q237"/>
  <c r="Q236"/>
  <c r="F240"/>
  <c r="F239"/>
  <c r="F238"/>
  <c r="F237"/>
  <c r="F236"/>
  <c r="F215"/>
  <c r="F214"/>
  <c r="F213"/>
  <c r="F212"/>
  <c r="F211"/>
  <c r="Q215"/>
  <c r="Q214"/>
  <c r="Q213"/>
  <c r="Q212"/>
  <c r="Q211"/>
  <c r="Q190"/>
  <c r="Q189"/>
  <c r="Q188"/>
  <c r="Q187"/>
  <c r="Q186"/>
  <c r="F190"/>
  <c r="F189"/>
  <c r="F188"/>
  <c r="F187"/>
  <c r="F186"/>
  <c r="Q165"/>
  <c r="Q164"/>
  <c r="Q163"/>
  <c r="Q162"/>
  <c r="Q161"/>
  <c r="F165"/>
  <c r="F164"/>
  <c r="F163"/>
  <c r="F162"/>
  <c r="F161"/>
  <c r="Q140"/>
  <c r="Q139"/>
  <c r="Q138"/>
  <c r="Q137"/>
  <c r="Q136"/>
  <c r="F140"/>
  <c r="F139"/>
  <c r="F138"/>
  <c r="F137"/>
  <c r="F136"/>
  <c r="F115"/>
  <c r="F114"/>
  <c r="F113"/>
  <c r="F112"/>
  <c r="F111"/>
  <c r="Q115"/>
  <c r="Q114"/>
  <c r="Q113"/>
  <c r="Q112"/>
  <c r="Q111"/>
  <c r="Q90"/>
  <c r="Q89"/>
  <c r="Q88"/>
  <c r="Q87"/>
  <c r="Q86"/>
  <c r="F90"/>
  <c r="F89"/>
  <c r="F88"/>
  <c r="F87"/>
  <c r="F86"/>
  <c r="Q65"/>
  <c r="Q64"/>
  <c r="Q63"/>
  <c r="Q62"/>
  <c r="Q61"/>
  <c r="F65"/>
  <c r="F64"/>
  <c r="F63"/>
  <c r="F62"/>
  <c r="F61"/>
  <c r="F40"/>
  <c r="F39"/>
  <c r="F38"/>
  <c r="F37"/>
  <c r="F36"/>
  <c r="Q40"/>
  <c r="Q39"/>
  <c r="Q38"/>
  <c r="Q37"/>
  <c r="Q36"/>
  <c r="Q15"/>
  <c r="Q14"/>
  <c r="Q13"/>
  <c r="Q12"/>
  <c r="Q11"/>
  <c r="F15"/>
  <c r="F14"/>
  <c r="F13"/>
  <c r="F12"/>
  <c r="F11"/>
  <c r="N327"/>
  <c r="N310" s="1"/>
  <c r="N316" s="1"/>
  <c r="N302"/>
  <c r="N285" s="1"/>
  <c r="N291" s="1"/>
  <c r="N277"/>
  <c r="N260" s="1"/>
  <c r="N266" s="1"/>
  <c r="N252"/>
  <c r="N235" s="1"/>
  <c r="N241" s="1"/>
  <c r="N227"/>
  <c r="N210" s="1"/>
  <c r="N216" s="1"/>
  <c r="N202"/>
  <c r="N185" s="1"/>
  <c r="N191" s="1"/>
  <c r="N177"/>
  <c r="N160" s="1"/>
  <c r="N166" s="1"/>
  <c r="N152"/>
  <c r="N135" s="1"/>
  <c r="N141" s="1"/>
  <c r="N127"/>
  <c r="N110"/>
  <c r="N116" s="1"/>
  <c r="N102"/>
  <c r="N85" s="1"/>
  <c r="N91" s="1"/>
  <c r="N77"/>
  <c r="N60" s="1"/>
  <c r="N66" s="1"/>
  <c r="N52"/>
  <c r="N35" s="1"/>
  <c r="N41" s="1"/>
  <c r="N27"/>
  <c r="N10" s="1"/>
  <c r="N16" s="1"/>
  <c r="O327"/>
  <c r="O310" s="1"/>
  <c r="O316" s="1"/>
  <c r="O302"/>
  <c r="O285" s="1"/>
  <c r="O291" s="1"/>
  <c r="O277"/>
  <c r="O260" s="1"/>
  <c r="O266" s="1"/>
  <c r="O252"/>
  <c r="O235" s="1"/>
  <c r="O241" s="1"/>
  <c r="O227"/>
  <c r="O210" s="1"/>
  <c r="O216" s="1"/>
  <c r="O202"/>
  <c r="O185" s="1"/>
  <c r="O191" s="1"/>
  <c r="O177"/>
  <c r="O160" s="1"/>
  <c r="O166" s="1"/>
  <c r="O152"/>
  <c r="O135" s="1"/>
  <c r="O141" s="1"/>
  <c r="O127"/>
  <c r="O110" s="1"/>
  <c r="O116" s="1"/>
  <c r="O102"/>
  <c r="O85" s="1"/>
  <c r="O91" s="1"/>
  <c r="O77"/>
  <c r="O60" s="1"/>
  <c r="O66" s="1"/>
  <c r="O52"/>
  <c r="O35" s="1"/>
  <c r="O41" s="1"/>
  <c r="O27"/>
  <c r="O10" s="1"/>
  <c r="O16" s="1"/>
  <c r="P327"/>
  <c r="P316" s="1"/>
  <c r="P302"/>
  <c r="P291" s="1"/>
  <c r="P277"/>
  <c r="P266" s="1"/>
  <c r="P252"/>
  <c r="P241" s="1"/>
  <c r="P227"/>
  <c r="P216" s="1"/>
  <c r="P202"/>
  <c r="P191"/>
  <c r="P177"/>
  <c r="P166" s="1"/>
  <c r="P152"/>
  <c r="P141" s="1"/>
  <c r="P127"/>
  <c r="P116" s="1"/>
  <c r="P102"/>
  <c r="P91" s="1"/>
  <c r="P77"/>
  <c r="P66" s="1"/>
  <c r="P52"/>
  <c r="P41" s="1"/>
  <c r="P27"/>
  <c r="P16"/>
  <c r="C335"/>
  <c r="C327"/>
  <c r="C310" s="1"/>
  <c r="C316" s="1"/>
  <c r="C302"/>
  <c r="C285" s="1"/>
  <c r="C291" s="1"/>
  <c r="C277"/>
  <c r="C260" s="1"/>
  <c r="C266" s="1"/>
  <c r="C248"/>
  <c r="C252" s="1"/>
  <c r="C235" s="1"/>
  <c r="C241" s="1"/>
  <c r="C227"/>
  <c r="C210" s="1"/>
  <c r="C216" s="1"/>
  <c r="C202"/>
  <c r="C185" s="1"/>
  <c r="C191" s="1"/>
  <c r="C177"/>
  <c r="C160" s="1"/>
  <c r="C166" s="1"/>
  <c r="C173"/>
  <c r="C152"/>
  <c r="C135" s="1"/>
  <c r="C141" s="1"/>
  <c r="C127"/>
  <c r="C110" s="1"/>
  <c r="C116" s="1"/>
  <c r="C102"/>
  <c r="C85" s="1"/>
  <c r="C91" s="1"/>
  <c r="C77"/>
  <c r="C60" s="1"/>
  <c r="C66" s="1"/>
  <c r="C52"/>
  <c r="C35" s="1"/>
  <c r="C41" s="1"/>
  <c r="C27"/>
  <c r="C10" s="1"/>
  <c r="C16" s="1"/>
  <c r="D335"/>
  <c r="D327"/>
  <c r="D310" s="1"/>
  <c r="D316" s="1"/>
  <c r="D302"/>
  <c r="D285" s="1"/>
  <c r="D291" s="1"/>
  <c r="D277"/>
  <c r="D260" s="1"/>
  <c r="D266" s="1"/>
  <c r="D248"/>
  <c r="D252" s="1"/>
  <c r="D235" s="1"/>
  <c r="D241" s="1"/>
  <c r="D227"/>
  <c r="D210" s="1"/>
  <c r="D216" s="1"/>
  <c r="D202"/>
  <c r="D185" s="1"/>
  <c r="D191" s="1"/>
  <c r="D173"/>
  <c r="D177" s="1"/>
  <c r="D160" s="1"/>
  <c r="D166" s="1"/>
  <c r="D152"/>
  <c r="D135" s="1"/>
  <c r="D141" s="1"/>
  <c r="D127"/>
  <c r="D110" s="1"/>
  <c r="D116" s="1"/>
  <c r="D102"/>
  <c r="D85" s="1"/>
  <c r="D91" s="1"/>
  <c r="D77"/>
  <c r="D60" s="1"/>
  <c r="D66" s="1"/>
  <c r="D52"/>
  <c r="D35" s="1"/>
  <c r="D41" s="1"/>
  <c r="D27"/>
  <c r="D10" s="1"/>
  <c r="D16" s="1"/>
  <c r="E335"/>
  <c r="E327"/>
  <c r="E316" s="1"/>
  <c r="E302"/>
  <c r="E291" s="1"/>
  <c r="E277"/>
  <c r="E266"/>
  <c r="E252"/>
  <c r="E241"/>
  <c r="E227"/>
  <c r="E216" s="1"/>
  <c r="E202"/>
  <c r="E191" s="1"/>
  <c r="E177"/>
  <c r="E166" s="1"/>
  <c r="E152"/>
  <c r="E141"/>
  <c r="E127"/>
  <c r="E116" s="1"/>
  <c r="E102"/>
  <c r="E91" s="1"/>
  <c r="E77"/>
  <c r="E66" s="1"/>
  <c r="E52"/>
  <c r="E41" s="1"/>
  <c r="E27"/>
  <c r="E16"/>
  <c r="E75" i="70"/>
  <c r="E74"/>
  <c r="E58"/>
  <c r="E57"/>
  <c r="E51"/>
  <c r="E41"/>
  <c r="E40"/>
  <c r="E39"/>
  <c r="E31"/>
  <c r="E30"/>
  <c r="E24"/>
  <c r="E23"/>
  <c r="E21"/>
  <c r="E20"/>
  <c r="E19"/>
  <c r="E11"/>
  <c r="B76"/>
  <c r="B78" s="1"/>
  <c r="B72"/>
  <c r="B61"/>
  <c r="B59"/>
  <c r="B56"/>
  <c r="B63" s="1"/>
  <c r="B52"/>
  <c r="B54" s="1"/>
  <c r="B50"/>
  <c r="B48"/>
  <c r="B44"/>
  <c r="B42"/>
  <c r="B38"/>
  <c r="B34"/>
  <c r="B32"/>
  <c r="B29"/>
  <c r="B25"/>
  <c r="B22"/>
  <c r="B18"/>
  <c r="B27" s="1"/>
  <c r="B14"/>
  <c r="B12"/>
  <c r="C72"/>
  <c r="C76" s="1"/>
  <c r="C78" s="1"/>
  <c r="C61"/>
  <c r="C59"/>
  <c r="C56"/>
  <c r="C52"/>
  <c r="C54" s="1"/>
  <c r="C50"/>
  <c r="C48"/>
  <c r="C44"/>
  <c r="C42"/>
  <c r="C38"/>
  <c r="C34"/>
  <c r="C32"/>
  <c r="C29"/>
  <c r="C36" s="1"/>
  <c r="C25"/>
  <c r="C22"/>
  <c r="C18"/>
  <c r="C27" s="1"/>
  <c r="C14"/>
  <c r="C16" s="1"/>
  <c r="C12"/>
  <c r="D72"/>
  <c r="D76" s="1"/>
  <c r="D78" s="1"/>
  <c r="D61"/>
  <c r="D59"/>
  <c r="D56"/>
  <c r="D63" s="1"/>
  <c r="D52"/>
  <c r="D50"/>
  <c r="D48"/>
  <c r="D44"/>
  <c r="D42"/>
  <c r="D38"/>
  <c r="D34"/>
  <c r="D32"/>
  <c r="D29"/>
  <c r="D25"/>
  <c r="D22"/>
  <c r="D18"/>
  <c r="D27" s="1"/>
  <c r="D14"/>
  <c r="D12"/>
  <c r="D16"/>
  <c r="M32" i="69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N25"/>
  <c r="M25"/>
  <c r="L25"/>
  <c r="K25"/>
  <c r="M24"/>
  <c r="L24"/>
  <c r="K24"/>
  <c r="M23"/>
  <c r="L23"/>
  <c r="K23"/>
  <c r="M22"/>
  <c r="L22"/>
  <c r="K22"/>
  <c r="M21"/>
  <c r="L21"/>
  <c r="K21"/>
  <c r="L20"/>
  <c r="L19" s="1"/>
  <c r="L18" s="1"/>
  <c r="M14"/>
  <c r="L14"/>
  <c r="K14"/>
  <c r="L13"/>
  <c r="K13"/>
  <c r="M12"/>
  <c r="L12"/>
  <c r="K12"/>
  <c r="L11"/>
  <c r="K11"/>
  <c r="M10"/>
  <c r="L10"/>
  <c r="K10"/>
  <c r="L9"/>
  <c r="K9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F26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13"/>
  <c r="D13"/>
  <c r="C13"/>
  <c r="D11"/>
  <c r="E9"/>
  <c r="D9"/>
  <c r="D8" s="1"/>
  <c r="C9"/>
  <c r="M32" i="68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N25"/>
  <c r="M25"/>
  <c r="L25"/>
  <c r="K25"/>
  <c r="M24"/>
  <c r="L24"/>
  <c r="K24"/>
  <c r="M23"/>
  <c r="L23"/>
  <c r="K23"/>
  <c r="M22"/>
  <c r="L22"/>
  <c r="K22"/>
  <c r="M21"/>
  <c r="L21"/>
  <c r="K21"/>
  <c r="M17"/>
  <c r="L17"/>
  <c r="K17"/>
  <c r="M15"/>
  <c r="L15"/>
  <c r="K15"/>
  <c r="M14"/>
  <c r="L14"/>
  <c r="K14"/>
  <c r="K13"/>
  <c r="M12"/>
  <c r="L12"/>
  <c r="K12"/>
  <c r="M11"/>
  <c r="L11"/>
  <c r="K11"/>
  <c r="M10"/>
  <c r="L10"/>
  <c r="K10"/>
  <c r="L9"/>
  <c r="K9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F26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C15"/>
  <c r="E13"/>
  <c r="D13"/>
  <c r="C13"/>
  <c r="D11"/>
  <c r="E10"/>
  <c r="D10"/>
  <c r="C10"/>
  <c r="D9"/>
  <c r="C9"/>
  <c r="Y323" i="84" l="1"/>
  <c r="Y324" s="1"/>
  <c r="H157"/>
  <c r="AD159"/>
  <c r="C63" i="70"/>
  <c r="L273" i="84"/>
  <c r="H273"/>
  <c r="AT159"/>
  <c r="U79" i="85"/>
  <c r="Q79"/>
  <c r="I79"/>
  <c r="R79"/>
  <c r="G79"/>
  <c r="P79"/>
  <c r="H79"/>
  <c r="O79"/>
  <c r="N79"/>
  <c r="F79"/>
  <c r="M79"/>
  <c r="E79"/>
  <c r="L79"/>
  <c r="K79"/>
  <c r="D79"/>
  <c r="C79"/>
  <c r="D24" i="75"/>
  <c r="AP91" i="84"/>
  <c r="AP159" s="1"/>
  <c r="AD273"/>
  <c r="AD321" s="1"/>
  <c r="E13" i="75"/>
  <c r="AS323" i="84"/>
  <c r="AS324" s="1"/>
  <c r="D36" i="70"/>
  <c r="C46"/>
  <c r="C65" s="1"/>
  <c r="C80" s="1"/>
  <c r="AI321" i="84"/>
  <c r="AJ253"/>
  <c r="AJ321" s="1"/>
  <c r="C109" i="61"/>
  <c r="AR159" i="84"/>
  <c r="H298"/>
  <c r="U324"/>
  <c r="B36" i="70"/>
  <c r="H136" i="84"/>
  <c r="AP273"/>
  <c r="AL91"/>
  <c r="AL159" s="1"/>
  <c r="K8" i="69"/>
  <c r="D46" i="70"/>
  <c r="B46"/>
  <c r="AF91" i="84"/>
  <c r="P159"/>
  <c r="P324" s="1"/>
  <c r="H286"/>
  <c r="U149" i="85"/>
  <c r="P149"/>
  <c r="H149"/>
  <c r="Q149"/>
  <c r="R149"/>
  <c r="I149"/>
  <c r="N149"/>
  <c r="G149"/>
  <c r="F149"/>
  <c r="M149"/>
  <c r="E149"/>
  <c r="O149"/>
  <c r="K149"/>
  <c r="L149"/>
  <c r="D149"/>
  <c r="C149"/>
  <c r="P9"/>
  <c r="H9"/>
  <c r="Q9"/>
  <c r="I9"/>
  <c r="G9"/>
  <c r="R9"/>
  <c r="U9"/>
  <c r="N9"/>
  <c r="F9"/>
  <c r="O9"/>
  <c r="L9"/>
  <c r="C9"/>
  <c r="K9"/>
  <c r="M9"/>
  <c r="E9"/>
  <c r="D9"/>
  <c r="Y321" i="84"/>
  <c r="Y327" s="1"/>
  <c r="AS321"/>
  <c r="M20" i="69"/>
  <c r="M19" s="1"/>
  <c r="M18" s="1"/>
  <c r="C36" i="72"/>
  <c r="AB327" i="84"/>
  <c r="K321"/>
  <c r="H319"/>
  <c r="AT273"/>
  <c r="AT321" s="1"/>
  <c r="AX321"/>
  <c r="AW326"/>
  <c r="AW327" s="1"/>
  <c r="E25" i="75"/>
  <c r="M13" i="69"/>
  <c r="V159" i="84"/>
  <c r="E9" i="70"/>
  <c r="H11"/>
  <c r="H9" s="1"/>
  <c r="D7" i="75"/>
  <c r="D71" i="61"/>
  <c r="D101" s="1"/>
  <c r="C192"/>
  <c r="R72" i="85" s="1"/>
  <c r="E109" i="76"/>
  <c r="E10"/>
  <c r="E11" i="69"/>
  <c r="D10" i="61"/>
  <c r="S142" i="85"/>
  <c r="C20" i="68"/>
  <c r="C19" s="1"/>
  <c r="C18" s="1"/>
  <c r="K8"/>
  <c r="C11" i="69"/>
  <c r="C8" s="1"/>
  <c r="AM324" i="84"/>
  <c r="K20" i="68"/>
  <c r="K19" s="1"/>
  <c r="K18" s="1"/>
  <c r="K20" i="69"/>
  <c r="K19" s="1"/>
  <c r="K18" s="1"/>
  <c r="X324" i="84"/>
  <c r="E11" i="68"/>
  <c r="E8" i="75"/>
  <c r="E71" i="61"/>
  <c r="F212" i="85" s="1"/>
  <c r="J212" s="1"/>
  <c r="B16" i="70"/>
  <c r="B65" s="1"/>
  <c r="B80" s="1"/>
  <c r="P327" i="84"/>
  <c r="Z321"/>
  <c r="AF321"/>
  <c r="H243"/>
  <c r="H253" s="1"/>
  <c r="H304"/>
  <c r="H307" s="1"/>
  <c r="H91"/>
  <c r="AN327"/>
  <c r="AR327"/>
  <c r="D149" i="61"/>
  <c r="F109" i="76"/>
  <c r="AF326" i="84"/>
  <c r="D22" i="75"/>
  <c r="L16" i="68"/>
  <c r="L8" s="1"/>
  <c r="E214" i="76"/>
  <c r="E244" s="1"/>
  <c r="AU326" i="84"/>
  <c r="AU327" s="1"/>
  <c r="C25" i="75"/>
  <c r="G50" i="76"/>
  <c r="E228"/>
  <c r="C8" i="75"/>
  <c r="S323" i="84"/>
  <c r="S324" s="1"/>
  <c r="E8" i="69"/>
  <c r="M20" i="68"/>
  <c r="M19" s="1"/>
  <c r="M18" s="1"/>
  <c r="D20"/>
  <c r="D19" s="1"/>
  <c r="D18" s="1"/>
  <c r="L8" i="69"/>
  <c r="L33" s="1"/>
  <c r="F229" i="76"/>
  <c r="F228" s="1"/>
  <c r="E149"/>
  <c r="E176" s="1"/>
  <c r="E12" i="75"/>
  <c r="AO323" i="84"/>
  <c r="AO324" s="1"/>
  <c r="D10" i="75"/>
  <c r="AB323" i="84"/>
  <c r="AB324" s="1"/>
  <c r="C8" i="68"/>
  <c r="D8" i="75"/>
  <c r="T323" i="84"/>
  <c r="T324" s="1"/>
  <c r="G222" i="76"/>
  <c r="G221" s="1"/>
  <c r="E207"/>
  <c r="C9" i="75"/>
  <c r="W323" i="84"/>
  <c r="AQ326"/>
  <c r="AQ327" s="1"/>
  <c r="C24" i="75"/>
  <c r="C20"/>
  <c r="W326" i="84"/>
  <c r="W327" s="1"/>
  <c r="C50" i="61"/>
  <c r="C11" i="75"/>
  <c r="AI323" i="84"/>
  <c r="AI324" s="1"/>
  <c r="C101" i="61"/>
  <c r="F72" i="85"/>
  <c r="J72" s="1"/>
  <c r="E207" i="61"/>
  <c r="O212" i="85"/>
  <c r="S212" s="1"/>
  <c r="O72"/>
  <c r="D50" i="61"/>
  <c r="D11" i="75"/>
  <c r="AJ323" i="84"/>
  <c r="AJ324" s="1"/>
  <c r="C22" i="75"/>
  <c r="AE326" i="84"/>
  <c r="AE327" s="1"/>
  <c r="D20" i="75"/>
  <c r="X326" i="84"/>
  <c r="X327" s="1"/>
  <c r="C13" i="75"/>
  <c r="AQ323" i="84"/>
  <c r="AQ324" s="1"/>
  <c r="C10" i="61"/>
  <c r="D13" i="75"/>
  <c r="AR323" i="84"/>
  <c r="AR324" s="1"/>
  <c r="E21" i="75"/>
  <c r="AC326" i="84"/>
  <c r="AC327" s="1"/>
  <c r="E50" i="76"/>
  <c r="C149" i="61"/>
  <c r="C176" s="1"/>
  <c r="AM326" i="84"/>
  <c r="AM327" s="1"/>
  <c r="C23" i="75"/>
  <c r="L20" i="68"/>
  <c r="L19" s="1"/>
  <c r="L18" s="1"/>
  <c r="C20" i="69"/>
  <c r="C19" s="1"/>
  <c r="C18" s="1"/>
  <c r="K35" s="1"/>
  <c r="D109" i="61"/>
  <c r="F10" i="76"/>
  <c r="E101"/>
  <c r="W324" i="84"/>
  <c r="V321"/>
  <c r="R321"/>
  <c r="AP321"/>
  <c r="M307"/>
  <c r="AH321"/>
  <c r="G132" i="76"/>
  <c r="G109" s="1"/>
  <c r="E22" i="75"/>
  <c r="AG326" i="84"/>
  <c r="AG327" s="1"/>
  <c r="AS326"/>
  <c r="AS327" s="1"/>
  <c r="E24" i="75"/>
  <c r="M8" i="69"/>
  <c r="M33" s="1"/>
  <c r="E149" i="61"/>
  <c r="G149" i="76"/>
  <c r="AO326" i="84"/>
  <c r="AO327" s="1"/>
  <c r="E23" i="75"/>
  <c r="M13" i="68"/>
  <c r="M8" s="1"/>
  <c r="M33" s="1"/>
  <c r="E20" i="75"/>
  <c r="E109" i="61"/>
  <c r="Q326" i="84"/>
  <c r="Q327" s="1"/>
  <c r="E18" i="75"/>
  <c r="E9" i="68"/>
  <c r="E7" i="75"/>
  <c r="E10" i="61"/>
  <c r="E70" s="1"/>
  <c r="G10" i="76"/>
  <c r="E10" i="75"/>
  <c r="AC323" i="84"/>
  <c r="AC324" s="1"/>
  <c r="T77" i="85"/>
  <c r="W77" s="1"/>
  <c r="A10"/>
  <c r="T7"/>
  <c r="J8"/>
  <c r="T147"/>
  <c r="W147" s="1"/>
  <c r="S8"/>
  <c r="A80"/>
  <c r="S78"/>
  <c r="J78"/>
  <c r="J148"/>
  <c r="S148"/>
  <c r="A150"/>
  <c r="M273" i="84"/>
  <c r="M253"/>
  <c r="I304"/>
  <c r="I307" s="1"/>
  <c r="I314"/>
  <c r="I319" s="1"/>
  <c r="I293"/>
  <c r="I298" s="1"/>
  <c r="AK321"/>
  <c r="I264"/>
  <c r="I243"/>
  <c r="I260"/>
  <c r="I250"/>
  <c r="I281"/>
  <c r="I286" s="1"/>
  <c r="I88"/>
  <c r="I131"/>
  <c r="I136" s="1"/>
  <c r="I110"/>
  <c r="I98"/>
  <c r="I119"/>
  <c r="I102"/>
  <c r="I142"/>
  <c r="I152"/>
  <c r="I81"/>
  <c r="I91" s="1"/>
  <c r="AG159"/>
  <c r="I124"/>
  <c r="M111"/>
  <c r="I145"/>
  <c r="Q159"/>
  <c r="Q324" s="1"/>
  <c r="L286"/>
  <c r="L321" s="1"/>
  <c r="G253"/>
  <c r="G298"/>
  <c r="AN159"/>
  <c r="AN324" s="1"/>
  <c r="H124"/>
  <c r="K159"/>
  <c r="AF159"/>
  <c r="G91"/>
  <c r="G159" s="1"/>
  <c r="I157"/>
  <c r="L159"/>
  <c r="M91"/>
  <c r="AE91"/>
  <c r="AE159" s="1"/>
  <c r="F137" i="77"/>
  <c r="G207" i="76"/>
  <c r="F50"/>
  <c r="E220"/>
  <c r="F220"/>
  <c r="F149"/>
  <c r="G229"/>
  <c r="G228" s="1"/>
  <c r="F207"/>
  <c r="G101"/>
  <c r="D207" i="61"/>
  <c r="D20" i="69"/>
  <c r="D19" s="1"/>
  <c r="D18" s="1"/>
  <c r="D35" s="1"/>
  <c r="L34"/>
  <c r="K34" i="68"/>
  <c r="K34" i="69"/>
  <c r="E20" i="68"/>
  <c r="E19" s="1"/>
  <c r="E18" s="1"/>
  <c r="M35" s="1"/>
  <c r="E20" i="69"/>
  <c r="E19" s="1"/>
  <c r="E18" s="1"/>
  <c r="M35" s="1"/>
  <c r="D8" i="68"/>
  <c r="C37" i="72"/>
  <c r="D37"/>
  <c r="E37"/>
  <c r="F173" i="116"/>
  <c r="F248"/>
  <c r="D54" i="70"/>
  <c r="D65"/>
  <c r="D80" s="1"/>
  <c r="K33" i="69"/>
  <c r="C34"/>
  <c r="C33"/>
  <c r="D34"/>
  <c r="K35" i="68" l="1"/>
  <c r="T212" i="85"/>
  <c r="W212" s="1"/>
  <c r="K33" i="68"/>
  <c r="C28" i="75"/>
  <c r="C70" i="61"/>
  <c r="C102" s="1"/>
  <c r="C38" i="69" s="1"/>
  <c r="U10" i="85"/>
  <c r="Q10"/>
  <c r="I10"/>
  <c r="P10"/>
  <c r="R10"/>
  <c r="H10"/>
  <c r="O10"/>
  <c r="G10"/>
  <c r="F10"/>
  <c r="M10"/>
  <c r="K10"/>
  <c r="E10"/>
  <c r="N10"/>
  <c r="L10"/>
  <c r="C10"/>
  <c r="D10"/>
  <c r="G321" i="84"/>
  <c r="P80" i="85"/>
  <c r="H80"/>
  <c r="R80"/>
  <c r="Q80"/>
  <c r="U80"/>
  <c r="I80"/>
  <c r="F80"/>
  <c r="G80"/>
  <c r="O80"/>
  <c r="N80"/>
  <c r="L80"/>
  <c r="M80"/>
  <c r="E80"/>
  <c r="K80"/>
  <c r="D80"/>
  <c r="C80"/>
  <c r="L33" i="68"/>
  <c r="C16" i="75"/>
  <c r="Q150" i="85"/>
  <c r="G150"/>
  <c r="R150"/>
  <c r="I150"/>
  <c r="P150"/>
  <c r="U150"/>
  <c r="H150"/>
  <c r="E150"/>
  <c r="N150"/>
  <c r="O150"/>
  <c r="F150"/>
  <c r="M150"/>
  <c r="L150"/>
  <c r="K150"/>
  <c r="D150"/>
  <c r="C150"/>
  <c r="F70" i="76"/>
  <c r="F102" s="1"/>
  <c r="L35" i="68"/>
  <c r="F142" i="85"/>
  <c r="J142" s="1"/>
  <c r="T142" s="1"/>
  <c r="W142" s="1"/>
  <c r="D70" i="61"/>
  <c r="D102" s="1"/>
  <c r="D38" i="69" s="1"/>
  <c r="C29" i="75"/>
  <c r="C30" s="1"/>
  <c r="D16"/>
  <c r="D176" i="61"/>
  <c r="D208" s="1"/>
  <c r="L38" i="69" s="1"/>
  <c r="C207" i="61"/>
  <c r="C208" s="1"/>
  <c r="K38" i="69" s="1"/>
  <c r="F214" i="76"/>
  <c r="F244" s="1"/>
  <c r="C33" i="68"/>
  <c r="S72" i="85"/>
  <c r="T72" s="1"/>
  <c r="W72" s="1"/>
  <c r="C35" i="69"/>
  <c r="E8" i="68"/>
  <c r="M34" s="1"/>
  <c r="E101" i="61"/>
  <c r="E102" s="1"/>
  <c r="E38" i="69" s="1"/>
  <c r="G220" i="76"/>
  <c r="AF327" i="84"/>
  <c r="H321"/>
  <c r="H159"/>
  <c r="E34" i="69"/>
  <c r="M34"/>
  <c r="E176" i="61"/>
  <c r="E208" s="1"/>
  <c r="M38" i="69" s="1"/>
  <c r="D28" i="75"/>
  <c r="L34" i="68"/>
  <c r="F176" i="76"/>
  <c r="F208" s="1"/>
  <c r="E215"/>
  <c r="E213" s="1"/>
  <c r="D33" i="68"/>
  <c r="E70" i="76"/>
  <c r="E102" s="1"/>
  <c r="E208"/>
  <c r="M321" i="84"/>
  <c r="G214" i="76"/>
  <c r="G244" s="1"/>
  <c r="G176"/>
  <c r="G208" s="1"/>
  <c r="G215"/>
  <c r="E28" i="75"/>
  <c r="E16"/>
  <c r="G70" i="76"/>
  <c r="G102" s="1"/>
  <c r="T8" i="85"/>
  <c r="W8" s="1"/>
  <c r="J10"/>
  <c r="A11"/>
  <c r="S9"/>
  <c r="W7"/>
  <c r="J9"/>
  <c r="S79"/>
  <c r="J79"/>
  <c r="T78"/>
  <c r="A81"/>
  <c r="T148"/>
  <c r="J149"/>
  <c r="A151"/>
  <c r="S149"/>
  <c r="I273" i="84"/>
  <c r="I253"/>
  <c r="I111"/>
  <c r="I159" s="1"/>
  <c r="M159"/>
  <c r="F215" i="76"/>
  <c r="F245" s="1"/>
  <c r="E33" i="69"/>
  <c r="E35"/>
  <c r="L35"/>
  <c r="D33"/>
  <c r="U151" i="85" l="1"/>
  <c r="G151"/>
  <c r="P151"/>
  <c r="H151"/>
  <c r="O151"/>
  <c r="Q151"/>
  <c r="R151"/>
  <c r="I151"/>
  <c r="F151"/>
  <c r="M151"/>
  <c r="E151"/>
  <c r="N151"/>
  <c r="K151"/>
  <c r="L151"/>
  <c r="D151"/>
  <c r="C151"/>
  <c r="U11"/>
  <c r="H11"/>
  <c r="Q11"/>
  <c r="I11"/>
  <c r="R11"/>
  <c r="P11"/>
  <c r="F11"/>
  <c r="G11"/>
  <c r="O11"/>
  <c r="N11"/>
  <c r="M11"/>
  <c r="K11"/>
  <c r="E11"/>
  <c r="D11"/>
  <c r="L11"/>
  <c r="C11"/>
  <c r="U81"/>
  <c r="I81"/>
  <c r="R81"/>
  <c r="G81"/>
  <c r="P81"/>
  <c r="H81"/>
  <c r="Q81"/>
  <c r="O81"/>
  <c r="N81"/>
  <c r="F81"/>
  <c r="E81"/>
  <c r="L81"/>
  <c r="K81"/>
  <c r="D81"/>
  <c r="C81"/>
  <c r="M81"/>
  <c r="D29" i="75"/>
  <c r="D30" s="1"/>
  <c r="E245" i="76"/>
  <c r="E33" i="68"/>
  <c r="G213" i="76"/>
  <c r="G245"/>
  <c r="E29" i="75"/>
  <c r="E30" s="1"/>
  <c r="T149" i="85"/>
  <c r="W149" s="1"/>
  <c r="T79"/>
  <c r="W79" s="1"/>
  <c r="S10"/>
  <c r="A12"/>
  <c r="T9"/>
  <c r="S80"/>
  <c r="J80"/>
  <c r="A82"/>
  <c r="W78"/>
  <c r="W148"/>
  <c r="S150"/>
  <c r="A152"/>
  <c r="J150"/>
  <c r="I321" i="84"/>
  <c r="F213" i="76"/>
  <c r="H82" i="85" l="1"/>
  <c r="G82"/>
  <c r="R82"/>
  <c r="Q82"/>
  <c r="U82"/>
  <c r="I82"/>
  <c r="P82"/>
  <c r="O82"/>
  <c r="N82"/>
  <c r="F82"/>
  <c r="M82"/>
  <c r="E82"/>
  <c r="L82"/>
  <c r="K82"/>
  <c r="D82"/>
  <c r="C82"/>
  <c r="R152"/>
  <c r="I152"/>
  <c r="P152"/>
  <c r="U152"/>
  <c r="H152"/>
  <c r="Q152"/>
  <c r="G152"/>
  <c r="N152"/>
  <c r="O152"/>
  <c r="F152"/>
  <c r="M152"/>
  <c r="L152"/>
  <c r="E152"/>
  <c r="K152"/>
  <c r="D152"/>
  <c r="C152"/>
  <c r="I12"/>
  <c r="P12"/>
  <c r="R12"/>
  <c r="H12"/>
  <c r="U12"/>
  <c r="Q12"/>
  <c r="G12"/>
  <c r="N12"/>
  <c r="O12"/>
  <c r="E12"/>
  <c r="L12"/>
  <c r="M12"/>
  <c r="K12"/>
  <c r="F12"/>
  <c r="D12"/>
  <c r="C12"/>
  <c r="A13"/>
  <c r="J11"/>
  <c r="W9"/>
  <c r="S11"/>
  <c r="T10"/>
  <c r="W10" s="1"/>
  <c r="T80"/>
  <c r="W80" s="1"/>
  <c r="J81"/>
  <c r="A83"/>
  <c r="S81"/>
  <c r="T150"/>
  <c r="W150" s="1"/>
  <c r="S151"/>
  <c r="A153"/>
  <c r="J151"/>
  <c r="F241" i="109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227" s="1"/>
  <c r="F225" s="1"/>
  <c r="F183"/>
  <c r="F182"/>
  <c r="F181"/>
  <c r="F180"/>
  <c r="F179" s="1"/>
  <c r="F178" s="1"/>
  <c r="F177" s="1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3" s="1"/>
  <c r="F125"/>
  <c r="F124"/>
  <c r="F122"/>
  <c r="F121"/>
  <c r="F120"/>
  <c r="F119"/>
  <c r="F116" s="1"/>
  <c r="F118"/>
  <c r="F117"/>
  <c r="F115"/>
  <c r="F114"/>
  <c r="F113"/>
  <c r="F112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3"/>
  <c r="F62"/>
  <c r="F61"/>
  <c r="F60"/>
  <c r="F59"/>
  <c r="F58"/>
  <c r="F57"/>
  <c r="F56"/>
  <c r="F55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F12" s="1"/>
  <c r="F11" s="1"/>
  <c r="C233"/>
  <c r="C194"/>
  <c r="C193" s="1"/>
  <c r="C192" s="1"/>
  <c r="C234"/>
  <c r="C226"/>
  <c r="C227"/>
  <c r="C225" s="1"/>
  <c r="C165"/>
  <c r="C159"/>
  <c r="C150"/>
  <c r="C146"/>
  <c r="C132" s="1"/>
  <c r="C123"/>
  <c r="C116"/>
  <c r="C110"/>
  <c r="D242"/>
  <c r="D233"/>
  <c r="D234"/>
  <c r="D226"/>
  <c r="D227"/>
  <c r="D225" s="1"/>
  <c r="D165"/>
  <c r="D159"/>
  <c r="D150"/>
  <c r="D146"/>
  <c r="D123"/>
  <c r="D116"/>
  <c r="D110"/>
  <c r="E242"/>
  <c r="E226"/>
  <c r="E233"/>
  <c r="E234"/>
  <c r="E227"/>
  <c r="E225" s="1"/>
  <c r="E165"/>
  <c r="E159"/>
  <c r="E150"/>
  <c r="E146"/>
  <c r="E132" s="1"/>
  <c r="E123"/>
  <c r="E116"/>
  <c r="E110"/>
  <c r="F241" i="97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191"/>
  <c r="F190"/>
  <c r="F189"/>
  <c r="F188"/>
  <c r="F187"/>
  <c r="F186"/>
  <c r="F185"/>
  <c r="F226" s="1"/>
  <c r="F184"/>
  <c r="F183"/>
  <c r="F182"/>
  <c r="F227" s="1"/>
  <c r="F225" s="1"/>
  <c r="F181"/>
  <c r="F180"/>
  <c r="F174"/>
  <c r="F173"/>
  <c r="F172"/>
  <c r="F171"/>
  <c r="F170"/>
  <c r="F169"/>
  <c r="F168"/>
  <c r="F167"/>
  <c r="F166"/>
  <c r="F164"/>
  <c r="F163"/>
  <c r="F162"/>
  <c r="F161"/>
  <c r="F160"/>
  <c r="F159"/>
  <c r="F158"/>
  <c r="F157"/>
  <c r="F156"/>
  <c r="F155"/>
  <c r="F154"/>
  <c r="F153"/>
  <c r="F152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0" s="1"/>
  <c r="F112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 s="1"/>
  <c r="F57"/>
  <c r="F56"/>
  <c r="F55"/>
  <c r="F54"/>
  <c r="F53"/>
  <c r="F52"/>
  <c r="F49"/>
  <c r="F48"/>
  <c r="F47"/>
  <c r="F46"/>
  <c r="F45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C230"/>
  <c r="C233"/>
  <c r="C234"/>
  <c r="C226"/>
  <c r="C227"/>
  <c r="C225" s="1"/>
  <c r="C159"/>
  <c r="C146"/>
  <c r="C132" s="1"/>
  <c r="C123"/>
  <c r="C223"/>
  <c r="C64"/>
  <c r="C58"/>
  <c r="C51"/>
  <c r="C44"/>
  <c r="C11"/>
  <c r="D242"/>
  <c r="D223"/>
  <c r="D233"/>
  <c r="D232" s="1"/>
  <c r="D234"/>
  <c r="D226"/>
  <c r="D227"/>
  <c r="D225" s="1"/>
  <c r="D159"/>
  <c r="D146"/>
  <c r="D132" s="1"/>
  <c r="D123"/>
  <c r="C116"/>
  <c r="D110"/>
  <c r="D230"/>
  <c r="D64"/>
  <c r="D58"/>
  <c r="D51"/>
  <c r="D44"/>
  <c r="D11"/>
  <c r="E233"/>
  <c r="E226"/>
  <c r="E234"/>
  <c r="E194"/>
  <c r="E193" s="1"/>
  <c r="E192" s="1"/>
  <c r="E227"/>
  <c r="E225" s="1"/>
  <c r="E159"/>
  <c r="E150"/>
  <c r="E146"/>
  <c r="E132"/>
  <c r="E123"/>
  <c r="E116"/>
  <c r="E110"/>
  <c r="E230"/>
  <c r="E223"/>
  <c r="E64"/>
  <c r="E58"/>
  <c r="E51"/>
  <c r="E50" s="1"/>
  <c r="E44"/>
  <c r="E25"/>
  <c r="E11"/>
  <c r="F241" i="67"/>
  <c r="F242" s="1"/>
  <c r="F240"/>
  <c r="F239"/>
  <c r="F206"/>
  <c r="F205"/>
  <c r="F204"/>
  <c r="F203"/>
  <c r="F202"/>
  <c r="F201"/>
  <c r="F200"/>
  <c r="F233" s="1"/>
  <c r="F199"/>
  <c r="F198"/>
  <c r="F197"/>
  <c r="F196"/>
  <c r="F195"/>
  <c r="F191"/>
  <c r="F190"/>
  <c r="F189"/>
  <c r="F188"/>
  <c r="F187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59" s="1"/>
  <c r="F160"/>
  <c r="F158"/>
  <c r="F157"/>
  <c r="F156"/>
  <c r="F155"/>
  <c r="F154"/>
  <c r="F153"/>
  <c r="F152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3"/>
  <c r="F62"/>
  <c r="F61"/>
  <c r="F60"/>
  <c r="F59"/>
  <c r="F58" s="1"/>
  <c r="F57"/>
  <c r="F56"/>
  <c r="F55"/>
  <c r="F54"/>
  <c r="F51" s="1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C226"/>
  <c r="C233"/>
  <c r="C165"/>
  <c r="C159"/>
  <c r="C132"/>
  <c r="C123"/>
  <c r="C223"/>
  <c r="C64"/>
  <c r="C58"/>
  <c r="C51"/>
  <c r="C44"/>
  <c r="C25"/>
  <c r="C12"/>
  <c r="C11" s="1"/>
  <c r="D242"/>
  <c r="D223"/>
  <c r="D226"/>
  <c r="D165"/>
  <c r="D159"/>
  <c r="D150"/>
  <c r="D123"/>
  <c r="C116"/>
  <c r="D110"/>
  <c r="D64"/>
  <c r="D58"/>
  <c r="D51"/>
  <c r="D44"/>
  <c r="D32"/>
  <c r="D25"/>
  <c r="D12"/>
  <c r="D11" s="1"/>
  <c r="E242"/>
  <c r="E226"/>
  <c r="E233"/>
  <c r="E165"/>
  <c r="E159"/>
  <c r="E150"/>
  <c r="E123"/>
  <c r="E116"/>
  <c r="E110"/>
  <c r="E223"/>
  <c r="E64"/>
  <c r="E58"/>
  <c r="E51"/>
  <c r="E44"/>
  <c r="E32"/>
  <c r="E25"/>
  <c r="E12"/>
  <c r="E11" s="1"/>
  <c r="F241" i="66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 s="1"/>
  <c r="F57"/>
  <c r="F56"/>
  <c r="F55"/>
  <c r="F51" s="1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C230"/>
  <c r="C233"/>
  <c r="C234"/>
  <c r="C226"/>
  <c r="C227"/>
  <c r="C225" s="1"/>
  <c r="C165"/>
  <c r="C159"/>
  <c r="C146"/>
  <c r="C123"/>
  <c r="C223"/>
  <c r="C64"/>
  <c r="C58"/>
  <c r="C51"/>
  <c r="C44"/>
  <c r="C25"/>
  <c r="C12"/>
  <c r="C11" s="1"/>
  <c r="D242"/>
  <c r="D223"/>
  <c r="D233"/>
  <c r="D234"/>
  <c r="D226"/>
  <c r="D227"/>
  <c r="D225" s="1"/>
  <c r="D165"/>
  <c r="D159"/>
  <c r="D150"/>
  <c r="D146"/>
  <c r="D123"/>
  <c r="D110"/>
  <c r="D230"/>
  <c r="D64"/>
  <c r="D58"/>
  <c r="D51"/>
  <c r="D44"/>
  <c r="D32"/>
  <c r="D25"/>
  <c r="D12"/>
  <c r="D11" s="1"/>
  <c r="E242"/>
  <c r="E233"/>
  <c r="E234"/>
  <c r="E226"/>
  <c r="E227"/>
  <c r="E225" s="1"/>
  <c r="E165"/>
  <c r="E159"/>
  <c r="E150"/>
  <c r="E146"/>
  <c r="E132"/>
  <c r="E123"/>
  <c r="E110"/>
  <c r="E230"/>
  <c r="E223"/>
  <c r="E64"/>
  <c r="E58"/>
  <c r="E51"/>
  <c r="E44"/>
  <c r="E32"/>
  <c r="E25"/>
  <c r="E12"/>
  <c r="E11" s="1"/>
  <c r="F241" i="65"/>
  <c r="F240"/>
  <c r="F239"/>
  <c r="F206"/>
  <c r="F205"/>
  <c r="F204"/>
  <c r="F203"/>
  <c r="F202"/>
  <c r="F201"/>
  <c r="F200"/>
  <c r="F233" s="1"/>
  <c r="F199"/>
  <c r="F198"/>
  <c r="F197"/>
  <c r="F196"/>
  <c r="F195"/>
  <c r="F191"/>
  <c r="F190"/>
  <c r="F189"/>
  <c r="F188"/>
  <c r="F187"/>
  <c r="F186"/>
  <c r="F185"/>
  <c r="F226" s="1"/>
  <c r="F184"/>
  <c r="F183"/>
  <c r="F182"/>
  <c r="F181"/>
  <c r="F180"/>
  <c r="F179"/>
  <c r="F178" s="1"/>
  <c r="F177" s="1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 s="1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4" s="1"/>
  <c r="F65"/>
  <c r="F63"/>
  <c r="F62"/>
  <c r="F61"/>
  <c r="F60"/>
  <c r="F59"/>
  <c r="F58" s="1"/>
  <c r="F57"/>
  <c r="F56"/>
  <c r="F55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F241" i="64"/>
  <c r="F241" i="61" s="1"/>
  <c r="F240" i="64"/>
  <c r="F240" i="61" s="1"/>
  <c r="F239" i="64"/>
  <c r="F239" i="61" s="1"/>
  <c r="F206" i="64"/>
  <c r="F206" i="61" s="1"/>
  <c r="N32" i="69" s="1"/>
  <c r="F205" i="64"/>
  <c r="F205" i="61" s="1"/>
  <c r="N31" i="69" s="1"/>
  <c r="F204" i="64"/>
  <c r="F204" i="61" s="1"/>
  <c r="N30" i="69" s="1"/>
  <c r="F203" i="64"/>
  <c r="F203" i="61" s="1"/>
  <c r="N29" i="69" s="1"/>
  <c r="F202" i="64"/>
  <c r="F202" i="61" s="1"/>
  <c r="N28" i="69" s="1"/>
  <c r="F201" i="64"/>
  <c r="F201" i="61" s="1"/>
  <c r="N27" i="69" s="1"/>
  <c r="F200" i="64"/>
  <c r="F198"/>
  <c r="F198" i="61" s="1"/>
  <c r="N24" i="69" s="1"/>
  <c r="F197" i="64"/>
  <c r="F197" i="61" s="1"/>
  <c r="N23" i="69" s="1"/>
  <c r="F196" i="64"/>
  <c r="F196" i="61" s="1"/>
  <c r="N22" i="69" s="1"/>
  <c r="F195" i="64"/>
  <c r="F195" i="61" s="1"/>
  <c r="F191" i="64"/>
  <c r="F191" i="61" s="1"/>
  <c r="N32" i="68" s="1"/>
  <c r="F190" i="64"/>
  <c r="F190" i="61" s="1"/>
  <c r="N31" i="68" s="1"/>
  <c r="F189" i="64"/>
  <c r="F189" i="61" s="1"/>
  <c r="N30" i="68" s="1"/>
  <c r="F188" i="64"/>
  <c r="F188" i="61" s="1"/>
  <c r="N29" i="68" s="1"/>
  <c r="F187" i="64"/>
  <c r="F187" i="61" s="1"/>
  <c r="N28" i="68" s="1"/>
  <c r="F186" i="64"/>
  <c r="F186" i="61" s="1"/>
  <c r="N27" i="68" s="1"/>
  <c r="F185" i="64"/>
  <c r="F183"/>
  <c r="F183" i="61" s="1"/>
  <c r="N24" i="68" s="1"/>
  <c r="F182" i="64"/>
  <c r="F182" i="61" s="1"/>
  <c r="N23" i="68" s="1"/>
  <c r="F181" i="64"/>
  <c r="F181" i="61" s="1"/>
  <c r="N22" i="68" s="1"/>
  <c r="F180" i="64"/>
  <c r="F180" i="61" s="1"/>
  <c r="F175" i="64"/>
  <c r="F174"/>
  <c r="F174" i="61" s="1"/>
  <c r="F173" i="64"/>
  <c r="F173" i="61" s="1"/>
  <c r="F172" i="64"/>
  <c r="F172" i="61" s="1"/>
  <c r="F171" i="64"/>
  <c r="F171" i="61" s="1"/>
  <c r="F170" i="64"/>
  <c r="F170" i="61" s="1"/>
  <c r="N14" i="69" s="1"/>
  <c r="F169" i="64"/>
  <c r="F169" i="61" s="1"/>
  <c r="F168" i="64"/>
  <c r="F168" i="61" s="1"/>
  <c r="F167" i="64"/>
  <c r="F167" i="61" s="1"/>
  <c r="F166" i="64"/>
  <c r="F166" i="61" s="1"/>
  <c r="F164" i="64"/>
  <c r="F164" i="61" s="1"/>
  <c r="F163" i="64"/>
  <c r="F163" i="61" s="1"/>
  <c r="F162" i="64"/>
  <c r="F162" i="61" s="1"/>
  <c r="F161" i="64"/>
  <c r="F161" i="61" s="1"/>
  <c r="F160" i="64"/>
  <c r="F160" i="61" s="1"/>
  <c r="N12" i="69" s="1"/>
  <c r="F158" i="64"/>
  <c r="F157"/>
  <c r="F156"/>
  <c r="F156" i="61" s="1"/>
  <c r="F155" i="64"/>
  <c r="F155" i="61" s="1"/>
  <c r="F154" i="64"/>
  <c r="F154" i="61" s="1"/>
  <c r="F153" i="64"/>
  <c r="F153" i="61" s="1"/>
  <c r="F152" i="64"/>
  <c r="F152" i="61" s="1"/>
  <c r="F151" i="64"/>
  <c r="F151" i="61" s="1"/>
  <c r="N10" i="69" s="1"/>
  <c r="F148" i="64"/>
  <c r="F148" i="61" s="1"/>
  <c r="F147" i="64"/>
  <c r="F145"/>
  <c r="F145" i="61" s="1"/>
  <c r="F144" i="64"/>
  <c r="F144" i="61" s="1"/>
  <c r="F143" i="64"/>
  <c r="F143" i="61" s="1"/>
  <c r="F142" i="64"/>
  <c r="F142" i="61" s="1"/>
  <c r="F141" i="64"/>
  <c r="F141" i="61" s="1"/>
  <c r="F140" i="64"/>
  <c r="F140" i="61" s="1"/>
  <c r="F139" i="64"/>
  <c r="F139" i="61" s="1"/>
  <c r="N17" i="68" s="1"/>
  <c r="F138" i="64"/>
  <c r="F138" i="61" s="1"/>
  <c r="F137" i="64"/>
  <c r="F137" i="61" s="1"/>
  <c r="F136" i="64"/>
  <c r="F136" i="61" s="1"/>
  <c r="F135" i="64"/>
  <c r="F135" i="61" s="1"/>
  <c r="F134" i="64"/>
  <c r="F133"/>
  <c r="F133" i="61" s="1"/>
  <c r="F131" i="64"/>
  <c r="F131" i="61" s="1"/>
  <c r="F130" i="64"/>
  <c r="F130" i="61" s="1"/>
  <c r="F129" i="64"/>
  <c r="F129" i="61" s="1"/>
  <c r="F128" i="64"/>
  <c r="F128" i="61" s="1"/>
  <c r="F127" i="64"/>
  <c r="F127" i="61" s="1"/>
  <c r="F126" i="64"/>
  <c r="F126" i="61" s="1"/>
  <c r="F125" i="64"/>
  <c r="F124"/>
  <c r="F124" i="61" s="1"/>
  <c r="F122" i="64"/>
  <c r="F121"/>
  <c r="F121" i="61" s="1"/>
  <c r="F120" i="64"/>
  <c r="F119"/>
  <c r="F118"/>
  <c r="F117"/>
  <c r="F117" i="61" s="1"/>
  <c r="N14" i="68" s="1"/>
  <c r="F115" i="64"/>
  <c r="F115" i="61" s="1"/>
  <c r="N12" i="68" s="1"/>
  <c r="F114" i="64"/>
  <c r="F113"/>
  <c r="F113" i="61" s="1"/>
  <c r="F112" i="64"/>
  <c r="F110" s="1"/>
  <c r="F111"/>
  <c r="F111" i="61" s="1"/>
  <c r="N10" i="68" s="1"/>
  <c r="F100" i="64"/>
  <c r="F100" i="61" s="1"/>
  <c r="F32" i="69" s="1"/>
  <c r="F99" i="64"/>
  <c r="F99" i="61" s="1"/>
  <c r="F31" i="69" s="1"/>
  <c r="F98" i="64"/>
  <c r="F98" i="61" s="1"/>
  <c r="F30" i="69" s="1"/>
  <c r="F97" i="64"/>
  <c r="F97" i="61" s="1"/>
  <c r="F29" i="69" s="1"/>
  <c r="F96" i="64"/>
  <c r="F96" i="61" s="1"/>
  <c r="F28" i="69" s="1"/>
  <c r="F95" i="64"/>
  <c r="F95" i="61" s="1"/>
  <c r="F27" i="69" s="1"/>
  <c r="F94" i="64"/>
  <c r="F93"/>
  <c r="F93" i="61" s="1"/>
  <c r="F25" i="69" s="1"/>
  <c r="F92" i="64"/>
  <c r="F92" i="61" s="1"/>
  <c r="F24" i="69" s="1"/>
  <c r="F91" i="64"/>
  <c r="F90"/>
  <c r="F90" i="61" s="1"/>
  <c r="F22" i="69" s="1"/>
  <c r="F89" i="64"/>
  <c r="F89" i="61" s="1"/>
  <c r="F21" i="69" s="1"/>
  <c r="F85" i="64"/>
  <c r="F85" i="61" s="1"/>
  <c r="F32" i="68" s="1"/>
  <c r="F84" i="64"/>
  <c r="F84" i="61" s="1"/>
  <c r="F31" i="68" s="1"/>
  <c r="F83" i="64"/>
  <c r="F83" i="61" s="1"/>
  <c r="F30" i="68" s="1"/>
  <c r="F82" i="64"/>
  <c r="F82" i="61" s="1"/>
  <c r="F29" i="68" s="1"/>
  <c r="F81" i="64"/>
  <c r="F81" i="61" s="1"/>
  <c r="F28" i="68" s="1"/>
  <c r="F80" i="64"/>
  <c r="F80" i="61" s="1"/>
  <c r="F27" i="68" s="1"/>
  <c r="F79" i="64"/>
  <c r="F78"/>
  <c r="F78" i="61" s="1"/>
  <c r="F25" i="68" s="1"/>
  <c r="F77" i="64"/>
  <c r="F77" i="61" s="1"/>
  <c r="F24" i="68" s="1"/>
  <c r="F76" i="64"/>
  <c r="F223" s="1"/>
  <c r="F75"/>
  <c r="F75" i="61" s="1"/>
  <c r="F22" i="68" s="1"/>
  <c r="F74" i="64"/>
  <c r="F69"/>
  <c r="F69" i="61" s="1"/>
  <c r="F68" i="64"/>
  <c r="F68" i="61" s="1"/>
  <c r="F67" i="64"/>
  <c r="F67" i="61" s="1"/>
  <c r="F66" i="64"/>
  <c r="F66" i="61" s="1"/>
  <c r="F65" i="64"/>
  <c r="F65" i="61" s="1"/>
  <c r="F63" i="64"/>
  <c r="F63" i="61" s="1"/>
  <c r="F62" i="64"/>
  <c r="F62" i="61" s="1"/>
  <c r="F61" i="64"/>
  <c r="F61" i="61" s="1"/>
  <c r="F60" i="64"/>
  <c r="F60" i="61" s="1"/>
  <c r="F59" i="64"/>
  <c r="F57"/>
  <c r="F57" i="61" s="1"/>
  <c r="F56" i="64"/>
  <c r="F56" i="61" s="1"/>
  <c r="F55" i="64"/>
  <c r="F55" i="61" s="1"/>
  <c r="F54" i="64"/>
  <c r="F54" i="61" s="1"/>
  <c r="F53" i="64"/>
  <c r="F53" i="61" s="1"/>
  <c r="F52" i="64"/>
  <c r="F52" i="61" s="1"/>
  <c r="F49" i="64"/>
  <c r="F49" i="61" s="1"/>
  <c r="F48" i="64"/>
  <c r="F48" i="61" s="1"/>
  <c r="F47" i="64"/>
  <c r="F47" i="61" s="1"/>
  <c r="F46" i="64"/>
  <c r="F46" i="61" s="1"/>
  <c r="F45" i="64"/>
  <c r="F45" i="61" s="1"/>
  <c r="F43" i="64"/>
  <c r="F42"/>
  <c r="F42" i="61" s="1"/>
  <c r="F41" i="64"/>
  <c r="F41" i="61" s="1"/>
  <c r="F40" i="64"/>
  <c r="F40" i="61" s="1"/>
  <c r="F39" i="64"/>
  <c r="F39" i="61" s="1"/>
  <c r="F38" i="64"/>
  <c r="F38" i="61" s="1"/>
  <c r="F37" i="64"/>
  <c r="F37" i="61" s="1"/>
  <c r="F36" i="64"/>
  <c r="F36" i="61" s="1"/>
  <c r="F35" i="64"/>
  <c r="F35" i="61" s="1"/>
  <c r="F34" i="64"/>
  <c r="F34" i="61" s="1"/>
  <c r="F33" i="64"/>
  <c r="F33" i="61" s="1"/>
  <c r="F31" i="64"/>
  <c r="F31" i="61" s="1"/>
  <c r="F30" i="64"/>
  <c r="F30" i="61" s="1"/>
  <c r="F29" i="64"/>
  <c r="F29" i="61" s="1"/>
  <c r="F28" i="64"/>
  <c r="F28" i="61" s="1"/>
  <c r="F27" i="64"/>
  <c r="F27" i="61" s="1"/>
  <c r="F26" i="64"/>
  <c r="F26" i="61" s="1"/>
  <c r="F24" i="64"/>
  <c r="F24" i="61" s="1"/>
  <c r="F10" i="68" s="1"/>
  <c r="F23" i="64"/>
  <c r="F23" i="61" s="1"/>
  <c r="F22" i="64"/>
  <c r="F22" i="61" s="1"/>
  <c r="F21" i="64"/>
  <c r="F21" i="61" s="1"/>
  <c r="F20" i="64"/>
  <c r="F20" i="61" s="1"/>
  <c r="F19" i="64"/>
  <c r="F19" i="61" s="1"/>
  <c r="F18" i="64"/>
  <c r="F18" i="61" s="1"/>
  <c r="F17" i="64"/>
  <c r="F17" i="61" s="1"/>
  <c r="F16" i="64"/>
  <c r="F16" i="61" s="1"/>
  <c r="F15" i="64"/>
  <c r="F15" i="61" s="1"/>
  <c r="F14" i="64"/>
  <c r="F14" i="61" s="1"/>
  <c r="F13" i="64"/>
  <c r="C233"/>
  <c r="D233"/>
  <c r="D226"/>
  <c r="D165"/>
  <c r="D159"/>
  <c r="D116"/>
  <c r="D110"/>
  <c r="D230"/>
  <c r="D231"/>
  <c r="C223"/>
  <c r="C64"/>
  <c r="D58"/>
  <c r="C44"/>
  <c r="D25"/>
  <c r="D12"/>
  <c r="E242"/>
  <c r="E233"/>
  <c r="E226"/>
  <c r="E165"/>
  <c r="E159"/>
  <c r="E150"/>
  <c r="E132"/>
  <c r="E123"/>
  <c r="E116"/>
  <c r="E110"/>
  <c r="E230"/>
  <c r="E231"/>
  <c r="E223"/>
  <c r="E73"/>
  <c r="E72" s="1"/>
  <c r="E71" s="1"/>
  <c r="E64"/>
  <c r="E58"/>
  <c r="E51"/>
  <c r="E44"/>
  <c r="E32"/>
  <c r="E25"/>
  <c r="E12"/>
  <c r="E11" s="1"/>
  <c r="D388" i="118"/>
  <c r="D386"/>
  <c r="D385"/>
  <c r="D383"/>
  <c r="D381"/>
  <c r="D374"/>
  <c r="D373"/>
  <c r="D371"/>
  <c r="D368"/>
  <c r="D365"/>
  <c r="D364"/>
  <c r="D362"/>
  <c r="D360"/>
  <c r="D353"/>
  <c r="D352"/>
  <c r="D350"/>
  <c r="D348"/>
  <c r="D340"/>
  <c r="D339"/>
  <c r="D331"/>
  <c r="D327"/>
  <c r="D387"/>
  <c r="D375"/>
  <c r="D366"/>
  <c r="D354"/>
  <c r="D341"/>
  <c r="D320"/>
  <c r="D319"/>
  <c r="D317"/>
  <c r="D310"/>
  <c r="D321"/>
  <c r="D237"/>
  <c r="D236"/>
  <c r="D235"/>
  <c r="D234"/>
  <c r="D233"/>
  <c r="D232"/>
  <c r="D231"/>
  <c r="D230"/>
  <c r="D229"/>
  <c r="D228"/>
  <c r="D226"/>
  <c r="D227"/>
  <c r="D225"/>
  <c r="D224"/>
  <c r="D222"/>
  <c r="D220"/>
  <c r="D213"/>
  <c r="D212"/>
  <c r="D210"/>
  <c r="D214"/>
  <c r="D207"/>
  <c r="D205"/>
  <c r="D204"/>
  <c r="D203"/>
  <c r="D201"/>
  <c r="D199"/>
  <c r="D193"/>
  <c r="D192"/>
  <c r="D191"/>
  <c r="D189"/>
  <c r="D187"/>
  <c r="D180"/>
  <c r="D179"/>
  <c r="D178"/>
  <c r="D170"/>
  <c r="D166"/>
  <c r="D160"/>
  <c r="D159"/>
  <c r="D158"/>
  <c r="D156"/>
  <c r="D149"/>
  <c r="D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76"/>
  <c r="E70"/>
  <c r="N62"/>
  <c r="N61"/>
  <c r="K60"/>
  <c r="N56"/>
  <c r="N50"/>
  <c r="K44"/>
  <c r="S12" i="85" l="1"/>
  <c r="F64" i="61"/>
  <c r="F13" i="69" s="1"/>
  <c r="F224" i="64"/>
  <c r="F74" i="61"/>
  <c r="F21" i="68" s="1"/>
  <c r="F233" i="64"/>
  <c r="F200" i="61"/>
  <c r="N26" i="69" s="1"/>
  <c r="F44" i="65"/>
  <c r="D232" i="66"/>
  <c r="F44"/>
  <c r="F119" i="61"/>
  <c r="F44" i="97"/>
  <c r="F51" i="61"/>
  <c r="N21" i="68"/>
  <c r="F230" i="65"/>
  <c r="F234"/>
  <c r="F232" s="1"/>
  <c r="F32" i="67"/>
  <c r="F165"/>
  <c r="F165" i="65"/>
  <c r="F12" i="66"/>
  <c r="F11" s="1"/>
  <c r="F230"/>
  <c r="F165"/>
  <c r="F227" i="67"/>
  <c r="F225" s="1"/>
  <c r="F123" i="97"/>
  <c r="F234"/>
  <c r="F32" i="109"/>
  <c r="F146"/>
  <c r="U153" i="85"/>
  <c r="R153"/>
  <c r="G153"/>
  <c r="P153"/>
  <c r="H153"/>
  <c r="Q153"/>
  <c r="I153"/>
  <c r="M153"/>
  <c r="E153"/>
  <c r="O153"/>
  <c r="N153"/>
  <c r="F153"/>
  <c r="K153"/>
  <c r="L153"/>
  <c r="C153"/>
  <c r="D153"/>
  <c r="F123" i="64"/>
  <c r="F125" i="61"/>
  <c r="F123" s="1"/>
  <c r="N15" i="68" s="1"/>
  <c r="F194" i="61"/>
  <c r="F193" s="1"/>
  <c r="F192" s="1"/>
  <c r="N21" i="69"/>
  <c r="N20" s="1"/>
  <c r="N19" s="1"/>
  <c r="N18" s="1"/>
  <c r="F116" i="65"/>
  <c r="F146"/>
  <c r="F123" i="66"/>
  <c r="F227"/>
  <c r="F225" s="1"/>
  <c r="F123" i="67"/>
  <c r="F150"/>
  <c r="F149" s="1"/>
  <c r="F116" i="97"/>
  <c r="F51" i="109"/>
  <c r="F165"/>
  <c r="F226" i="64"/>
  <c r="F185" i="61"/>
  <c r="N26" i="68" s="1"/>
  <c r="F227" i="65"/>
  <c r="F225" s="1"/>
  <c r="F32" i="66"/>
  <c r="F44" i="67"/>
  <c r="F223"/>
  <c r="F51" i="97"/>
  <c r="F50" s="1"/>
  <c r="F25" i="109"/>
  <c r="F58" i="64"/>
  <c r="F59" i="61"/>
  <c r="F58" s="1"/>
  <c r="F11" i="69" s="1"/>
  <c r="F51" i="65"/>
  <c r="F64" i="67"/>
  <c r="F12" i="97"/>
  <c r="F11" s="1"/>
  <c r="F44" i="109"/>
  <c r="F223"/>
  <c r="F150"/>
  <c r="F149" s="1"/>
  <c r="F159"/>
  <c r="F51" i="64"/>
  <c r="F150" i="65"/>
  <c r="F159"/>
  <c r="F242"/>
  <c r="F25" i="66"/>
  <c r="F150"/>
  <c r="F149" s="1"/>
  <c r="F159"/>
  <c r="F12" i="67"/>
  <c r="F11" s="1"/>
  <c r="F10" s="1"/>
  <c r="F118" i="61"/>
  <c r="F234" i="67"/>
  <c r="F150" i="97"/>
  <c r="F64" i="109"/>
  <c r="U83" i="85"/>
  <c r="R83"/>
  <c r="P83"/>
  <c r="O83"/>
  <c r="H83"/>
  <c r="Q83"/>
  <c r="I83"/>
  <c r="N83"/>
  <c r="F83"/>
  <c r="M83"/>
  <c r="G83"/>
  <c r="L83"/>
  <c r="E83"/>
  <c r="K83"/>
  <c r="D83"/>
  <c r="C83"/>
  <c r="U13"/>
  <c r="Q13"/>
  <c r="G13"/>
  <c r="I13"/>
  <c r="R13"/>
  <c r="P13"/>
  <c r="H13"/>
  <c r="O13"/>
  <c r="N13"/>
  <c r="M13"/>
  <c r="F13"/>
  <c r="E13"/>
  <c r="K13"/>
  <c r="D13"/>
  <c r="C13"/>
  <c r="L13"/>
  <c r="F116" i="66"/>
  <c r="F165" i="64"/>
  <c r="F25" i="61"/>
  <c r="F11" i="68" s="1"/>
  <c r="F230" i="64"/>
  <c r="F91" i="61"/>
  <c r="F223" i="97"/>
  <c r="F132" i="109"/>
  <c r="F132" i="66"/>
  <c r="F134" i="61"/>
  <c r="F223" i="65"/>
  <c r="F76" i="61"/>
  <c r="F242"/>
  <c r="F242" i="64"/>
  <c r="F157" i="61"/>
  <c r="F110" i="109"/>
  <c r="F146" i="64"/>
  <c r="F132" s="1"/>
  <c r="F147" i="61"/>
  <c r="F146" s="1"/>
  <c r="F158"/>
  <c r="F159"/>
  <c r="N11" i="69" s="1"/>
  <c r="F122" i="61"/>
  <c r="F116" i="67"/>
  <c r="F120" i="61"/>
  <c r="F116" i="64"/>
  <c r="F114" i="61"/>
  <c r="N11" i="68" s="1"/>
  <c r="F110" i="65"/>
  <c r="F112" i="61"/>
  <c r="F110" s="1"/>
  <c r="N9" i="68" s="1"/>
  <c r="F12" i="64"/>
  <c r="F11" s="1"/>
  <c r="F13" i="61"/>
  <c r="F12" s="1"/>
  <c r="F11" s="1"/>
  <c r="F9" i="68" s="1"/>
  <c r="F25" i="64"/>
  <c r="F44" i="61"/>
  <c r="F15" i="68" s="1"/>
  <c r="F44" i="64"/>
  <c r="J12" i="85"/>
  <c r="T12" s="1"/>
  <c r="W12" s="1"/>
  <c r="A14"/>
  <c r="T11"/>
  <c r="W11" s="1"/>
  <c r="T81"/>
  <c r="S82"/>
  <c r="A84"/>
  <c r="J82"/>
  <c r="T151"/>
  <c r="S152"/>
  <c r="J152"/>
  <c r="A154"/>
  <c r="F232" i="109"/>
  <c r="F10"/>
  <c r="F194"/>
  <c r="F193" s="1"/>
  <c r="F192" s="1"/>
  <c r="D149"/>
  <c r="D232"/>
  <c r="C242"/>
  <c r="C232"/>
  <c r="C149"/>
  <c r="C109"/>
  <c r="C179"/>
  <c r="C178" s="1"/>
  <c r="C177" s="1"/>
  <c r="C207" s="1"/>
  <c r="D132"/>
  <c r="D109" s="1"/>
  <c r="D176" s="1"/>
  <c r="D179"/>
  <c r="D178" s="1"/>
  <c r="D177" s="1"/>
  <c r="D194"/>
  <c r="D193" s="1"/>
  <c r="D192" s="1"/>
  <c r="E232"/>
  <c r="E149"/>
  <c r="E109"/>
  <c r="E179"/>
  <c r="E178" s="1"/>
  <c r="E177" s="1"/>
  <c r="E194"/>
  <c r="E193" s="1"/>
  <c r="E192" s="1"/>
  <c r="F132" i="97"/>
  <c r="F109" s="1"/>
  <c r="F232"/>
  <c r="F179"/>
  <c r="F178" s="1"/>
  <c r="F177" s="1"/>
  <c r="F207" s="1"/>
  <c r="F194"/>
  <c r="F193" s="1"/>
  <c r="F192" s="1"/>
  <c r="D25"/>
  <c r="C25"/>
  <c r="C50"/>
  <c r="C110"/>
  <c r="C109" s="1"/>
  <c r="D116"/>
  <c r="D109" s="1"/>
  <c r="C150"/>
  <c r="D150"/>
  <c r="E232"/>
  <c r="C242"/>
  <c r="C232"/>
  <c r="C179"/>
  <c r="C178" s="1"/>
  <c r="C177" s="1"/>
  <c r="C194"/>
  <c r="C193" s="1"/>
  <c r="C192" s="1"/>
  <c r="D50"/>
  <c r="D179"/>
  <c r="D178" s="1"/>
  <c r="D177" s="1"/>
  <c r="D194"/>
  <c r="D193" s="1"/>
  <c r="D192" s="1"/>
  <c r="E109"/>
  <c r="E179"/>
  <c r="E178" s="1"/>
  <c r="E177" s="1"/>
  <c r="E207" s="1"/>
  <c r="F132" i="67"/>
  <c r="F232"/>
  <c r="F50"/>
  <c r="F215" s="1"/>
  <c r="F179"/>
  <c r="F178" s="1"/>
  <c r="F177" s="1"/>
  <c r="F194"/>
  <c r="F193" s="1"/>
  <c r="F192" s="1"/>
  <c r="C242"/>
  <c r="D227"/>
  <c r="D225" s="1"/>
  <c r="D179"/>
  <c r="D178" s="1"/>
  <c r="D177" s="1"/>
  <c r="E227"/>
  <c r="E225" s="1"/>
  <c r="E179"/>
  <c r="E178" s="1"/>
  <c r="E177" s="1"/>
  <c r="D234"/>
  <c r="E234"/>
  <c r="E232" s="1"/>
  <c r="D233"/>
  <c r="D149"/>
  <c r="C150"/>
  <c r="C149" s="1"/>
  <c r="D116"/>
  <c r="D109" s="1"/>
  <c r="C110"/>
  <c r="C109" s="1"/>
  <c r="D50"/>
  <c r="E50"/>
  <c r="C32"/>
  <c r="C10" s="1"/>
  <c r="C50"/>
  <c r="D10"/>
  <c r="D132"/>
  <c r="D194"/>
  <c r="D193" s="1"/>
  <c r="D192" s="1"/>
  <c r="E10"/>
  <c r="E132"/>
  <c r="E109" s="1"/>
  <c r="E149"/>
  <c r="E194"/>
  <c r="E193" s="1"/>
  <c r="E192" s="1"/>
  <c r="F50" i="66"/>
  <c r="F215" s="1"/>
  <c r="F232"/>
  <c r="F179"/>
  <c r="F178" s="1"/>
  <c r="F177" s="1"/>
  <c r="F207" s="1"/>
  <c r="F194"/>
  <c r="F193" s="1"/>
  <c r="F192" s="1"/>
  <c r="C242"/>
  <c r="C232"/>
  <c r="E149"/>
  <c r="D149"/>
  <c r="C150"/>
  <c r="C149" s="1"/>
  <c r="C116"/>
  <c r="E116"/>
  <c r="E109" s="1"/>
  <c r="C110"/>
  <c r="D50"/>
  <c r="C32"/>
  <c r="C10" s="1"/>
  <c r="D10"/>
  <c r="C50"/>
  <c r="C132"/>
  <c r="C179"/>
  <c r="C178" s="1"/>
  <c r="C177" s="1"/>
  <c r="C207" s="1"/>
  <c r="C194"/>
  <c r="C193" s="1"/>
  <c r="C192" s="1"/>
  <c r="D132"/>
  <c r="D179"/>
  <c r="D178" s="1"/>
  <c r="D177" s="1"/>
  <c r="D194"/>
  <c r="D193" s="1"/>
  <c r="D192" s="1"/>
  <c r="E50"/>
  <c r="E215" s="1"/>
  <c r="E10"/>
  <c r="E232"/>
  <c r="E179"/>
  <c r="E178" s="1"/>
  <c r="E177" s="1"/>
  <c r="E194"/>
  <c r="E193" s="1"/>
  <c r="E192" s="1"/>
  <c r="F32" i="65"/>
  <c r="F10" s="1"/>
  <c r="F50"/>
  <c r="F132"/>
  <c r="F194"/>
  <c r="F193" s="1"/>
  <c r="F192" s="1"/>
  <c r="F207" s="1"/>
  <c r="C179"/>
  <c r="D179"/>
  <c r="E179"/>
  <c r="F159" i="64"/>
  <c r="F150"/>
  <c r="F231"/>
  <c r="F73"/>
  <c r="F72" s="1"/>
  <c r="F71" s="1"/>
  <c r="F64"/>
  <c r="F50" s="1"/>
  <c r="F32"/>
  <c r="F222"/>
  <c r="F88"/>
  <c r="F87" s="1"/>
  <c r="F86" s="1"/>
  <c r="C242"/>
  <c r="D242"/>
  <c r="C226"/>
  <c r="C165"/>
  <c r="C159"/>
  <c r="D150"/>
  <c r="D149" s="1"/>
  <c r="C150"/>
  <c r="D146"/>
  <c r="D132" s="1"/>
  <c r="C146"/>
  <c r="D123"/>
  <c r="C123"/>
  <c r="C116"/>
  <c r="C110"/>
  <c r="D229"/>
  <c r="C230"/>
  <c r="C231"/>
  <c r="D73"/>
  <c r="D72" s="1"/>
  <c r="D71" s="1"/>
  <c r="D223"/>
  <c r="C73"/>
  <c r="C72" s="1"/>
  <c r="C71" s="1"/>
  <c r="D64"/>
  <c r="E50"/>
  <c r="C58"/>
  <c r="C51"/>
  <c r="D51"/>
  <c r="D44"/>
  <c r="E10"/>
  <c r="D32"/>
  <c r="C32"/>
  <c r="C25"/>
  <c r="D11"/>
  <c r="C12"/>
  <c r="C11" s="1"/>
  <c r="C132"/>
  <c r="C88"/>
  <c r="C87" s="1"/>
  <c r="C86" s="1"/>
  <c r="C224"/>
  <c r="C222" s="1"/>
  <c r="D88"/>
  <c r="D87" s="1"/>
  <c r="D86" s="1"/>
  <c r="D224"/>
  <c r="E149"/>
  <c r="E109"/>
  <c r="E229"/>
  <c r="E88"/>
  <c r="E87" s="1"/>
  <c r="E86" s="1"/>
  <c r="E101" s="1"/>
  <c r="E224"/>
  <c r="E222" s="1"/>
  <c r="N57" i="118"/>
  <c r="N55"/>
  <c r="N20" i="68" l="1"/>
  <c r="N19" s="1"/>
  <c r="N18" s="1"/>
  <c r="D215" i="67"/>
  <c r="R84" i="85"/>
  <c r="Q84"/>
  <c r="I84"/>
  <c r="P84"/>
  <c r="H84"/>
  <c r="G84"/>
  <c r="O84"/>
  <c r="N84"/>
  <c r="F84"/>
  <c r="M84"/>
  <c r="E84"/>
  <c r="K84"/>
  <c r="D84"/>
  <c r="C84"/>
  <c r="L84"/>
  <c r="U84"/>
  <c r="F149" i="65"/>
  <c r="F215" s="1"/>
  <c r="F10" i="66"/>
  <c r="F179" i="61"/>
  <c r="F178" s="1"/>
  <c r="F177" s="1"/>
  <c r="F207" s="1"/>
  <c r="F207" i="109"/>
  <c r="F229" i="64"/>
  <c r="F9" i="69"/>
  <c r="F8" s="1"/>
  <c r="F50" i="61"/>
  <c r="P154" i="85"/>
  <c r="H154"/>
  <c r="Q154"/>
  <c r="G154"/>
  <c r="R154"/>
  <c r="I154"/>
  <c r="O154"/>
  <c r="F154"/>
  <c r="E154"/>
  <c r="N154"/>
  <c r="K154"/>
  <c r="D154"/>
  <c r="D155" s="1"/>
  <c r="M154"/>
  <c r="L154"/>
  <c r="C154"/>
  <c r="U154"/>
  <c r="P14"/>
  <c r="R14"/>
  <c r="H14"/>
  <c r="Q14"/>
  <c r="Q15" s="1"/>
  <c r="I14"/>
  <c r="F14"/>
  <c r="O14"/>
  <c r="G14"/>
  <c r="G15" s="1"/>
  <c r="D14"/>
  <c r="N14"/>
  <c r="N15" s="1"/>
  <c r="M14"/>
  <c r="E14"/>
  <c r="E15" s="1"/>
  <c r="K14"/>
  <c r="C14"/>
  <c r="L14"/>
  <c r="L15" s="1"/>
  <c r="U14"/>
  <c r="U15" s="1"/>
  <c r="C101" i="64"/>
  <c r="E94" i="66"/>
  <c r="E231" s="1"/>
  <c r="E229" s="1"/>
  <c r="E228" s="1"/>
  <c r="F94"/>
  <c r="D207" i="109"/>
  <c r="D208" s="1"/>
  <c r="F50"/>
  <c r="F215" s="1"/>
  <c r="F109" i="66"/>
  <c r="F214" s="1"/>
  <c r="F213" s="1"/>
  <c r="F23" i="69"/>
  <c r="F20" s="1"/>
  <c r="F19" s="1"/>
  <c r="F18" s="1"/>
  <c r="F88" i="61"/>
  <c r="F87" s="1"/>
  <c r="F86" s="1"/>
  <c r="F101" i="64"/>
  <c r="F109" i="109"/>
  <c r="F79" s="1"/>
  <c r="F132" i="61"/>
  <c r="N16" i="68" s="1"/>
  <c r="F23"/>
  <c r="F20" s="1"/>
  <c r="F19" s="1"/>
  <c r="F18" s="1"/>
  <c r="N35" s="1"/>
  <c r="F73" i="61"/>
  <c r="F72" s="1"/>
  <c r="F71" s="1"/>
  <c r="F150"/>
  <c r="F149" i="64"/>
  <c r="F215" s="1"/>
  <c r="F116" i="61"/>
  <c r="N13" i="68" s="1"/>
  <c r="F109" i="67"/>
  <c r="F214" s="1"/>
  <c r="F213" s="1"/>
  <c r="F109" i="64"/>
  <c r="F109" i="65"/>
  <c r="F176" s="1"/>
  <c r="F208" s="1"/>
  <c r="C15" i="85"/>
  <c r="D15"/>
  <c r="M15"/>
  <c r="F15"/>
  <c r="P15"/>
  <c r="H15"/>
  <c r="R15"/>
  <c r="I15"/>
  <c r="O15"/>
  <c r="A16"/>
  <c r="S13"/>
  <c r="J13"/>
  <c r="T82"/>
  <c r="W82" s="1"/>
  <c r="L85"/>
  <c r="D85"/>
  <c r="U85"/>
  <c r="M85"/>
  <c r="E85"/>
  <c r="N85"/>
  <c r="F85"/>
  <c r="A86"/>
  <c r="O85"/>
  <c r="G85"/>
  <c r="P85"/>
  <c r="H85"/>
  <c r="Q85"/>
  <c r="I85"/>
  <c r="R85"/>
  <c r="J153"/>
  <c r="S83"/>
  <c r="W81"/>
  <c r="J83"/>
  <c r="W151"/>
  <c r="L155"/>
  <c r="U155"/>
  <c r="M155"/>
  <c r="E155"/>
  <c r="N155"/>
  <c r="F155"/>
  <c r="A156"/>
  <c r="O155"/>
  <c r="G155"/>
  <c r="P155"/>
  <c r="H155"/>
  <c r="Q155"/>
  <c r="I155"/>
  <c r="R155"/>
  <c r="K155"/>
  <c r="C155"/>
  <c r="T152"/>
  <c r="W152" s="1"/>
  <c r="S153"/>
  <c r="F70" i="109"/>
  <c r="E176"/>
  <c r="C176"/>
  <c r="C208" s="1"/>
  <c r="E207"/>
  <c r="C207" i="97"/>
  <c r="D207"/>
  <c r="F70" i="67"/>
  <c r="F94"/>
  <c r="F207"/>
  <c r="D232"/>
  <c r="E207"/>
  <c r="C227"/>
  <c r="C225" s="1"/>
  <c r="C179"/>
  <c r="C178" s="1"/>
  <c r="C177" s="1"/>
  <c r="C194"/>
  <c r="C193" s="1"/>
  <c r="C192" s="1"/>
  <c r="C94" s="1"/>
  <c r="C234"/>
  <c r="C232" s="1"/>
  <c r="D94"/>
  <c r="E94"/>
  <c r="C79"/>
  <c r="C224" s="1"/>
  <c r="C222" s="1"/>
  <c r="C221" s="1"/>
  <c r="C215"/>
  <c r="E215"/>
  <c r="E176"/>
  <c r="E79"/>
  <c r="D176"/>
  <c r="D79"/>
  <c r="C214"/>
  <c r="C70"/>
  <c r="C176"/>
  <c r="D214"/>
  <c r="D213" s="1"/>
  <c r="D70"/>
  <c r="D207"/>
  <c r="D208" s="1"/>
  <c r="E214"/>
  <c r="E70"/>
  <c r="F70" i="66"/>
  <c r="D94"/>
  <c r="D231" s="1"/>
  <c r="D229" s="1"/>
  <c r="D228" s="1"/>
  <c r="C94"/>
  <c r="C231" s="1"/>
  <c r="C229" s="1"/>
  <c r="C228" s="1"/>
  <c r="E88"/>
  <c r="E87" s="1"/>
  <c r="E86" s="1"/>
  <c r="D215"/>
  <c r="C215"/>
  <c r="D116"/>
  <c r="D109" s="1"/>
  <c r="D79" s="1"/>
  <c r="C109"/>
  <c r="C79" s="1"/>
  <c r="E176"/>
  <c r="E79"/>
  <c r="D70"/>
  <c r="C70"/>
  <c r="D207"/>
  <c r="E207"/>
  <c r="E214"/>
  <c r="E213" s="1"/>
  <c r="E70"/>
  <c r="F70" i="65"/>
  <c r="F94"/>
  <c r="D109" i="64"/>
  <c r="D176" s="1"/>
  <c r="C229"/>
  <c r="F10"/>
  <c r="F70" s="1"/>
  <c r="D222"/>
  <c r="D10"/>
  <c r="C149"/>
  <c r="E215"/>
  <c r="E176"/>
  <c r="C109"/>
  <c r="D101"/>
  <c r="D50"/>
  <c r="D215" s="1"/>
  <c r="E70"/>
  <c r="E102" s="1"/>
  <c r="C50"/>
  <c r="C10"/>
  <c r="E214"/>
  <c r="K49" i="118"/>
  <c r="G70"/>
  <c r="U156" i="85" l="1"/>
  <c r="R156"/>
  <c r="O156"/>
  <c r="P156"/>
  <c r="H156"/>
  <c r="Q156"/>
  <c r="I156"/>
  <c r="G156"/>
  <c r="E156"/>
  <c r="N156"/>
  <c r="F156"/>
  <c r="M156"/>
  <c r="K156"/>
  <c r="D156"/>
  <c r="L156"/>
  <c r="C156"/>
  <c r="F88" i="66"/>
  <c r="F87" s="1"/>
  <c r="F86" s="1"/>
  <c r="F231"/>
  <c r="F229" s="1"/>
  <c r="F228" s="1"/>
  <c r="C88"/>
  <c r="C87" s="1"/>
  <c r="C86" s="1"/>
  <c r="U86" i="85"/>
  <c r="R86"/>
  <c r="G86"/>
  <c r="P86"/>
  <c r="H86"/>
  <c r="Q86"/>
  <c r="I86"/>
  <c r="O86"/>
  <c r="F86"/>
  <c r="E86"/>
  <c r="N86"/>
  <c r="M86"/>
  <c r="C86"/>
  <c r="K86"/>
  <c r="D86"/>
  <c r="L86"/>
  <c r="F94" i="109"/>
  <c r="U16" i="85"/>
  <c r="I16"/>
  <c r="R16"/>
  <c r="O16"/>
  <c r="P16"/>
  <c r="H16"/>
  <c r="Q16"/>
  <c r="G16"/>
  <c r="N16"/>
  <c r="F16"/>
  <c r="E16"/>
  <c r="D16"/>
  <c r="M16"/>
  <c r="C16"/>
  <c r="L16"/>
  <c r="K16"/>
  <c r="F176" i="66"/>
  <c r="F208" s="1"/>
  <c r="F79"/>
  <c r="F73" s="1"/>
  <c r="F72" s="1"/>
  <c r="F71" s="1"/>
  <c r="F101" s="1"/>
  <c r="F102" s="1"/>
  <c r="N35" i="69"/>
  <c r="F33"/>
  <c r="F35"/>
  <c r="F101" i="61"/>
  <c r="F102" i="64"/>
  <c r="F176" i="109"/>
  <c r="F208" s="1"/>
  <c r="F214"/>
  <c r="F213" s="1"/>
  <c r="N8" i="68"/>
  <c r="N33" s="1"/>
  <c r="N9" i="69"/>
  <c r="F176" i="64"/>
  <c r="F109" i="61"/>
  <c r="F176" i="67"/>
  <c r="F208" s="1"/>
  <c r="F79"/>
  <c r="F73" s="1"/>
  <c r="F72" s="1"/>
  <c r="F71" s="1"/>
  <c r="F79" i="65"/>
  <c r="F214"/>
  <c r="F213" s="1"/>
  <c r="A17" i="85"/>
  <c r="T13"/>
  <c r="J14"/>
  <c r="J15" s="1"/>
  <c r="S14"/>
  <c r="S15" s="1"/>
  <c r="K15"/>
  <c r="T83"/>
  <c r="W83" s="1"/>
  <c r="T153"/>
  <c r="W153" s="1"/>
  <c r="A87"/>
  <c r="S84"/>
  <c r="K85"/>
  <c r="J84"/>
  <c r="J85" s="1"/>
  <c r="C85"/>
  <c r="J154"/>
  <c r="J155" s="1"/>
  <c r="S154"/>
  <c r="A157"/>
  <c r="F73" i="109"/>
  <c r="F72" s="1"/>
  <c r="F71" s="1"/>
  <c r="F224"/>
  <c r="F222" s="1"/>
  <c r="F221" s="1"/>
  <c r="E208"/>
  <c r="F88" i="67"/>
  <c r="F87" s="1"/>
  <c r="F86" s="1"/>
  <c r="F231"/>
  <c r="F229" s="1"/>
  <c r="F228" s="1"/>
  <c r="E208"/>
  <c r="C207"/>
  <c r="C208" s="1"/>
  <c r="C73"/>
  <c r="C72" s="1"/>
  <c r="C71" s="1"/>
  <c r="C213"/>
  <c r="E213"/>
  <c r="E73"/>
  <c r="E72" s="1"/>
  <c r="E71" s="1"/>
  <c r="E224"/>
  <c r="E222" s="1"/>
  <c r="E221" s="1"/>
  <c r="D73"/>
  <c r="D72" s="1"/>
  <c r="D71" s="1"/>
  <c r="D224"/>
  <c r="D222" s="1"/>
  <c r="D221" s="1"/>
  <c r="F224" i="66"/>
  <c r="F222" s="1"/>
  <c r="F221" s="1"/>
  <c r="F220" s="1"/>
  <c r="D88"/>
  <c r="D87" s="1"/>
  <c r="D86" s="1"/>
  <c r="E208"/>
  <c r="D214"/>
  <c r="D213" s="1"/>
  <c r="D176"/>
  <c r="D208" s="1"/>
  <c r="C176"/>
  <c r="C208" s="1"/>
  <c r="C214"/>
  <c r="C213" s="1"/>
  <c r="D73"/>
  <c r="D72" s="1"/>
  <c r="D71" s="1"/>
  <c r="D224"/>
  <c r="D222" s="1"/>
  <c r="D221" s="1"/>
  <c r="D220" s="1"/>
  <c r="C73"/>
  <c r="C72" s="1"/>
  <c r="C71" s="1"/>
  <c r="C101" s="1"/>
  <c r="C102" s="1"/>
  <c r="C224"/>
  <c r="C222" s="1"/>
  <c r="C221" s="1"/>
  <c r="C220" s="1"/>
  <c r="E73"/>
  <c r="E72" s="1"/>
  <c r="E71" s="1"/>
  <c r="E101" s="1"/>
  <c r="E102" s="1"/>
  <c r="E224"/>
  <c r="E222" s="1"/>
  <c r="E221" s="1"/>
  <c r="E220" s="1"/>
  <c r="F231" i="65"/>
  <c r="F229" s="1"/>
  <c r="F228" s="1"/>
  <c r="F88"/>
  <c r="F87" s="1"/>
  <c r="F86" s="1"/>
  <c r="D214" i="64"/>
  <c r="D213" s="1"/>
  <c r="F214"/>
  <c r="F213" s="1"/>
  <c r="E213"/>
  <c r="C176"/>
  <c r="C215"/>
  <c r="C70"/>
  <c r="C102" s="1"/>
  <c r="D70"/>
  <c r="D102" s="1"/>
  <c r="C214"/>
  <c r="I87" i="85" l="1"/>
  <c r="P87"/>
  <c r="H87"/>
  <c r="G87"/>
  <c r="R87"/>
  <c r="Q87"/>
  <c r="U87"/>
  <c r="O87"/>
  <c r="N87"/>
  <c r="F87"/>
  <c r="E87"/>
  <c r="K87"/>
  <c r="D87"/>
  <c r="M87"/>
  <c r="C87"/>
  <c r="L87"/>
  <c r="H157"/>
  <c r="U157"/>
  <c r="Q157"/>
  <c r="G157"/>
  <c r="R157"/>
  <c r="I157"/>
  <c r="P157"/>
  <c r="M157"/>
  <c r="N157"/>
  <c r="O157"/>
  <c r="F157"/>
  <c r="C157"/>
  <c r="K157"/>
  <c r="E157"/>
  <c r="D157"/>
  <c r="L157"/>
  <c r="D101" i="66"/>
  <c r="D102" s="1"/>
  <c r="F101" i="67"/>
  <c r="F102" s="1"/>
  <c r="F88" i="109"/>
  <c r="F87" s="1"/>
  <c r="F86" s="1"/>
  <c r="F101" s="1"/>
  <c r="F102" s="1"/>
  <c r="F231"/>
  <c r="F229" s="1"/>
  <c r="F228" s="1"/>
  <c r="F220"/>
  <c r="R17" i="85"/>
  <c r="H17"/>
  <c r="U17"/>
  <c r="Q17"/>
  <c r="I17"/>
  <c r="P17"/>
  <c r="O17"/>
  <c r="G17"/>
  <c r="N17"/>
  <c r="M17"/>
  <c r="K17"/>
  <c r="F17"/>
  <c r="E17"/>
  <c r="E18" s="1"/>
  <c r="D17"/>
  <c r="D18" s="1"/>
  <c r="C17"/>
  <c r="C18" s="1"/>
  <c r="L17"/>
  <c r="L18" s="1"/>
  <c r="F224" i="67"/>
  <c r="F222" s="1"/>
  <c r="F221" s="1"/>
  <c r="F220" s="1"/>
  <c r="F224" i="65"/>
  <c r="F222" s="1"/>
  <c r="F221" s="1"/>
  <c r="F220" s="1"/>
  <c r="F73"/>
  <c r="F72" s="1"/>
  <c r="F71" s="1"/>
  <c r="F101" s="1"/>
  <c r="F102" s="1"/>
  <c r="T14" i="85"/>
  <c r="W14" s="1"/>
  <c r="J16"/>
  <c r="A19"/>
  <c r="N18"/>
  <c r="G18"/>
  <c r="R18"/>
  <c r="M18"/>
  <c r="T84"/>
  <c r="W84" s="1"/>
  <c r="W85" s="1"/>
  <c r="U18"/>
  <c r="O18"/>
  <c r="W13"/>
  <c r="I18"/>
  <c r="P18"/>
  <c r="H18"/>
  <c r="S85"/>
  <c r="F18"/>
  <c r="Q18"/>
  <c r="S16"/>
  <c r="R88"/>
  <c r="K88"/>
  <c r="C88"/>
  <c r="A89"/>
  <c r="L88"/>
  <c r="I88"/>
  <c r="M88"/>
  <c r="E88"/>
  <c r="F88"/>
  <c r="O88"/>
  <c r="G88"/>
  <c r="P88"/>
  <c r="H88"/>
  <c r="Q88"/>
  <c r="U88"/>
  <c r="N88"/>
  <c r="S86"/>
  <c r="J86"/>
  <c r="D88"/>
  <c r="T154"/>
  <c r="S155"/>
  <c r="S156"/>
  <c r="R158"/>
  <c r="K158"/>
  <c r="C158"/>
  <c r="A159"/>
  <c r="L158"/>
  <c r="U158"/>
  <c r="M158"/>
  <c r="E158"/>
  <c r="N158"/>
  <c r="F158"/>
  <c r="O158"/>
  <c r="G158"/>
  <c r="P158"/>
  <c r="H158"/>
  <c r="Q158"/>
  <c r="I158"/>
  <c r="J156"/>
  <c r="D158"/>
  <c r="C213" i="64"/>
  <c r="U89" i="85" l="1"/>
  <c r="R89"/>
  <c r="P89"/>
  <c r="H89"/>
  <c r="Q89"/>
  <c r="I89"/>
  <c r="G89"/>
  <c r="M89"/>
  <c r="N89"/>
  <c r="O89"/>
  <c r="F89"/>
  <c r="E89"/>
  <c r="K89"/>
  <c r="D89"/>
  <c r="L89"/>
  <c r="C89"/>
  <c r="U159"/>
  <c r="P159"/>
  <c r="H159"/>
  <c r="Q159"/>
  <c r="I159"/>
  <c r="R159"/>
  <c r="G159"/>
  <c r="O159"/>
  <c r="N159"/>
  <c r="F159"/>
  <c r="M159"/>
  <c r="E159"/>
  <c r="L159"/>
  <c r="C159"/>
  <c r="K159"/>
  <c r="D159"/>
  <c r="R19"/>
  <c r="P19"/>
  <c r="G19"/>
  <c r="U19"/>
  <c r="H19"/>
  <c r="Q19"/>
  <c r="I19"/>
  <c r="I20" s="1"/>
  <c r="I21" s="1"/>
  <c r="N19"/>
  <c r="N20" s="1"/>
  <c r="N21" s="1"/>
  <c r="F19"/>
  <c r="O19"/>
  <c r="O20" s="1"/>
  <c r="O21" s="1"/>
  <c r="D19"/>
  <c r="D20" s="1"/>
  <c r="D21" s="1"/>
  <c r="C19"/>
  <c r="M19"/>
  <c r="L19"/>
  <c r="L20" s="1"/>
  <c r="L21" s="1"/>
  <c r="E19"/>
  <c r="E20" s="1"/>
  <c r="E21" s="1"/>
  <c r="K19"/>
  <c r="T85"/>
  <c r="W15"/>
  <c r="T15"/>
  <c r="T16"/>
  <c r="J17"/>
  <c r="J18" s="1"/>
  <c r="P20"/>
  <c r="P21" s="1"/>
  <c r="H20"/>
  <c r="H21" s="1"/>
  <c r="Q20"/>
  <c r="Q21" s="1"/>
  <c r="R20"/>
  <c r="R21" s="1"/>
  <c r="F20"/>
  <c r="F21" s="1"/>
  <c r="U20"/>
  <c r="U21" s="1"/>
  <c r="M20"/>
  <c r="M21" s="1"/>
  <c r="A23"/>
  <c r="G20"/>
  <c r="G21" s="1"/>
  <c r="S17"/>
  <c r="K18"/>
  <c r="T86"/>
  <c r="S87"/>
  <c r="J87"/>
  <c r="J88" s="1"/>
  <c r="P90"/>
  <c r="P91" s="1"/>
  <c r="H90"/>
  <c r="H91" s="1"/>
  <c r="G90"/>
  <c r="G91" s="1"/>
  <c r="Q90"/>
  <c r="Q91" s="1"/>
  <c r="I90"/>
  <c r="I91" s="1"/>
  <c r="O90"/>
  <c r="O91" s="1"/>
  <c r="R90"/>
  <c r="R91" s="1"/>
  <c r="A93"/>
  <c r="L90"/>
  <c r="L91" s="1"/>
  <c r="D90"/>
  <c r="D91" s="1"/>
  <c r="U90"/>
  <c r="U91" s="1"/>
  <c r="M90"/>
  <c r="M91" s="1"/>
  <c r="E90"/>
  <c r="E91" s="1"/>
  <c r="N90"/>
  <c r="N91" s="1"/>
  <c r="F90"/>
  <c r="F91" s="1"/>
  <c r="S157"/>
  <c r="S158" s="1"/>
  <c r="J157"/>
  <c r="J158" s="1"/>
  <c r="P160"/>
  <c r="P161" s="1"/>
  <c r="H160"/>
  <c r="H161" s="1"/>
  <c r="Q160"/>
  <c r="Q161" s="1"/>
  <c r="I160"/>
  <c r="I161" s="1"/>
  <c r="R160"/>
  <c r="R161" s="1"/>
  <c r="A163"/>
  <c r="L160"/>
  <c r="L161" s="1"/>
  <c r="D160"/>
  <c r="D161" s="1"/>
  <c r="U160"/>
  <c r="U161" s="1"/>
  <c r="M160"/>
  <c r="M161" s="1"/>
  <c r="E160"/>
  <c r="E161" s="1"/>
  <c r="N160"/>
  <c r="N161" s="1"/>
  <c r="F160"/>
  <c r="F161" s="1"/>
  <c r="O160"/>
  <c r="O161" s="1"/>
  <c r="G160"/>
  <c r="G161" s="1"/>
  <c r="W154"/>
  <c r="T155"/>
  <c r="T156"/>
  <c r="D239" i="76"/>
  <c r="D242" s="1"/>
  <c r="U163" i="85" l="1"/>
  <c r="Q163"/>
  <c r="G163"/>
  <c r="R163"/>
  <c r="I163"/>
  <c r="P163"/>
  <c r="H163"/>
  <c r="E163"/>
  <c r="N163"/>
  <c r="O163"/>
  <c r="F163"/>
  <c r="L163"/>
  <c r="M163"/>
  <c r="K163"/>
  <c r="C163"/>
  <c r="D163"/>
  <c r="U23"/>
  <c r="Q23"/>
  <c r="I23"/>
  <c r="P23"/>
  <c r="R23"/>
  <c r="H23"/>
  <c r="O23"/>
  <c r="G23"/>
  <c r="F23"/>
  <c r="M23"/>
  <c r="K23"/>
  <c r="N23"/>
  <c r="E23"/>
  <c r="C23"/>
  <c r="L23"/>
  <c r="D23"/>
  <c r="P93"/>
  <c r="H93"/>
  <c r="G93"/>
  <c r="R93"/>
  <c r="Q93"/>
  <c r="I93"/>
  <c r="U93"/>
  <c r="F93"/>
  <c r="O93"/>
  <c r="N93"/>
  <c r="L93"/>
  <c r="M93"/>
  <c r="E93"/>
  <c r="K93"/>
  <c r="D93"/>
  <c r="C93"/>
  <c r="W155"/>
  <c r="T17"/>
  <c r="W17" s="1"/>
  <c r="W16"/>
  <c r="S19"/>
  <c r="K20"/>
  <c r="K21" s="1"/>
  <c r="A24"/>
  <c r="J19"/>
  <c r="J20" s="1"/>
  <c r="J21" s="1"/>
  <c r="Y21" s="1"/>
  <c r="C20"/>
  <c r="C21" s="1"/>
  <c r="S18"/>
  <c r="S89"/>
  <c r="K90"/>
  <c r="K91" s="1"/>
  <c r="J89"/>
  <c r="J90" s="1"/>
  <c r="J91" s="1"/>
  <c r="C90"/>
  <c r="C91" s="1"/>
  <c r="T87"/>
  <c r="W87" s="1"/>
  <c r="A94"/>
  <c r="W86"/>
  <c r="S88"/>
  <c r="S159"/>
  <c r="K160"/>
  <c r="K161" s="1"/>
  <c r="A164"/>
  <c r="W156"/>
  <c r="T157"/>
  <c r="W157" s="1"/>
  <c r="J159"/>
  <c r="J160" s="1"/>
  <c r="J161" s="1"/>
  <c r="Y161" s="1"/>
  <c r="C160"/>
  <c r="C161" s="1"/>
  <c r="U94" l="1"/>
  <c r="R94"/>
  <c r="P94"/>
  <c r="H94"/>
  <c r="Q94"/>
  <c r="I94"/>
  <c r="G94"/>
  <c r="M94"/>
  <c r="N94"/>
  <c r="E94"/>
  <c r="O94"/>
  <c r="F94"/>
  <c r="K94"/>
  <c r="L94"/>
  <c r="C94"/>
  <c r="D94"/>
  <c r="U24"/>
  <c r="R24"/>
  <c r="P24"/>
  <c r="H24"/>
  <c r="Q24"/>
  <c r="I24"/>
  <c r="N24"/>
  <c r="G24"/>
  <c r="F24"/>
  <c r="O24"/>
  <c r="M24"/>
  <c r="L24"/>
  <c r="E24"/>
  <c r="K24"/>
  <c r="D24"/>
  <c r="C24"/>
  <c r="U164"/>
  <c r="H164"/>
  <c r="Q164"/>
  <c r="I164"/>
  <c r="R164"/>
  <c r="O164"/>
  <c r="G164"/>
  <c r="P164"/>
  <c r="N164"/>
  <c r="M164"/>
  <c r="F164"/>
  <c r="E164"/>
  <c r="L164"/>
  <c r="C164"/>
  <c r="D164"/>
  <c r="K164"/>
  <c r="T18"/>
  <c r="T88"/>
  <c r="W18"/>
  <c r="T19"/>
  <c r="S20"/>
  <c r="S21" s="1"/>
  <c r="Z21" s="1"/>
  <c r="A25"/>
  <c r="S23"/>
  <c r="J23"/>
  <c r="T89"/>
  <c r="S90"/>
  <c r="S91" s="1"/>
  <c r="W88"/>
  <c r="S93"/>
  <c r="J93"/>
  <c r="T158"/>
  <c r="A95"/>
  <c r="A165"/>
  <c r="T159"/>
  <c r="S160"/>
  <c r="S161" s="1"/>
  <c r="Z161" s="1"/>
  <c r="J163"/>
  <c r="W158"/>
  <c r="S163"/>
  <c r="D17" i="76"/>
  <c r="D134"/>
  <c r="D122"/>
  <c r="AE224" i="85"/>
  <c r="R9" i="75"/>
  <c r="Q9"/>
  <c r="P9"/>
  <c r="O9"/>
  <c r="N9"/>
  <c r="M9"/>
  <c r="L9"/>
  <c r="K9"/>
  <c r="J9"/>
  <c r="I9"/>
  <c r="H9"/>
  <c r="G9"/>
  <c r="AC4"/>
  <c r="Z4"/>
  <c r="R11"/>
  <c r="L11"/>
  <c r="R12"/>
  <c r="O12"/>
  <c r="L12"/>
  <c r="I12"/>
  <c r="J24" i="85" l="1"/>
  <c r="H95"/>
  <c r="G95"/>
  <c r="R95"/>
  <c r="Q95"/>
  <c r="I95"/>
  <c r="U95"/>
  <c r="P95"/>
  <c r="O95"/>
  <c r="O96" s="1"/>
  <c r="N95"/>
  <c r="F95"/>
  <c r="M95"/>
  <c r="E95"/>
  <c r="L95"/>
  <c r="C95"/>
  <c r="D95"/>
  <c r="K95"/>
  <c r="K96" s="1"/>
  <c r="I25"/>
  <c r="P25"/>
  <c r="R25"/>
  <c r="H25"/>
  <c r="U25"/>
  <c r="Q25"/>
  <c r="G25"/>
  <c r="N25"/>
  <c r="N26" s="1"/>
  <c r="O25"/>
  <c r="E25"/>
  <c r="L25"/>
  <c r="F25"/>
  <c r="M25"/>
  <c r="K25"/>
  <c r="D25"/>
  <c r="C25"/>
  <c r="C26" s="1"/>
  <c r="R165"/>
  <c r="I165"/>
  <c r="P165"/>
  <c r="H165"/>
  <c r="U165"/>
  <c r="Q165"/>
  <c r="G165"/>
  <c r="N165"/>
  <c r="N166" s="1"/>
  <c r="O165"/>
  <c r="O166" s="1"/>
  <c r="F165"/>
  <c r="F166" s="1"/>
  <c r="M165"/>
  <c r="L165"/>
  <c r="K165"/>
  <c r="D165"/>
  <c r="E165"/>
  <c r="E166" s="1"/>
  <c r="C165"/>
  <c r="C166" s="1"/>
  <c r="R26"/>
  <c r="T23"/>
  <c r="T20"/>
  <c r="T21" s="1"/>
  <c r="W19"/>
  <c r="W20" s="1"/>
  <c r="W21" s="1"/>
  <c r="S24"/>
  <c r="T24" s="1"/>
  <c r="W24" s="1"/>
  <c r="M26"/>
  <c r="A27"/>
  <c r="L26"/>
  <c r="D26"/>
  <c r="U26"/>
  <c r="E26"/>
  <c r="O26"/>
  <c r="G26"/>
  <c r="I26"/>
  <c r="P26"/>
  <c r="H26"/>
  <c r="Q26"/>
  <c r="F26"/>
  <c r="C96"/>
  <c r="A97"/>
  <c r="L96"/>
  <c r="D96"/>
  <c r="U96"/>
  <c r="M96"/>
  <c r="E96"/>
  <c r="N96"/>
  <c r="F96"/>
  <c r="G96"/>
  <c r="P96"/>
  <c r="H96"/>
  <c r="R96"/>
  <c r="Q96"/>
  <c r="I96"/>
  <c r="S164"/>
  <c r="T93"/>
  <c r="T90"/>
  <c r="T91" s="1"/>
  <c r="W89"/>
  <c r="W90" s="1"/>
  <c r="W91" s="1"/>
  <c r="S94"/>
  <c r="J94"/>
  <c r="U166"/>
  <c r="J164"/>
  <c r="T163"/>
  <c r="A167"/>
  <c r="L166"/>
  <c r="D166"/>
  <c r="M166"/>
  <c r="G166"/>
  <c r="P166"/>
  <c r="H166"/>
  <c r="Q166"/>
  <c r="I166"/>
  <c r="R166"/>
  <c r="T160"/>
  <c r="T161" s="1"/>
  <c r="W159"/>
  <c r="B31" i="78"/>
  <c r="B30"/>
  <c r="U167" i="85" l="1"/>
  <c r="R167"/>
  <c r="Q167"/>
  <c r="I167"/>
  <c r="G167"/>
  <c r="P167"/>
  <c r="H167"/>
  <c r="O167"/>
  <c r="N167"/>
  <c r="M167"/>
  <c r="F167"/>
  <c r="E167"/>
  <c r="C167"/>
  <c r="L167"/>
  <c r="D167"/>
  <c r="K167"/>
  <c r="U97"/>
  <c r="P97"/>
  <c r="H97"/>
  <c r="Q97"/>
  <c r="I97"/>
  <c r="O97"/>
  <c r="G97"/>
  <c r="R97"/>
  <c r="M97"/>
  <c r="N97"/>
  <c r="F97"/>
  <c r="L97"/>
  <c r="E97"/>
  <c r="C97"/>
  <c r="D97"/>
  <c r="K97"/>
  <c r="U27"/>
  <c r="G27"/>
  <c r="P27"/>
  <c r="H27"/>
  <c r="Q27"/>
  <c r="I27"/>
  <c r="R27"/>
  <c r="F27"/>
  <c r="O27"/>
  <c r="M27"/>
  <c r="N27"/>
  <c r="E27"/>
  <c r="K27"/>
  <c r="D27"/>
  <c r="C27"/>
  <c r="L27"/>
  <c r="W160"/>
  <c r="T164"/>
  <c r="W164" s="1"/>
  <c r="A28"/>
  <c r="W23"/>
  <c r="J25"/>
  <c r="J26" s="1"/>
  <c r="S25"/>
  <c r="K26"/>
  <c r="W93"/>
  <c r="T94"/>
  <c r="W94" s="1"/>
  <c r="S95"/>
  <c r="S96" s="1"/>
  <c r="J95"/>
  <c r="J96" s="1"/>
  <c r="A98"/>
  <c r="J165"/>
  <c r="J166" s="1"/>
  <c r="S165"/>
  <c r="K166"/>
  <c r="A168"/>
  <c r="W163"/>
  <c r="B26" i="78"/>
  <c r="B51"/>
  <c r="B29"/>
  <c r="P168" i="85" l="1"/>
  <c r="H168"/>
  <c r="U168"/>
  <c r="Q168"/>
  <c r="G168"/>
  <c r="R168"/>
  <c r="I168"/>
  <c r="O168"/>
  <c r="F168"/>
  <c r="E168"/>
  <c r="N168"/>
  <c r="K168"/>
  <c r="D168"/>
  <c r="M168"/>
  <c r="C168"/>
  <c r="L168"/>
  <c r="P28"/>
  <c r="R28"/>
  <c r="H28"/>
  <c r="U28"/>
  <c r="Q28"/>
  <c r="I28"/>
  <c r="F28"/>
  <c r="O28"/>
  <c r="G28"/>
  <c r="D28"/>
  <c r="M28"/>
  <c r="N28"/>
  <c r="E28"/>
  <c r="K28"/>
  <c r="C28"/>
  <c r="L28"/>
  <c r="R98"/>
  <c r="Q98"/>
  <c r="I98"/>
  <c r="U98"/>
  <c r="P98"/>
  <c r="H98"/>
  <c r="G98"/>
  <c r="O98"/>
  <c r="N98"/>
  <c r="F98"/>
  <c r="M98"/>
  <c r="E98"/>
  <c r="K98"/>
  <c r="D98"/>
  <c r="L98"/>
  <c r="C98"/>
  <c r="W161"/>
  <c r="T95"/>
  <c r="W95" s="1"/>
  <c r="W96" s="1"/>
  <c r="T25"/>
  <c r="S26"/>
  <c r="A29"/>
  <c r="J27"/>
  <c r="S27"/>
  <c r="S97"/>
  <c r="J97"/>
  <c r="A99"/>
  <c r="S167"/>
  <c r="A169"/>
  <c r="J167"/>
  <c r="T165"/>
  <c r="S166"/>
  <c r="U29" l="1"/>
  <c r="P29"/>
  <c r="H29"/>
  <c r="Q29"/>
  <c r="I29"/>
  <c r="O29"/>
  <c r="R29"/>
  <c r="G29"/>
  <c r="G30" s="1"/>
  <c r="N29"/>
  <c r="E29"/>
  <c r="F29"/>
  <c r="M29"/>
  <c r="K29"/>
  <c r="D29"/>
  <c r="C29"/>
  <c r="L29"/>
  <c r="S29" s="1"/>
  <c r="U169"/>
  <c r="R169"/>
  <c r="I169"/>
  <c r="O169"/>
  <c r="G169"/>
  <c r="P169"/>
  <c r="H169"/>
  <c r="Q169"/>
  <c r="Q170" s="1"/>
  <c r="M169"/>
  <c r="N169"/>
  <c r="F169"/>
  <c r="E169"/>
  <c r="K169"/>
  <c r="C169"/>
  <c r="L169"/>
  <c r="D169"/>
  <c r="D170" s="1"/>
  <c r="U99"/>
  <c r="R99"/>
  <c r="H99"/>
  <c r="Q99"/>
  <c r="I99"/>
  <c r="G99"/>
  <c r="G100" s="1"/>
  <c r="P99"/>
  <c r="E99"/>
  <c r="E100" s="1"/>
  <c r="N99"/>
  <c r="F99"/>
  <c r="F100" s="1"/>
  <c r="O99"/>
  <c r="O100" s="1"/>
  <c r="M99"/>
  <c r="C99"/>
  <c r="D99"/>
  <c r="D100" s="1"/>
  <c r="K99"/>
  <c r="K100" s="1"/>
  <c r="L99"/>
  <c r="L100" s="1"/>
  <c r="T96"/>
  <c r="Q30"/>
  <c r="M30"/>
  <c r="I30"/>
  <c r="F30"/>
  <c r="O30"/>
  <c r="P30"/>
  <c r="H30"/>
  <c r="U30"/>
  <c r="E30"/>
  <c r="A31"/>
  <c r="D30"/>
  <c r="N30"/>
  <c r="R30"/>
  <c r="T27"/>
  <c r="J28"/>
  <c r="S28"/>
  <c r="W25"/>
  <c r="W26" s="1"/>
  <c r="T26"/>
  <c r="T97"/>
  <c r="S98"/>
  <c r="P100"/>
  <c r="H100"/>
  <c r="Q100"/>
  <c r="I100"/>
  <c r="R100"/>
  <c r="A101"/>
  <c r="N100"/>
  <c r="U100"/>
  <c r="M100"/>
  <c r="J98"/>
  <c r="K170"/>
  <c r="W165"/>
  <c r="T166"/>
  <c r="T167"/>
  <c r="O170"/>
  <c r="G170"/>
  <c r="P170"/>
  <c r="H170"/>
  <c r="I170"/>
  <c r="R170"/>
  <c r="A171"/>
  <c r="L170"/>
  <c r="U170"/>
  <c r="M170"/>
  <c r="E170"/>
  <c r="N170"/>
  <c r="F170"/>
  <c r="S168"/>
  <c r="J168"/>
  <c r="J116" i="91"/>
  <c r="J122"/>
  <c r="J120"/>
  <c r="J95"/>
  <c r="K95" s="1"/>
  <c r="J78"/>
  <c r="K78" s="1"/>
  <c r="J26"/>
  <c r="K26" s="1"/>
  <c r="J14"/>
  <c r="K14" s="1"/>
  <c r="AI233" i="85"/>
  <c r="AI224"/>
  <c r="L30" l="1"/>
  <c r="R31"/>
  <c r="H31"/>
  <c r="U31"/>
  <c r="Q31"/>
  <c r="I31"/>
  <c r="P31"/>
  <c r="O31"/>
  <c r="O32" s="1"/>
  <c r="O33" s="1"/>
  <c r="G31"/>
  <c r="N31"/>
  <c r="M31"/>
  <c r="K31"/>
  <c r="E31"/>
  <c r="F31"/>
  <c r="D31"/>
  <c r="C31"/>
  <c r="L31"/>
  <c r="I101"/>
  <c r="P101"/>
  <c r="H101"/>
  <c r="G101"/>
  <c r="R101"/>
  <c r="Q101"/>
  <c r="U101"/>
  <c r="O101"/>
  <c r="N101"/>
  <c r="F101"/>
  <c r="E101"/>
  <c r="K101"/>
  <c r="D101"/>
  <c r="M101"/>
  <c r="C101"/>
  <c r="L101"/>
  <c r="H171"/>
  <c r="U171"/>
  <c r="Q171"/>
  <c r="G171"/>
  <c r="R171"/>
  <c r="I171"/>
  <c r="P171"/>
  <c r="P172" s="1"/>
  <c r="P173" s="1"/>
  <c r="M171"/>
  <c r="M172" s="1"/>
  <c r="M173" s="1"/>
  <c r="N171"/>
  <c r="O171"/>
  <c r="F171"/>
  <c r="C171"/>
  <c r="E171"/>
  <c r="E172" s="1"/>
  <c r="E173" s="1"/>
  <c r="K171"/>
  <c r="L171"/>
  <c r="L172" s="1"/>
  <c r="L173" s="1"/>
  <c r="D171"/>
  <c r="D172" s="1"/>
  <c r="D173" s="1"/>
  <c r="W166"/>
  <c r="T28"/>
  <c r="W28" s="1"/>
  <c r="J29"/>
  <c r="J30" s="1"/>
  <c r="C30"/>
  <c r="S30"/>
  <c r="W27"/>
  <c r="U32"/>
  <c r="U33" s="1"/>
  <c r="M32"/>
  <c r="M33" s="1"/>
  <c r="E32"/>
  <c r="E33" s="1"/>
  <c r="G32"/>
  <c r="G33" s="1"/>
  <c r="N32"/>
  <c r="N33" s="1"/>
  <c r="F32"/>
  <c r="F33" s="1"/>
  <c r="Q32"/>
  <c r="Q33" s="1"/>
  <c r="I32"/>
  <c r="I33" s="1"/>
  <c r="R32"/>
  <c r="R33" s="1"/>
  <c r="A35"/>
  <c r="P32"/>
  <c r="P33" s="1"/>
  <c r="D32"/>
  <c r="D33" s="1"/>
  <c r="H32"/>
  <c r="H33" s="1"/>
  <c r="L32"/>
  <c r="L33" s="1"/>
  <c r="K30"/>
  <c r="U102"/>
  <c r="U103" s="1"/>
  <c r="M102"/>
  <c r="M103" s="1"/>
  <c r="E102"/>
  <c r="E103" s="1"/>
  <c r="D102"/>
  <c r="D103" s="1"/>
  <c r="N102"/>
  <c r="N103" s="1"/>
  <c r="F102"/>
  <c r="F103" s="1"/>
  <c r="O102"/>
  <c r="O103" s="1"/>
  <c r="G102"/>
  <c r="G103" s="1"/>
  <c r="P102"/>
  <c r="P103" s="1"/>
  <c r="H102"/>
  <c r="H103" s="1"/>
  <c r="L102"/>
  <c r="L103" s="1"/>
  <c r="Q102"/>
  <c r="Q103" s="1"/>
  <c r="I102"/>
  <c r="I103" s="1"/>
  <c r="R102"/>
  <c r="R103" s="1"/>
  <c r="A105"/>
  <c r="W97"/>
  <c r="T98"/>
  <c r="W98" s="1"/>
  <c r="S99"/>
  <c r="J99"/>
  <c r="J100" s="1"/>
  <c r="C100"/>
  <c r="U172"/>
  <c r="U173" s="1"/>
  <c r="N172"/>
  <c r="N173" s="1"/>
  <c r="F172"/>
  <c r="F173" s="1"/>
  <c r="O172"/>
  <c r="O173" s="1"/>
  <c r="G172"/>
  <c r="G173" s="1"/>
  <c r="H172"/>
  <c r="H173" s="1"/>
  <c r="Q172"/>
  <c r="Q173" s="1"/>
  <c r="I172"/>
  <c r="I173" s="1"/>
  <c r="R172"/>
  <c r="R173" s="1"/>
  <c r="A175"/>
  <c r="T168"/>
  <c r="W168" s="1"/>
  <c r="J169"/>
  <c r="J170" s="1"/>
  <c r="C170"/>
  <c r="W167"/>
  <c r="S169"/>
  <c r="M8" i="75"/>
  <c r="R13"/>
  <c r="R21"/>
  <c r="Q105" i="85" l="1"/>
  <c r="I105"/>
  <c r="G105"/>
  <c r="R105"/>
  <c r="P105"/>
  <c r="H105"/>
  <c r="N105"/>
  <c r="F105"/>
  <c r="O105"/>
  <c r="M105"/>
  <c r="E105"/>
  <c r="D105"/>
  <c r="K105"/>
  <c r="L105"/>
  <c r="C105"/>
  <c r="U105"/>
  <c r="R175"/>
  <c r="P175"/>
  <c r="H175"/>
  <c r="Q175"/>
  <c r="I175"/>
  <c r="G175"/>
  <c r="N175"/>
  <c r="E175"/>
  <c r="O175"/>
  <c r="F175"/>
  <c r="M175"/>
  <c r="D175"/>
  <c r="K175"/>
  <c r="L175"/>
  <c r="C175"/>
  <c r="U175"/>
  <c r="P35"/>
  <c r="H35"/>
  <c r="Q35"/>
  <c r="I35"/>
  <c r="U35"/>
  <c r="G35"/>
  <c r="R35"/>
  <c r="O35"/>
  <c r="N35"/>
  <c r="F35"/>
  <c r="M35"/>
  <c r="E35"/>
  <c r="K35"/>
  <c r="D35"/>
  <c r="C35"/>
  <c r="L35"/>
  <c r="T169"/>
  <c r="W169" s="1"/>
  <c r="T29"/>
  <c r="W29" s="1"/>
  <c r="W30" s="1"/>
  <c r="A36"/>
  <c r="K32"/>
  <c r="K33" s="1"/>
  <c r="S31"/>
  <c r="C32"/>
  <c r="C33" s="1"/>
  <c r="J31"/>
  <c r="J32" s="1"/>
  <c r="J33" s="1"/>
  <c r="Y33" s="1"/>
  <c r="A106"/>
  <c r="K102"/>
  <c r="K103" s="1"/>
  <c r="S101"/>
  <c r="C102"/>
  <c r="C103" s="1"/>
  <c r="J101"/>
  <c r="J102" s="1"/>
  <c r="J103" s="1"/>
  <c r="T99"/>
  <c r="S100"/>
  <c r="K172"/>
  <c r="K173" s="1"/>
  <c r="S171"/>
  <c r="C172"/>
  <c r="C173" s="1"/>
  <c r="J171"/>
  <c r="J172" s="1"/>
  <c r="J173" s="1"/>
  <c r="Y173" s="1"/>
  <c r="A176"/>
  <c r="S170"/>
  <c r="O32" i="78"/>
  <c r="P32" s="1"/>
  <c r="J32"/>
  <c r="Q176" i="85" l="1"/>
  <c r="G176"/>
  <c r="R176"/>
  <c r="I176"/>
  <c r="P176"/>
  <c r="H176"/>
  <c r="E176"/>
  <c r="N176"/>
  <c r="O176"/>
  <c r="F176"/>
  <c r="L176"/>
  <c r="K176"/>
  <c r="M176"/>
  <c r="D176"/>
  <c r="C176"/>
  <c r="U176"/>
  <c r="U106"/>
  <c r="P106"/>
  <c r="H106"/>
  <c r="G106"/>
  <c r="R106"/>
  <c r="Q106"/>
  <c r="I106"/>
  <c r="F106"/>
  <c r="O106"/>
  <c r="N106"/>
  <c r="L106"/>
  <c r="M106"/>
  <c r="E106"/>
  <c r="K106"/>
  <c r="D106"/>
  <c r="C106"/>
  <c r="U36"/>
  <c r="Q36"/>
  <c r="I36"/>
  <c r="P36"/>
  <c r="R36"/>
  <c r="H36"/>
  <c r="O36"/>
  <c r="G36"/>
  <c r="N36"/>
  <c r="F36"/>
  <c r="M36"/>
  <c r="K36"/>
  <c r="E36"/>
  <c r="D36"/>
  <c r="C36"/>
  <c r="L36"/>
  <c r="W170"/>
  <c r="T170"/>
  <c r="T30"/>
  <c r="S35"/>
  <c r="J35"/>
  <c r="S32"/>
  <c r="S33" s="1"/>
  <c r="Z33" s="1"/>
  <c r="T31"/>
  <c r="A37"/>
  <c r="S102"/>
  <c r="S103" s="1"/>
  <c r="T101"/>
  <c r="S105"/>
  <c r="A107"/>
  <c r="W99"/>
  <c r="W100" s="1"/>
  <c r="T100"/>
  <c r="J105"/>
  <c r="S175"/>
  <c r="A177"/>
  <c r="S172"/>
  <c r="S173" s="1"/>
  <c r="Z173" s="1"/>
  <c r="T171"/>
  <c r="J175"/>
  <c r="B9" i="78"/>
  <c r="U37" i="85" l="1"/>
  <c r="H37"/>
  <c r="Q37"/>
  <c r="I37"/>
  <c r="R37"/>
  <c r="P37"/>
  <c r="G37"/>
  <c r="O37"/>
  <c r="O38" s="1"/>
  <c r="N37"/>
  <c r="F37"/>
  <c r="M37"/>
  <c r="E37"/>
  <c r="K37"/>
  <c r="L37"/>
  <c r="D37"/>
  <c r="C37"/>
  <c r="U107"/>
  <c r="I107"/>
  <c r="R107"/>
  <c r="P107"/>
  <c r="H107"/>
  <c r="Q107"/>
  <c r="N107"/>
  <c r="F107"/>
  <c r="F108" s="1"/>
  <c r="G107"/>
  <c r="O107"/>
  <c r="M107"/>
  <c r="E107"/>
  <c r="D107"/>
  <c r="K107"/>
  <c r="L107"/>
  <c r="C107"/>
  <c r="G177"/>
  <c r="R177"/>
  <c r="P177"/>
  <c r="H177"/>
  <c r="O177"/>
  <c r="Q177"/>
  <c r="I177"/>
  <c r="F177"/>
  <c r="F178" s="1"/>
  <c r="M177"/>
  <c r="N177"/>
  <c r="E177"/>
  <c r="K177"/>
  <c r="C177"/>
  <c r="L177"/>
  <c r="L178" s="1"/>
  <c r="D177"/>
  <c r="D178" s="1"/>
  <c r="U177"/>
  <c r="U178" s="1"/>
  <c r="P38"/>
  <c r="Q38"/>
  <c r="S36"/>
  <c r="R38"/>
  <c r="L38"/>
  <c r="D38"/>
  <c r="A39"/>
  <c r="N38"/>
  <c r="F38"/>
  <c r="H38"/>
  <c r="G38"/>
  <c r="E38"/>
  <c r="I38"/>
  <c r="U38"/>
  <c r="M38"/>
  <c r="J36"/>
  <c r="K38"/>
  <c r="T35"/>
  <c r="W31"/>
  <c r="W32" s="1"/>
  <c r="W33" s="1"/>
  <c r="T32"/>
  <c r="T33" s="1"/>
  <c r="R108"/>
  <c r="A109"/>
  <c r="L108"/>
  <c r="D108"/>
  <c r="U108"/>
  <c r="M108"/>
  <c r="E108"/>
  <c r="N108"/>
  <c r="I108"/>
  <c r="O108"/>
  <c r="G108"/>
  <c r="Q108"/>
  <c r="P108"/>
  <c r="H108"/>
  <c r="W101"/>
  <c r="W102" s="1"/>
  <c r="W103" s="1"/>
  <c r="T102"/>
  <c r="T103" s="1"/>
  <c r="S106"/>
  <c r="J106"/>
  <c r="T105"/>
  <c r="K108"/>
  <c r="W171"/>
  <c r="T172"/>
  <c r="T173" s="1"/>
  <c r="T175"/>
  <c r="R178"/>
  <c r="C178"/>
  <c r="A179"/>
  <c r="M178"/>
  <c r="E178"/>
  <c r="N178"/>
  <c r="O178"/>
  <c r="G178"/>
  <c r="P178"/>
  <c r="H178"/>
  <c r="Q178"/>
  <c r="I178"/>
  <c r="S176"/>
  <c r="J176"/>
  <c r="O50" i="78"/>
  <c r="P50" s="1"/>
  <c r="J50"/>
  <c r="O49"/>
  <c r="P49" s="1"/>
  <c r="J49"/>
  <c r="O31"/>
  <c r="P31" s="1"/>
  <c r="J31"/>
  <c r="O39"/>
  <c r="P39" s="1"/>
  <c r="J39"/>
  <c r="O20"/>
  <c r="P20" s="1"/>
  <c r="J20"/>
  <c r="H109" i="85" l="1"/>
  <c r="G109"/>
  <c r="R109"/>
  <c r="Q109"/>
  <c r="I109"/>
  <c r="U109"/>
  <c r="P109"/>
  <c r="P110" s="1"/>
  <c r="O109"/>
  <c r="N109"/>
  <c r="F109"/>
  <c r="M109"/>
  <c r="E109"/>
  <c r="D109"/>
  <c r="K109"/>
  <c r="L109"/>
  <c r="L110" s="1"/>
  <c r="C109"/>
  <c r="I39"/>
  <c r="P39"/>
  <c r="R39"/>
  <c r="H39"/>
  <c r="U39"/>
  <c r="Q39"/>
  <c r="G39"/>
  <c r="G40" s="1"/>
  <c r="N39"/>
  <c r="O39"/>
  <c r="E39"/>
  <c r="L39"/>
  <c r="F39"/>
  <c r="M39"/>
  <c r="K39"/>
  <c r="D39"/>
  <c r="D40" s="1"/>
  <c r="C39"/>
  <c r="R179"/>
  <c r="I179"/>
  <c r="U179"/>
  <c r="P179"/>
  <c r="H179"/>
  <c r="Q179"/>
  <c r="G179"/>
  <c r="G180" s="1"/>
  <c r="N179"/>
  <c r="O179"/>
  <c r="O180" s="1"/>
  <c r="F179"/>
  <c r="M179"/>
  <c r="L179"/>
  <c r="L180" s="1"/>
  <c r="K179"/>
  <c r="D179"/>
  <c r="D180" s="1"/>
  <c r="E179"/>
  <c r="E180" s="1"/>
  <c r="C179"/>
  <c r="W172"/>
  <c r="T36"/>
  <c r="W36" s="1"/>
  <c r="S37"/>
  <c r="S38" s="1"/>
  <c r="J37"/>
  <c r="J38" s="1"/>
  <c r="C38"/>
  <c r="W35"/>
  <c r="P40"/>
  <c r="H40"/>
  <c r="Q40"/>
  <c r="I40"/>
  <c r="R40"/>
  <c r="A41"/>
  <c r="L40"/>
  <c r="N40"/>
  <c r="U40"/>
  <c r="M40"/>
  <c r="E40"/>
  <c r="F40"/>
  <c r="O40"/>
  <c r="S107"/>
  <c r="W105"/>
  <c r="J107"/>
  <c r="J108" s="1"/>
  <c r="C108"/>
  <c r="H110"/>
  <c r="G110"/>
  <c r="Q110"/>
  <c r="I110"/>
  <c r="R110"/>
  <c r="A111"/>
  <c r="D110"/>
  <c r="O110"/>
  <c r="U110"/>
  <c r="M110"/>
  <c r="E110"/>
  <c r="N110"/>
  <c r="F110"/>
  <c r="T106"/>
  <c r="W106" s="1"/>
  <c r="W175"/>
  <c r="S177"/>
  <c r="K178"/>
  <c r="J177"/>
  <c r="J178" s="1"/>
  <c r="P180"/>
  <c r="H180"/>
  <c r="Q180"/>
  <c r="I180"/>
  <c r="R180"/>
  <c r="A181"/>
  <c r="U180"/>
  <c r="M180"/>
  <c r="N180"/>
  <c r="F180"/>
  <c r="T176"/>
  <c r="W176" s="1"/>
  <c r="K43" i="73"/>
  <c r="D43"/>
  <c r="D44"/>
  <c r="D45"/>
  <c r="U111" i="85" l="1"/>
  <c r="G111"/>
  <c r="R111"/>
  <c r="P111"/>
  <c r="O111"/>
  <c r="H111"/>
  <c r="Q111"/>
  <c r="I111"/>
  <c r="N111"/>
  <c r="F111"/>
  <c r="M111"/>
  <c r="E111"/>
  <c r="K111"/>
  <c r="L111"/>
  <c r="C111"/>
  <c r="D111"/>
  <c r="U41"/>
  <c r="Q41"/>
  <c r="G41"/>
  <c r="I41"/>
  <c r="R41"/>
  <c r="P41"/>
  <c r="H41"/>
  <c r="N41"/>
  <c r="F41"/>
  <c r="M41"/>
  <c r="O41"/>
  <c r="E41"/>
  <c r="L41"/>
  <c r="D41"/>
  <c r="C41"/>
  <c r="K41"/>
  <c r="U181"/>
  <c r="U182" s="1"/>
  <c r="U183" s="1"/>
  <c r="R181"/>
  <c r="G181"/>
  <c r="P181"/>
  <c r="H181"/>
  <c r="Q181"/>
  <c r="I181"/>
  <c r="I182" s="1"/>
  <c r="I183" s="1"/>
  <c r="O181"/>
  <c r="M181"/>
  <c r="M182" s="1"/>
  <c r="M183" s="1"/>
  <c r="E181"/>
  <c r="N181"/>
  <c r="F181"/>
  <c r="K181"/>
  <c r="C181"/>
  <c r="L181"/>
  <c r="L182" s="1"/>
  <c r="L183" s="1"/>
  <c r="D181"/>
  <c r="D182" s="1"/>
  <c r="D183" s="1"/>
  <c r="W173"/>
  <c r="J39"/>
  <c r="J40" s="1"/>
  <c r="C40"/>
  <c r="N42"/>
  <c r="N43" s="1"/>
  <c r="F42"/>
  <c r="F43" s="1"/>
  <c r="O42"/>
  <c r="O43" s="1"/>
  <c r="G42"/>
  <c r="G43" s="1"/>
  <c r="P42"/>
  <c r="P43" s="1"/>
  <c r="H42"/>
  <c r="H43" s="1"/>
  <c r="R42"/>
  <c r="R43" s="1"/>
  <c r="D42"/>
  <c r="D43" s="1"/>
  <c r="A45"/>
  <c r="L42"/>
  <c r="L43" s="1"/>
  <c r="E42"/>
  <c r="E43" s="1"/>
  <c r="I42"/>
  <c r="I43" s="1"/>
  <c r="M42"/>
  <c r="M43" s="1"/>
  <c r="U42"/>
  <c r="U43" s="1"/>
  <c r="Q42"/>
  <c r="Q43" s="1"/>
  <c r="S39"/>
  <c r="K40"/>
  <c r="T37"/>
  <c r="N112"/>
  <c r="N113" s="1"/>
  <c r="F112"/>
  <c r="F113" s="1"/>
  <c r="M112"/>
  <c r="M113" s="1"/>
  <c r="O112"/>
  <c r="O113" s="1"/>
  <c r="G112"/>
  <c r="G113" s="1"/>
  <c r="P112"/>
  <c r="P113" s="1"/>
  <c r="H112"/>
  <c r="H113" s="1"/>
  <c r="Q112"/>
  <c r="Q113" s="1"/>
  <c r="I112"/>
  <c r="I113" s="1"/>
  <c r="E112"/>
  <c r="E113" s="1"/>
  <c r="R112"/>
  <c r="R113" s="1"/>
  <c r="A115"/>
  <c r="U112"/>
  <c r="U113" s="1"/>
  <c r="L112"/>
  <c r="L113" s="1"/>
  <c r="D112"/>
  <c r="D113" s="1"/>
  <c r="T107"/>
  <c r="W107" s="1"/>
  <c r="S108"/>
  <c r="J109"/>
  <c r="J110" s="1"/>
  <c r="C110"/>
  <c r="K110"/>
  <c r="S109"/>
  <c r="J179"/>
  <c r="J180" s="1"/>
  <c r="C180"/>
  <c r="N182"/>
  <c r="N183" s="1"/>
  <c r="F182"/>
  <c r="F183" s="1"/>
  <c r="O182"/>
  <c r="O183" s="1"/>
  <c r="G182"/>
  <c r="G183" s="1"/>
  <c r="P182"/>
  <c r="P183" s="1"/>
  <c r="H182"/>
  <c r="H183" s="1"/>
  <c r="Q182"/>
  <c r="Q183" s="1"/>
  <c r="R182"/>
  <c r="R183" s="1"/>
  <c r="A185"/>
  <c r="E182"/>
  <c r="E183" s="1"/>
  <c r="T177"/>
  <c r="W177" s="1"/>
  <c r="S178"/>
  <c r="S179"/>
  <c r="K180"/>
  <c r="D17" i="89"/>
  <c r="D19"/>
  <c r="D14"/>
  <c r="D10"/>
  <c r="D9"/>
  <c r="L21"/>
  <c r="M21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M8"/>
  <c r="L8"/>
  <c r="D8"/>
  <c r="G85" i="77"/>
  <c r="G94" s="1"/>
  <c r="G68"/>
  <c r="G54"/>
  <c r="G51"/>
  <c r="C242" i="76"/>
  <c r="R115" i="85" l="1"/>
  <c r="Q115"/>
  <c r="I115"/>
  <c r="U115"/>
  <c r="P115"/>
  <c r="H115"/>
  <c r="G115"/>
  <c r="O115"/>
  <c r="N115"/>
  <c r="F115"/>
  <c r="M115"/>
  <c r="E115"/>
  <c r="K115"/>
  <c r="D115"/>
  <c r="L115"/>
  <c r="C115"/>
  <c r="P185"/>
  <c r="H185"/>
  <c r="Q185"/>
  <c r="G185"/>
  <c r="R185"/>
  <c r="I185"/>
  <c r="U185"/>
  <c r="O185"/>
  <c r="F185"/>
  <c r="E185"/>
  <c r="N185"/>
  <c r="K185"/>
  <c r="D185"/>
  <c r="M185"/>
  <c r="C185"/>
  <c r="L185"/>
  <c r="P45"/>
  <c r="R45"/>
  <c r="H45"/>
  <c r="U45"/>
  <c r="Q45"/>
  <c r="I45"/>
  <c r="F45"/>
  <c r="O45"/>
  <c r="G45"/>
  <c r="N45"/>
  <c r="D45"/>
  <c r="M45"/>
  <c r="E45"/>
  <c r="C45"/>
  <c r="K45"/>
  <c r="L45"/>
  <c r="W178"/>
  <c r="W37"/>
  <c r="T38"/>
  <c r="A46"/>
  <c r="T39"/>
  <c r="S40"/>
  <c r="K42"/>
  <c r="K43" s="1"/>
  <c r="S41"/>
  <c r="C42"/>
  <c r="C43" s="1"/>
  <c r="J41"/>
  <c r="J42" s="1"/>
  <c r="J43" s="1"/>
  <c r="Y43" s="1"/>
  <c r="S110"/>
  <c r="T109"/>
  <c r="K112"/>
  <c r="K113" s="1"/>
  <c r="S111"/>
  <c r="C112"/>
  <c r="C113" s="1"/>
  <c r="J111"/>
  <c r="J112" s="1"/>
  <c r="J113" s="1"/>
  <c r="T178"/>
  <c r="W108"/>
  <c r="A116"/>
  <c r="T108"/>
  <c r="T179"/>
  <c r="S180"/>
  <c r="C182"/>
  <c r="C183" s="1"/>
  <c r="J181"/>
  <c r="J182" s="1"/>
  <c r="J183" s="1"/>
  <c r="Y183" s="1"/>
  <c r="A186"/>
  <c r="K182"/>
  <c r="K183" s="1"/>
  <c r="S181"/>
  <c r="G23" i="72"/>
  <c r="U46" i="85" l="1"/>
  <c r="I46"/>
  <c r="R46"/>
  <c r="O46"/>
  <c r="P46"/>
  <c r="H46"/>
  <c r="Q46"/>
  <c r="N46"/>
  <c r="F46"/>
  <c r="E46"/>
  <c r="G46"/>
  <c r="C46"/>
  <c r="D46"/>
  <c r="K46"/>
  <c r="L46"/>
  <c r="M46"/>
  <c r="U116"/>
  <c r="R116"/>
  <c r="G116"/>
  <c r="P116"/>
  <c r="H116"/>
  <c r="Q116"/>
  <c r="I116"/>
  <c r="F116"/>
  <c r="E116"/>
  <c r="O116"/>
  <c r="N116"/>
  <c r="M116"/>
  <c r="K116"/>
  <c r="L116"/>
  <c r="C116"/>
  <c r="D116"/>
  <c r="R186"/>
  <c r="U186"/>
  <c r="O186"/>
  <c r="P186"/>
  <c r="H186"/>
  <c r="Q186"/>
  <c r="I186"/>
  <c r="G186"/>
  <c r="M186"/>
  <c r="E186"/>
  <c r="N186"/>
  <c r="F186"/>
  <c r="K186"/>
  <c r="C186"/>
  <c r="L186"/>
  <c r="D186"/>
  <c r="S45"/>
  <c r="A47"/>
  <c r="J46"/>
  <c r="J45"/>
  <c r="W38"/>
  <c r="S42"/>
  <c r="S43" s="1"/>
  <c r="Z43" s="1"/>
  <c r="T41"/>
  <c r="T40"/>
  <c r="W39"/>
  <c r="W40" s="1"/>
  <c r="S115"/>
  <c r="J115"/>
  <c r="S116"/>
  <c r="A117"/>
  <c r="S112"/>
  <c r="S113" s="1"/>
  <c r="T111"/>
  <c r="T110"/>
  <c r="W109"/>
  <c r="W110" s="1"/>
  <c r="S185"/>
  <c r="A187"/>
  <c r="T180"/>
  <c r="W179"/>
  <c r="J185"/>
  <c r="S182"/>
  <c r="S183" s="1"/>
  <c r="Z183" s="1"/>
  <c r="T181"/>
  <c r="K122" i="91"/>
  <c r="H7"/>
  <c r="O13" i="78"/>
  <c r="P13" s="1"/>
  <c r="J13"/>
  <c r="L39" i="73"/>
  <c r="H187" i="85" l="1"/>
  <c r="Q187"/>
  <c r="G187"/>
  <c r="R187"/>
  <c r="I187"/>
  <c r="U187"/>
  <c r="P187"/>
  <c r="M187"/>
  <c r="M188" s="1"/>
  <c r="N187"/>
  <c r="O187"/>
  <c r="F187"/>
  <c r="C187"/>
  <c r="E187"/>
  <c r="K187"/>
  <c r="L187"/>
  <c r="D187"/>
  <c r="D188" s="1"/>
  <c r="I117"/>
  <c r="U117"/>
  <c r="P117"/>
  <c r="H117"/>
  <c r="G117"/>
  <c r="R117"/>
  <c r="Q117"/>
  <c r="O117"/>
  <c r="O118" s="1"/>
  <c r="N117"/>
  <c r="F117"/>
  <c r="E117"/>
  <c r="K117"/>
  <c r="D117"/>
  <c r="M117"/>
  <c r="C117"/>
  <c r="L117"/>
  <c r="L118" s="1"/>
  <c r="R47"/>
  <c r="H47"/>
  <c r="U47"/>
  <c r="Q47"/>
  <c r="I47"/>
  <c r="P47"/>
  <c r="O47"/>
  <c r="G47"/>
  <c r="G48" s="1"/>
  <c r="N47"/>
  <c r="N48" s="1"/>
  <c r="F47"/>
  <c r="M47"/>
  <c r="K47"/>
  <c r="E47"/>
  <c r="E48" s="1"/>
  <c r="C47"/>
  <c r="D47"/>
  <c r="D48" s="1"/>
  <c r="L47"/>
  <c r="L48" s="1"/>
  <c r="W180"/>
  <c r="I48"/>
  <c r="O48"/>
  <c r="T45"/>
  <c r="S46"/>
  <c r="T46" s="1"/>
  <c r="W46" s="1"/>
  <c r="W41"/>
  <c r="W42" s="1"/>
  <c r="W43" s="1"/>
  <c r="T42"/>
  <c r="T43" s="1"/>
  <c r="M48"/>
  <c r="A49"/>
  <c r="U48"/>
  <c r="Q48"/>
  <c r="P48"/>
  <c r="H48"/>
  <c r="F48"/>
  <c r="R48"/>
  <c r="K48"/>
  <c r="T115"/>
  <c r="J116"/>
  <c r="T116" s="1"/>
  <c r="W116" s="1"/>
  <c r="W111"/>
  <c r="W112" s="1"/>
  <c r="W113" s="1"/>
  <c r="T112"/>
  <c r="T113" s="1"/>
  <c r="K118"/>
  <c r="A119"/>
  <c r="D118"/>
  <c r="U118"/>
  <c r="M118"/>
  <c r="E118"/>
  <c r="R118"/>
  <c r="N118"/>
  <c r="F118"/>
  <c r="G118"/>
  <c r="P118"/>
  <c r="H118"/>
  <c r="Q118"/>
  <c r="I118"/>
  <c r="C118"/>
  <c r="K188"/>
  <c r="A189"/>
  <c r="L188"/>
  <c r="U188"/>
  <c r="E188"/>
  <c r="N188"/>
  <c r="F188"/>
  <c r="O188"/>
  <c r="G188"/>
  <c r="P188"/>
  <c r="H188"/>
  <c r="Q188"/>
  <c r="I188"/>
  <c r="R188"/>
  <c r="S186"/>
  <c r="J186"/>
  <c r="T185"/>
  <c r="W181"/>
  <c r="T182"/>
  <c r="T183" s="1"/>
  <c r="L27" i="73"/>
  <c r="L26"/>
  <c r="L25"/>
  <c r="L24"/>
  <c r="L23"/>
  <c r="L22"/>
  <c r="L21"/>
  <c r="L20"/>
  <c r="L19"/>
  <c r="L18"/>
  <c r="L17"/>
  <c r="W326" i="116"/>
  <c r="W325"/>
  <c r="W324"/>
  <c r="W323"/>
  <c r="W322"/>
  <c r="Y322" s="1"/>
  <c r="W321"/>
  <c r="W320"/>
  <c r="W319"/>
  <c r="W315"/>
  <c r="W314"/>
  <c r="W313"/>
  <c r="W312"/>
  <c r="W311"/>
  <c r="T252"/>
  <c r="T235" s="1"/>
  <c r="T241" s="1"/>
  <c r="S252"/>
  <c r="S235" s="1"/>
  <c r="S241" s="1"/>
  <c r="R252"/>
  <c r="Q252"/>
  <c r="M252"/>
  <c r="I252"/>
  <c r="H252"/>
  <c r="H235" s="1"/>
  <c r="H241" s="1"/>
  <c r="G252"/>
  <c r="G235" s="1"/>
  <c r="G241" s="1"/>
  <c r="F252"/>
  <c r="B252"/>
  <c r="U251"/>
  <c r="J251"/>
  <c r="U250"/>
  <c r="J250"/>
  <c r="U249"/>
  <c r="J249"/>
  <c r="U248"/>
  <c r="J248"/>
  <c r="U247"/>
  <c r="J247"/>
  <c r="U246"/>
  <c r="J246"/>
  <c r="U245"/>
  <c r="J245"/>
  <c r="U244"/>
  <c r="J244"/>
  <c r="U240"/>
  <c r="J240"/>
  <c r="U239"/>
  <c r="J239"/>
  <c r="U238"/>
  <c r="J238"/>
  <c r="U237"/>
  <c r="J237"/>
  <c r="U236"/>
  <c r="J236"/>
  <c r="R235"/>
  <c r="R241" s="1"/>
  <c r="M235"/>
  <c r="M241" s="1"/>
  <c r="I235"/>
  <c r="I241" s="1"/>
  <c r="B235"/>
  <c r="B241" s="1"/>
  <c r="T277"/>
  <c r="T260" s="1"/>
  <c r="T266" s="1"/>
  <c r="S277"/>
  <c r="R277"/>
  <c r="Q277"/>
  <c r="M277"/>
  <c r="I277"/>
  <c r="I260" s="1"/>
  <c r="I266" s="1"/>
  <c r="H277"/>
  <c r="H260" s="1"/>
  <c r="H266" s="1"/>
  <c r="G277"/>
  <c r="G260" s="1"/>
  <c r="G266" s="1"/>
  <c r="F277"/>
  <c r="B277"/>
  <c r="U276"/>
  <c r="J276"/>
  <c r="U275"/>
  <c r="J275"/>
  <c r="U274"/>
  <c r="J274"/>
  <c r="U273"/>
  <c r="J273"/>
  <c r="U272"/>
  <c r="J272"/>
  <c r="U271"/>
  <c r="J271"/>
  <c r="U270"/>
  <c r="J270"/>
  <c r="U269"/>
  <c r="J269"/>
  <c r="U265"/>
  <c r="J265"/>
  <c r="U264"/>
  <c r="J264"/>
  <c r="U263"/>
  <c r="J263"/>
  <c r="U262"/>
  <c r="J262"/>
  <c r="U261"/>
  <c r="J261"/>
  <c r="S260"/>
  <c r="S266" s="1"/>
  <c r="R260"/>
  <c r="R266" s="1"/>
  <c r="M260"/>
  <c r="M266" s="1"/>
  <c r="B260"/>
  <c r="B266" s="1"/>
  <c r="T177"/>
  <c r="T160" s="1"/>
  <c r="T166" s="1"/>
  <c r="S177"/>
  <c r="R177"/>
  <c r="Q177"/>
  <c r="M177"/>
  <c r="M160" s="1"/>
  <c r="M166" s="1"/>
  <c r="I177"/>
  <c r="H177"/>
  <c r="H160" s="1"/>
  <c r="H166" s="1"/>
  <c r="G177"/>
  <c r="G160" s="1"/>
  <c r="G166" s="1"/>
  <c r="F177"/>
  <c r="F160" s="1"/>
  <c r="F166" s="1"/>
  <c r="B177"/>
  <c r="U176"/>
  <c r="J176"/>
  <c r="U175"/>
  <c r="J175"/>
  <c r="U174"/>
  <c r="J174"/>
  <c r="U173"/>
  <c r="J173"/>
  <c r="U172"/>
  <c r="J172"/>
  <c r="U171"/>
  <c r="J171"/>
  <c r="U170"/>
  <c r="J170"/>
  <c r="U169"/>
  <c r="J169"/>
  <c r="U165"/>
  <c r="J165"/>
  <c r="U164"/>
  <c r="J164"/>
  <c r="U163"/>
  <c r="J163"/>
  <c r="U162"/>
  <c r="J162"/>
  <c r="U161"/>
  <c r="J161"/>
  <c r="S160"/>
  <c r="S166" s="1"/>
  <c r="R160"/>
  <c r="R166" s="1"/>
  <c r="I160"/>
  <c r="I166" s="1"/>
  <c r="B160"/>
  <c r="B166" s="1"/>
  <c r="T202"/>
  <c r="S202"/>
  <c r="R202"/>
  <c r="Q202"/>
  <c r="M202"/>
  <c r="I202"/>
  <c r="H202"/>
  <c r="H185" s="1"/>
  <c r="H191" s="1"/>
  <c r="G202"/>
  <c r="G185" s="1"/>
  <c r="G191" s="1"/>
  <c r="F202"/>
  <c r="B202"/>
  <c r="U201"/>
  <c r="J201"/>
  <c r="U200"/>
  <c r="J200"/>
  <c r="U199"/>
  <c r="J199"/>
  <c r="U198"/>
  <c r="J198"/>
  <c r="U197"/>
  <c r="J197"/>
  <c r="U196"/>
  <c r="J196"/>
  <c r="U195"/>
  <c r="J195"/>
  <c r="U194"/>
  <c r="J194"/>
  <c r="U190"/>
  <c r="J190"/>
  <c r="U189"/>
  <c r="J189"/>
  <c r="U188"/>
  <c r="J188"/>
  <c r="U187"/>
  <c r="J187"/>
  <c r="U186"/>
  <c r="J186"/>
  <c r="T185"/>
  <c r="T191" s="1"/>
  <c r="S185"/>
  <c r="S191" s="1"/>
  <c r="R185"/>
  <c r="R191" s="1"/>
  <c r="M185"/>
  <c r="M191" s="1"/>
  <c r="I185"/>
  <c r="I191" s="1"/>
  <c r="B185"/>
  <c r="B191" s="1"/>
  <c r="T227"/>
  <c r="T210" s="1"/>
  <c r="T216" s="1"/>
  <c r="S227"/>
  <c r="S210" s="1"/>
  <c r="S216" s="1"/>
  <c r="R227"/>
  <c r="R210" s="1"/>
  <c r="R216" s="1"/>
  <c r="Q227"/>
  <c r="M227"/>
  <c r="M210" s="1"/>
  <c r="M216" s="1"/>
  <c r="I227"/>
  <c r="I210" s="1"/>
  <c r="I216" s="1"/>
  <c r="H227"/>
  <c r="H210" s="1"/>
  <c r="H216" s="1"/>
  <c r="G227"/>
  <c r="G210" s="1"/>
  <c r="G216" s="1"/>
  <c r="F227"/>
  <c r="B227"/>
  <c r="U226"/>
  <c r="J226"/>
  <c r="U225"/>
  <c r="J225"/>
  <c r="U224"/>
  <c r="J224"/>
  <c r="U223"/>
  <c r="J223"/>
  <c r="U222"/>
  <c r="J222"/>
  <c r="U221"/>
  <c r="J221"/>
  <c r="U220"/>
  <c r="J220"/>
  <c r="U219"/>
  <c r="J219"/>
  <c r="U215"/>
  <c r="J215"/>
  <c r="U214"/>
  <c r="J214"/>
  <c r="U213"/>
  <c r="J213"/>
  <c r="U212"/>
  <c r="J212"/>
  <c r="U211"/>
  <c r="J211"/>
  <c r="B210"/>
  <c r="B216" s="1"/>
  <c r="T302"/>
  <c r="T285" s="1"/>
  <c r="T291" s="1"/>
  <c r="S302"/>
  <c r="R302"/>
  <c r="Q302"/>
  <c r="M302"/>
  <c r="I302"/>
  <c r="H302"/>
  <c r="H285" s="1"/>
  <c r="H291" s="1"/>
  <c r="G302"/>
  <c r="G285" s="1"/>
  <c r="G291" s="1"/>
  <c r="F302"/>
  <c r="B302"/>
  <c r="U301"/>
  <c r="J301"/>
  <c r="U300"/>
  <c r="J300"/>
  <c r="U299"/>
  <c r="J299"/>
  <c r="U298"/>
  <c r="J298"/>
  <c r="U297"/>
  <c r="J297"/>
  <c r="U296"/>
  <c r="J296"/>
  <c r="U295"/>
  <c r="J295"/>
  <c r="U294"/>
  <c r="J294"/>
  <c r="U290"/>
  <c r="J290"/>
  <c r="U289"/>
  <c r="J289"/>
  <c r="U288"/>
  <c r="J288"/>
  <c r="U287"/>
  <c r="J287"/>
  <c r="U286"/>
  <c r="J286"/>
  <c r="S285"/>
  <c r="S291" s="1"/>
  <c r="R285"/>
  <c r="R291" s="1"/>
  <c r="M285"/>
  <c r="M291" s="1"/>
  <c r="I285"/>
  <c r="I291" s="1"/>
  <c r="B285"/>
  <c r="B291" s="1"/>
  <c r="U189" i="85" l="1"/>
  <c r="P189"/>
  <c r="R189"/>
  <c r="H189"/>
  <c r="Q189"/>
  <c r="I189"/>
  <c r="G189"/>
  <c r="M189"/>
  <c r="M190" s="1"/>
  <c r="E189"/>
  <c r="N189"/>
  <c r="F189"/>
  <c r="O189"/>
  <c r="C189"/>
  <c r="K189"/>
  <c r="L189"/>
  <c r="D189"/>
  <c r="D190" s="1"/>
  <c r="P119"/>
  <c r="R119"/>
  <c r="H119"/>
  <c r="Q119"/>
  <c r="I119"/>
  <c r="U119"/>
  <c r="G119"/>
  <c r="O119"/>
  <c r="O120" s="1"/>
  <c r="M119"/>
  <c r="N119"/>
  <c r="F119"/>
  <c r="E119"/>
  <c r="D119"/>
  <c r="L119"/>
  <c r="K119"/>
  <c r="C119"/>
  <c r="R49"/>
  <c r="U49"/>
  <c r="P49"/>
  <c r="G49"/>
  <c r="H49"/>
  <c r="Q49"/>
  <c r="I49"/>
  <c r="N49"/>
  <c r="N50" s="1"/>
  <c r="O49"/>
  <c r="F49"/>
  <c r="C49"/>
  <c r="D49"/>
  <c r="D50" s="1"/>
  <c r="K49"/>
  <c r="L49"/>
  <c r="M49"/>
  <c r="M50" s="1"/>
  <c r="E49"/>
  <c r="E50" s="1"/>
  <c r="W182"/>
  <c r="W45"/>
  <c r="S47"/>
  <c r="J47"/>
  <c r="J48" s="1"/>
  <c r="C48"/>
  <c r="Q50"/>
  <c r="I50"/>
  <c r="R50"/>
  <c r="U50"/>
  <c r="O50"/>
  <c r="G50"/>
  <c r="F50"/>
  <c r="L50"/>
  <c r="A51"/>
  <c r="P50"/>
  <c r="H50"/>
  <c r="S117"/>
  <c r="J117"/>
  <c r="J118" s="1"/>
  <c r="W115"/>
  <c r="Q120"/>
  <c r="I120"/>
  <c r="P120"/>
  <c r="R120"/>
  <c r="A121"/>
  <c r="L120"/>
  <c r="D120"/>
  <c r="U120"/>
  <c r="M120"/>
  <c r="E120"/>
  <c r="N120"/>
  <c r="F120"/>
  <c r="H120"/>
  <c r="G120"/>
  <c r="T186"/>
  <c r="W186" s="1"/>
  <c r="W185"/>
  <c r="Q190"/>
  <c r="I190"/>
  <c r="R190"/>
  <c r="A191"/>
  <c r="L190"/>
  <c r="U190"/>
  <c r="E190"/>
  <c r="N190"/>
  <c r="F190"/>
  <c r="O190"/>
  <c r="G190"/>
  <c r="P190"/>
  <c r="H190"/>
  <c r="S187"/>
  <c r="S188" s="1"/>
  <c r="J187"/>
  <c r="J188" s="1"/>
  <c r="C188"/>
  <c r="F285" i="116"/>
  <c r="F291" s="1"/>
  <c r="Q285"/>
  <c r="Q291" s="1"/>
  <c r="Q260"/>
  <c r="Q266" s="1"/>
  <c r="F260"/>
  <c r="F266" s="1"/>
  <c r="F241"/>
  <c r="F235"/>
  <c r="Q235"/>
  <c r="Q241" s="1"/>
  <c r="Q210"/>
  <c r="Q216" s="1"/>
  <c r="F210"/>
  <c r="F216" s="1"/>
  <c r="F185"/>
  <c r="F191" s="1"/>
  <c r="Q191"/>
  <c r="Q185"/>
  <c r="Q160"/>
  <c r="Q166" s="1"/>
  <c r="U202"/>
  <c r="U185" s="1"/>
  <c r="U191" s="1"/>
  <c r="U227"/>
  <c r="U210" s="1"/>
  <c r="U216" s="1"/>
  <c r="J302"/>
  <c r="J285" s="1"/>
  <c r="J291" s="1"/>
  <c r="J177"/>
  <c r="J160" s="1"/>
  <c r="J166" s="1"/>
  <c r="J277"/>
  <c r="J260" s="1"/>
  <c r="J266" s="1"/>
  <c r="J252"/>
  <c r="J235" s="1"/>
  <c r="J241" s="1"/>
  <c r="U302"/>
  <c r="U285" s="1"/>
  <c r="U291" s="1"/>
  <c r="J227"/>
  <c r="J210" s="1"/>
  <c r="J216" s="1"/>
  <c r="J202"/>
  <c r="J185" s="1"/>
  <c r="J191" s="1"/>
  <c r="U177"/>
  <c r="U160" s="1"/>
  <c r="U166" s="1"/>
  <c r="U277"/>
  <c r="U260" s="1"/>
  <c r="U266" s="1"/>
  <c r="U252"/>
  <c r="U235" s="1"/>
  <c r="U241" s="1"/>
  <c r="Q191" i="85" l="1"/>
  <c r="G191"/>
  <c r="R191"/>
  <c r="I191"/>
  <c r="U191"/>
  <c r="P191"/>
  <c r="H191"/>
  <c r="E191"/>
  <c r="E192" s="1"/>
  <c r="E193" s="1"/>
  <c r="N191"/>
  <c r="O191"/>
  <c r="F191"/>
  <c r="M191"/>
  <c r="L191"/>
  <c r="K191"/>
  <c r="D191"/>
  <c r="C191"/>
  <c r="U121"/>
  <c r="P121"/>
  <c r="H121"/>
  <c r="G121"/>
  <c r="R121"/>
  <c r="Q121"/>
  <c r="I121"/>
  <c r="F121"/>
  <c r="F122" s="1"/>
  <c r="F123" s="1"/>
  <c r="O121"/>
  <c r="N121"/>
  <c r="L121"/>
  <c r="M121"/>
  <c r="E121"/>
  <c r="K121"/>
  <c r="D121"/>
  <c r="C121"/>
  <c r="U51"/>
  <c r="Q51"/>
  <c r="I51"/>
  <c r="P51"/>
  <c r="G51"/>
  <c r="G52" s="1"/>
  <c r="G53" s="1"/>
  <c r="R51"/>
  <c r="H51"/>
  <c r="H52" s="1"/>
  <c r="H53" s="1"/>
  <c r="O51"/>
  <c r="O52" s="1"/>
  <c r="O53" s="1"/>
  <c r="N51"/>
  <c r="F51"/>
  <c r="F52" s="1"/>
  <c r="F53" s="1"/>
  <c r="M51"/>
  <c r="K51"/>
  <c r="E51"/>
  <c r="E52" s="1"/>
  <c r="E53" s="1"/>
  <c r="C51"/>
  <c r="D51"/>
  <c r="D52" s="1"/>
  <c r="D53" s="1"/>
  <c r="L51"/>
  <c r="L52" s="1"/>
  <c r="L53" s="1"/>
  <c r="W183"/>
  <c r="T47"/>
  <c r="S48"/>
  <c r="J49"/>
  <c r="J50" s="1"/>
  <c r="C50"/>
  <c r="P52"/>
  <c r="P53" s="1"/>
  <c r="Q52"/>
  <c r="Q53" s="1"/>
  <c r="I52"/>
  <c r="I53" s="1"/>
  <c r="A55"/>
  <c r="M52"/>
  <c r="M53" s="1"/>
  <c r="U52"/>
  <c r="U53" s="1"/>
  <c r="N52"/>
  <c r="N53" s="1"/>
  <c r="R52"/>
  <c r="R53" s="1"/>
  <c r="S49"/>
  <c r="K50"/>
  <c r="T187"/>
  <c r="W187" s="1"/>
  <c r="T117"/>
  <c r="S118"/>
  <c r="S119"/>
  <c r="K120"/>
  <c r="J119"/>
  <c r="J120" s="1"/>
  <c r="C120"/>
  <c r="O122"/>
  <c r="O123" s="1"/>
  <c r="G122"/>
  <c r="G123" s="1"/>
  <c r="P122"/>
  <c r="P123" s="1"/>
  <c r="H122"/>
  <c r="H123" s="1"/>
  <c r="Q122"/>
  <c r="Q123" s="1"/>
  <c r="I122"/>
  <c r="I123" s="1"/>
  <c r="R122"/>
  <c r="R123" s="1"/>
  <c r="A125"/>
  <c r="L122"/>
  <c r="L123" s="1"/>
  <c r="D122"/>
  <c r="D123" s="1"/>
  <c r="N122"/>
  <c r="N123" s="1"/>
  <c r="U122"/>
  <c r="U123" s="1"/>
  <c r="M122"/>
  <c r="M123" s="1"/>
  <c r="E122"/>
  <c r="E123" s="1"/>
  <c r="S189"/>
  <c r="K190"/>
  <c r="J189"/>
  <c r="J190" s="1"/>
  <c r="C190"/>
  <c r="O192"/>
  <c r="O193" s="1"/>
  <c r="G192"/>
  <c r="G193" s="1"/>
  <c r="P192"/>
  <c r="P193" s="1"/>
  <c r="H192"/>
  <c r="H193" s="1"/>
  <c r="Q192"/>
  <c r="Q193" s="1"/>
  <c r="I192"/>
  <c r="I193" s="1"/>
  <c r="R192"/>
  <c r="R193" s="1"/>
  <c r="A195"/>
  <c r="L192"/>
  <c r="L193" s="1"/>
  <c r="D192"/>
  <c r="D193" s="1"/>
  <c r="U192"/>
  <c r="U193" s="1"/>
  <c r="M192"/>
  <c r="M193" s="1"/>
  <c r="N192"/>
  <c r="N193" s="1"/>
  <c r="F192"/>
  <c r="F193" s="1"/>
  <c r="L44" i="73"/>
  <c r="K41"/>
  <c r="J41"/>
  <c r="I41"/>
  <c r="H41"/>
  <c r="D41"/>
  <c r="L43"/>
  <c r="U125" i="85" l="1"/>
  <c r="P125"/>
  <c r="R125"/>
  <c r="H125"/>
  <c r="Q125"/>
  <c r="Q126" s="1"/>
  <c r="I125"/>
  <c r="G125"/>
  <c r="O125"/>
  <c r="O126" s="1"/>
  <c r="M125"/>
  <c r="N125"/>
  <c r="E125"/>
  <c r="F125"/>
  <c r="D125"/>
  <c r="D126" s="1"/>
  <c r="L125"/>
  <c r="C125"/>
  <c r="K125"/>
  <c r="U195"/>
  <c r="R195"/>
  <c r="H195"/>
  <c r="Q195"/>
  <c r="I195"/>
  <c r="I196" s="1"/>
  <c r="O195"/>
  <c r="G195"/>
  <c r="P195"/>
  <c r="P196" s="1"/>
  <c r="E195"/>
  <c r="N195"/>
  <c r="F195"/>
  <c r="M195"/>
  <c r="K195"/>
  <c r="L195"/>
  <c r="D195"/>
  <c r="C195"/>
  <c r="U55"/>
  <c r="R55"/>
  <c r="P55"/>
  <c r="G55"/>
  <c r="H55"/>
  <c r="H56" s="1"/>
  <c r="Q55"/>
  <c r="Q56" s="1"/>
  <c r="I55"/>
  <c r="O55"/>
  <c r="O56" s="1"/>
  <c r="F55"/>
  <c r="N55"/>
  <c r="N56" s="1"/>
  <c r="M55"/>
  <c r="D55"/>
  <c r="D56" s="1"/>
  <c r="L55"/>
  <c r="L56" s="1"/>
  <c r="K55"/>
  <c r="E55"/>
  <c r="C55"/>
  <c r="W188"/>
  <c r="T188"/>
  <c r="S50"/>
  <c r="T49"/>
  <c r="F56"/>
  <c r="G56"/>
  <c r="P56"/>
  <c r="R56"/>
  <c r="A57"/>
  <c r="E56"/>
  <c r="M56"/>
  <c r="U56"/>
  <c r="I56"/>
  <c r="W47"/>
  <c r="W48" s="1"/>
  <c r="T48"/>
  <c r="K52"/>
  <c r="K53" s="1"/>
  <c r="S51"/>
  <c r="C52"/>
  <c r="C53" s="1"/>
  <c r="J51"/>
  <c r="J52" s="1"/>
  <c r="J53" s="1"/>
  <c r="Y53" s="1"/>
  <c r="W117"/>
  <c r="W118" s="1"/>
  <c r="T118"/>
  <c r="C122"/>
  <c r="C123" s="1"/>
  <c r="J121"/>
  <c r="J122" s="1"/>
  <c r="J123" s="1"/>
  <c r="T119"/>
  <c r="S120"/>
  <c r="N126"/>
  <c r="F126"/>
  <c r="G126"/>
  <c r="P126"/>
  <c r="H126"/>
  <c r="M126"/>
  <c r="I126"/>
  <c r="R126"/>
  <c r="U126"/>
  <c r="E126"/>
  <c r="A127"/>
  <c r="L126"/>
  <c r="K122"/>
  <c r="K123" s="1"/>
  <c r="S121"/>
  <c r="T189"/>
  <c r="S190"/>
  <c r="C192"/>
  <c r="C193" s="1"/>
  <c r="J191"/>
  <c r="J192" s="1"/>
  <c r="J193" s="1"/>
  <c r="Y193" s="1"/>
  <c r="K192"/>
  <c r="K193" s="1"/>
  <c r="S191"/>
  <c r="N196"/>
  <c r="F196"/>
  <c r="O196"/>
  <c r="G196"/>
  <c r="H196"/>
  <c r="Q196"/>
  <c r="R196"/>
  <c r="A197"/>
  <c r="L196"/>
  <c r="D196"/>
  <c r="U196"/>
  <c r="M196"/>
  <c r="E196"/>
  <c r="C146" i="76"/>
  <c r="C132" s="1"/>
  <c r="C12"/>
  <c r="C11" s="1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l="1"/>
  <c r="R197" i="85"/>
  <c r="I197"/>
  <c r="U197"/>
  <c r="P197"/>
  <c r="H197"/>
  <c r="Q197"/>
  <c r="Q198" s="1"/>
  <c r="G197"/>
  <c r="G198" s="1"/>
  <c r="N197"/>
  <c r="O197"/>
  <c r="F197"/>
  <c r="M197"/>
  <c r="E197"/>
  <c r="L197"/>
  <c r="K197"/>
  <c r="D197"/>
  <c r="D198" s="1"/>
  <c r="C197"/>
  <c r="H127"/>
  <c r="G127"/>
  <c r="R127"/>
  <c r="Q127"/>
  <c r="I127"/>
  <c r="U127"/>
  <c r="U128" s="1"/>
  <c r="P127"/>
  <c r="P128" s="1"/>
  <c r="O127"/>
  <c r="N127"/>
  <c r="F127"/>
  <c r="M127"/>
  <c r="E127"/>
  <c r="K127"/>
  <c r="D127"/>
  <c r="D128" s="1"/>
  <c r="L127"/>
  <c r="L128" s="1"/>
  <c r="C127"/>
  <c r="I57"/>
  <c r="P57"/>
  <c r="R57"/>
  <c r="H57"/>
  <c r="U57"/>
  <c r="Q57"/>
  <c r="Q58" s="1"/>
  <c r="N57"/>
  <c r="N58" s="1"/>
  <c r="O57"/>
  <c r="E57"/>
  <c r="L57"/>
  <c r="L58" s="1"/>
  <c r="F57"/>
  <c r="F58" s="1"/>
  <c r="G57"/>
  <c r="M57"/>
  <c r="K57"/>
  <c r="C57"/>
  <c r="D57"/>
  <c r="D58" s="1"/>
  <c r="A59"/>
  <c r="U58"/>
  <c r="M58"/>
  <c r="E58"/>
  <c r="P58"/>
  <c r="H58"/>
  <c r="R58"/>
  <c r="I58"/>
  <c r="O58"/>
  <c r="G58"/>
  <c r="W49"/>
  <c r="W50" s="1"/>
  <c r="T50"/>
  <c r="C56"/>
  <c r="J55"/>
  <c r="J56" s="1"/>
  <c r="K56"/>
  <c r="S55"/>
  <c r="S52"/>
  <c r="S53" s="1"/>
  <c r="Z53" s="1"/>
  <c r="T51"/>
  <c r="A129"/>
  <c r="M128"/>
  <c r="E128"/>
  <c r="N128"/>
  <c r="F128"/>
  <c r="O128"/>
  <c r="G128"/>
  <c r="H128"/>
  <c r="Q128"/>
  <c r="I128"/>
  <c r="R128"/>
  <c r="S122"/>
  <c r="S123" s="1"/>
  <c r="T121"/>
  <c r="T120"/>
  <c r="W119"/>
  <c r="W120" s="1"/>
  <c r="C126"/>
  <c r="J125"/>
  <c r="J126" s="1"/>
  <c r="K126"/>
  <c r="S125"/>
  <c r="S192"/>
  <c r="S193" s="1"/>
  <c r="Z193" s="1"/>
  <c r="T191"/>
  <c r="A199"/>
  <c r="L198"/>
  <c r="U198"/>
  <c r="M198"/>
  <c r="E198"/>
  <c r="N198"/>
  <c r="F198"/>
  <c r="O198"/>
  <c r="P198"/>
  <c r="H198"/>
  <c r="I198"/>
  <c r="R198"/>
  <c r="W189"/>
  <c r="T190"/>
  <c r="K196"/>
  <c r="S195"/>
  <c r="C196"/>
  <c r="J195"/>
  <c r="J196" s="1"/>
  <c r="C149" i="76"/>
  <c r="C222"/>
  <c r="C221" s="1"/>
  <c r="C207"/>
  <c r="C101"/>
  <c r="C229"/>
  <c r="C228" s="1"/>
  <c r="C50"/>
  <c r="C10"/>
  <c r="C109"/>
  <c r="U199" i="85" l="1"/>
  <c r="R199"/>
  <c r="Q199"/>
  <c r="I199"/>
  <c r="G199"/>
  <c r="P199"/>
  <c r="H199"/>
  <c r="N199"/>
  <c r="N200" s="1"/>
  <c r="N201" s="1"/>
  <c r="F199"/>
  <c r="O199"/>
  <c r="M199"/>
  <c r="E199"/>
  <c r="D199"/>
  <c r="C199"/>
  <c r="K199"/>
  <c r="L199"/>
  <c r="L200" s="1"/>
  <c r="L201" s="1"/>
  <c r="U59"/>
  <c r="G59"/>
  <c r="P59"/>
  <c r="H59"/>
  <c r="Q59"/>
  <c r="I59"/>
  <c r="R59"/>
  <c r="R60" s="1"/>
  <c r="R61" s="1"/>
  <c r="O59"/>
  <c r="O60" s="1"/>
  <c r="O61" s="1"/>
  <c r="F59"/>
  <c r="M59"/>
  <c r="N59"/>
  <c r="E59"/>
  <c r="L59"/>
  <c r="K59"/>
  <c r="C59"/>
  <c r="D59"/>
  <c r="D60" s="1"/>
  <c r="D61" s="1"/>
  <c r="U129"/>
  <c r="P129"/>
  <c r="R129"/>
  <c r="R130" s="1"/>
  <c r="R131" s="1"/>
  <c r="H129"/>
  <c r="Q129"/>
  <c r="I129"/>
  <c r="I130" s="1"/>
  <c r="I131" s="1"/>
  <c r="O129"/>
  <c r="O130" s="1"/>
  <c r="O131" s="1"/>
  <c r="G129"/>
  <c r="G130" s="1"/>
  <c r="G131" s="1"/>
  <c r="M129"/>
  <c r="M130" s="1"/>
  <c r="M131" s="1"/>
  <c r="N129"/>
  <c r="N130" s="1"/>
  <c r="N131" s="1"/>
  <c r="F129"/>
  <c r="F130" s="1"/>
  <c r="F131" s="1"/>
  <c r="E129"/>
  <c r="E130" s="1"/>
  <c r="E131" s="1"/>
  <c r="D129"/>
  <c r="D130" s="1"/>
  <c r="D131" s="1"/>
  <c r="L129"/>
  <c r="L130" s="1"/>
  <c r="L131" s="1"/>
  <c r="C129"/>
  <c r="K129"/>
  <c r="W190"/>
  <c r="S57"/>
  <c r="K58"/>
  <c r="S56"/>
  <c r="T55"/>
  <c r="A63"/>
  <c r="L60"/>
  <c r="L61" s="1"/>
  <c r="N60"/>
  <c r="N61" s="1"/>
  <c r="F60"/>
  <c r="F61" s="1"/>
  <c r="P60"/>
  <c r="P61" s="1"/>
  <c r="H60"/>
  <c r="H61" s="1"/>
  <c r="G60"/>
  <c r="G61" s="1"/>
  <c r="M60"/>
  <c r="M61" s="1"/>
  <c r="E60"/>
  <c r="E61" s="1"/>
  <c r="I60"/>
  <c r="I61" s="1"/>
  <c r="Q60"/>
  <c r="Q61" s="1"/>
  <c r="U60"/>
  <c r="U61" s="1"/>
  <c r="T52"/>
  <c r="T53" s="1"/>
  <c r="W51"/>
  <c r="W52" s="1"/>
  <c r="W53" s="1"/>
  <c r="J57"/>
  <c r="J58" s="1"/>
  <c r="C58"/>
  <c r="A133"/>
  <c r="Q130"/>
  <c r="Q131" s="1"/>
  <c r="U130"/>
  <c r="U131" s="1"/>
  <c r="P130"/>
  <c r="P131" s="1"/>
  <c r="H130"/>
  <c r="H131" s="1"/>
  <c r="W121"/>
  <c r="W122" s="1"/>
  <c r="W123" s="1"/>
  <c r="T122"/>
  <c r="T123" s="1"/>
  <c r="K128"/>
  <c r="S127"/>
  <c r="C128"/>
  <c r="J127"/>
  <c r="J128" s="1"/>
  <c r="S126"/>
  <c r="T125"/>
  <c r="K198"/>
  <c r="S197"/>
  <c r="C198"/>
  <c r="J197"/>
  <c r="J198" s="1"/>
  <c r="R200"/>
  <c r="R201" s="1"/>
  <c r="A203"/>
  <c r="D200"/>
  <c r="D201" s="1"/>
  <c r="U200"/>
  <c r="U201" s="1"/>
  <c r="M200"/>
  <c r="M201" s="1"/>
  <c r="E200"/>
  <c r="E201" s="1"/>
  <c r="F200"/>
  <c r="F201" s="1"/>
  <c r="O200"/>
  <c r="O201" s="1"/>
  <c r="G200"/>
  <c r="G201" s="1"/>
  <c r="P200"/>
  <c r="P201" s="1"/>
  <c r="H200"/>
  <c r="H201" s="1"/>
  <c r="Q200"/>
  <c r="Q201" s="1"/>
  <c r="I200"/>
  <c r="I201" s="1"/>
  <c r="S196"/>
  <c r="T195"/>
  <c r="T192"/>
  <c r="T193" s="1"/>
  <c r="W191"/>
  <c r="C215" i="76"/>
  <c r="C245" s="1"/>
  <c r="C176"/>
  <c r="C208" s="1"/>
  <c r="C220"/>
  <c r="C70"/>
  <c r="C102" s="1"/>
  <c r="C214"/>
  <c r="C244" s="1"/>
  <c r="U203" i="85" l="1"/>
  <c r="P203"/>
  <c r="H203"/>
  <c r="Q203"/>
  <c r="G203"/>
  <c r="R203"/>
  <c r="I203"/>
  <c r="O203"/>
  <c r="O204" s="1"/>
  <c r="F203"/>
  <c r="E203"/>
  <c r="N203"/>
  <c r="K203"/>
  <c r="D203"/>
  <c r="M203"/>
  <c r="M204" s="1"/>
  <c r="L203"/>
  <c r="L204" s="1"/>
  <c r="C203"/>
  <c r="R133"/>
  <c r="Q133"/>
  <c r="I133"/>
  <c r="U133"/>
  <c r="P133"/>
  <c r="H133"/>
  <c r="H134" s="1"/>
  <c r="G133"/>
  <c r="G134" s="1"/>
  <c r="O133"/>
  <c r="N133"/>
  <c r="F133"/>
  <c r="M133"/>
  <c r="E133"/>
  <c r="K133"/>
  <c r="D133"/>
  <c r="L133"/>
  <c r="C133"/>
  <c r="P63"/>
  <c r="P64" s="1"/>
  <c r="G63"/>
  <c r="R63"/>
  <c r="H63"/>
  <c r="U63"/>
  <c r="Q63"/>
  <c r="Q64" s="1"/>
  <c r="I63"/>
  <c r="I64" s="1"/>
  <c r="F63"/>
  <c r="F64" s="1"/>
  <c r="O63"/>
  <c r="O64" s="1"/>
  <c r="N63"/>
  <c r="D63"/>
  <c r="M63"/>
  <c r="E63"/>
  <c r="E64" s="1"/>
  <c r="L63"/>
  <c r="L64" s="1"/>
  <c r="K63"/>
  <c r="C63"/>
  <c r="W192"/>
  <c r="W55"/>
  <c r="W56" s="1"/>
  <c r="T56"/>
  <c r="R64"/>
  <c r="U64"/>
  <c r="M64"/>
  <c r="G64"/>
  <c r="N64"/>
  <c r="H64"/>
  <c r="D64"/>
  <c r="A65"/>
  <c r="S59"/>
  <c r="K60"/>
  <c r="K61" s="1"/>
  <c r="T57"/>
  <c r="S58"/>
  <c r="J59"/>
  <c r="J60" s="1"/>
  <c r="J61" s="1"/>
  <c r="Y61" s="1"/>
  <c r="C60"/>
  <c r="C61" s="1"/>
  <c r="W125"/>
  <c r="W126" s="1"/>
  <c r="T126"/>
  <c r="Q134"/>
  <c r="I134"/>
  <c r="R134"/>
  <c r="A135"/>
  <c r="L134"/>
  <c r="D134"/>
  <c r="U134"/>
  <c r="M134"/>
  <c r="E134"/>
  <c r="P134"/>
  <c r="N134"/>
  <c r="F134"/>
  <c r="O134"/>
  <c r="S129"/>
  <c r="K130"/>
  <c r="K131" s="1"/>
  <c r="T127"/>
  <c r="S128"/>
  <c r="J129"/>
  <c r="J130" s="1"/>
  <c r="J131" s="1"/>
  <c r="C130"/>
  <c r="C131" s="1"/>
  <c r="S199"/>
  <c r="K200"/>
  <c r="K201" s="1"/>
  <c r="J199"/>
  <c r="J200" s="1"/>
  <c r="J201" s="1"/>
  <c r="Y201" s="1"/>
  <c r="C200"/>
  <c r="C201" s="1"/>
  <c r="T197"/>
  <c r="S198"/>
  <c r="Q204"/>
  <c r="I204"/>
  <c r="R204"/>
  <c r="A205"/>
  <c r="D204"/>
  <c r="U204"/>
  <c r="E204"/>
  <c r="N204"/>
  <c r="F204"/>
  <c r="G204"/>
  <c r="P204"/>
  <c r="H204"/>
  <c r="W195"/>
  <c r="T196"/>
  <c r="C213" i="76"/>
  <c r="U135" i="85" l="1"/>
  <c r="R135"/>
  <c r="H135"/>
  <c r="Q135"/>
  <c r="I135"/>
  <c r="G135"/>
  <c r="G136" s="1"/>
  <c r="P135"/>
  <c r="P136" s="1"/>
  <c r="E135"/>
  <c r="N135"/>
  <c r="F135"/>
  <c r="O135"/>
  <c r="M135"/>
  <c r="D135"/>
  <c r="L135"/>
  <c r="L136" s="1"/>
  <c r="C135"/>
  <c r="K135"/>
  <c r="R205"/>
  <c r="U205"/>
  <c r="I205"/>
  <c r="O205"/>
  <c r="G205"/>
  <c r="G206" s="1"/>
  <c r="P205"/>
  <c r="P206" s="1"/>
  <c r="H205"/>
  <c r="H206" s="1"/>
  <c r="Q205"/>
  <c r="N205"/>
  <c r="F205"/>
  <c r="M205"/>
  <c r="E205"/>
  <c r="K205"/>
  <c r="C205"/>
  <c r="L205"/>
  <c r="L206" s="1"/>
  <c r="D205"/>
  <c r="U65"/>
  <c r="G65"/>
  <c r="P65"/>
  <c r="H65"/>
  <c r="Q65"/>
  <c r="Q66" s="1"/>
  <c r="I65"/>
  <c r="I66" s="1"/>
  <c r="O65"/>
  <c r="O66" s="1"/>
  <c r="R65"/>
  <c r="F65"/>
  <c r="F66" s="1"/>
  <c r="N65"/>
  <c r="E65"/>
  <c r="E66" s="1"/>
  <c r="K65"/>
  <c r="C65"/>
  <c r="M65"/>
  <c r="M66" s="1"/>
  <c r="D65"/>
  <c r="D66" s="1"/>
  <c r="L65"/>
  <c r="W193"/>
  <c r="W196"/>
  <c r="T59"/>
  <c r="S60"/>
  <c r="S61" s="1"/>
  <c r="Z61" s="1"/>
  <c r="J63"/>
  <c r="J64" s="1"/>
  <c r="C64"/>
  <c r="W57"/>
  <c r="W58" s="1"/>
  <c r="T58"/>
  <c r="G66"/>
  <c r="P66"/>
  <c r="H66"/>
  <c r="U66"/>
  <c r="A67"/>
  <c r="L66"/>
  <c r="N66"/>
  <c r="R66"/>
  <c r="S63"/>
  <c r="K64"/>
  <c r="W127"/>
  <c r="W128" s="1"/>
  <c r="T128"/>
  <c r="S133"/>
  <c r="K134"/>
  <c r="T129"/>
  <c r="S130"/>
  <c r="S131" s="1"/>
  <c r="J133"/>
  <c r="J134" s="1"/>
  <c r="C134"/>
  <c r="O136"/>
  <c r="H136"/>
  <c r="F136"/>
  <c r="Q136"/>
  <c r="I136"/>
  <c r="R136"/>
  <c r="N136"/>
  <c r="A137"/>
  <c r="D136"/>
  <c r="U136"/>
  <c r="M136"/>
  <c r="E136"/>
  <c r="S203"/>
  <c r="K204"/>
  <c r="W197"/>
  <c r="T198"/>
  <c r="T199"/>
  <c r="S200"/>
  <c r="S201" s="1"/>
  <c r="Z201" s="1"/>
  <c r="J203"/>
  <c r="J204" s="1"/>
  <c r="C204"/>
  <c r="O206"/>
  <c r="Q206"/>
  <c r="I206"/>
  <c r="R206"/>
  <c r="A207"/>
  <c r="D206"/>
  <c r="U206"/>
  <c r="M206"/>
  <c r="E206"/>
  <c r="N206"/>
  <c r="F206"/>
  <c r="K120" i="91"/>
  <c r="J30" i="78"/>
  <c r="O30"/>
  <c r="P30" s="1"/>
  <c r="I137" i="85" l="1"/>
  <c r="I138" s="1"/>
  <c r="I139" s="1"/>
  <c r="I141" s="1"/>
  <c r="I143" s="1"/>
  <c r="U137"/>
  <c r="P137"/>
  <c r="H137"/>
  <c r="G137"/>
  <c r="G138" s="1"/>
  <c r="G139" s="1"/>
  <c r="G141" s="1"/>
  <c r="G143" s="1"/>
  <c r="R137"/>
  <c r="Q137"/>
  <c r="O137"/>
  <c r="O138" s="1"/>
  <c r="O139" s="1"/>
  <c r="O141" s="1"/>
  <c r="O143" s="1"/>
  <c r="N137"/>
  <c r="N138" s="1"/>
  <c r="N139" s="1"/>
  <c r="N141" s="1"/>
  <c r="N143" s="1"/>
  <c r="F137"/>
  <c r="M137"/>
  <c r="E137"/>
  <c r="K137"/>
  <c r="D137"/>
  <c r="L137"/>
  <c r="L138" s="1"/>
  <c r="L139" s="1"/>
  <c r="L141" s="1"/>
  <c r="L143" s="1"/>
  <c r="C137"/>
  <c r="R67"/>
  <c r="H67"/>
  <c r="U67"/>
  <c r="Q67"/>
  <c r="I67"/>
  <c r="I68" s="1"/>
  <c r="I69" s="1"/>
  <c r="I71" s="1"/>
  <c r="I73" s="1"/>
  <c r="P67"/>
  <c r="O67"/>
  <c r="O68" s="1"/>
  <c r="O69" s="1"/>
  <c r="O71" s="1"/>
  <c r="O73" s="1"/>
  <c r="N67"/>
  <c r="N68" s="1"/>
  <c r="N69" s="1"/>
  <c r="N71" s="1"/>
  <c r="N73" s="1"/>
  <c r="G67"/>
  <c r="G68" s="1"/>
  <c r="G69" s="1"/>
  <c r="G71" s="1"/>
  <c r="G73" s="1"/>
  <c r="F67"/>
  <c r="M67"/>
  <c r="K67"/>
  <c r="E67"/>
  <c r="E68" s="1"/>
  <c r="E69" s="1"/>
  <c r="E71" s="1"/>
  <c r="E73" s="1"/>
  <c r="C67"/>
  <c r="D67"/>
  <c r="L67"/>
  <c r="L68" s="1"/>
  <c r="L69" s="1"/>
  <c r="L71" s="1"/>
  <c r="L73" s="1"/>
  <c r="H207"/>
  <c r="H208" s="1"/>
  <c r="H209" s="1"/>
  <c r="H211" s="1"/>
  <c r="H213" s="1"/>
  <c r="Q207"/>
  <c r="G207"/>
  <c r="R207"/>
  <c r="I207"/>
  <c r="I208" s="1"/>
  <c r="I209" s="1"/>
  <c r="I211" s="1"/>
  <c r="I213" s="1"/>
  <c r="U207"/>
  <c r="P207"/>
  <c r="M207"/>
  <c r="M208" s="1"/>
  <c r="M209" s="1"/>
  <c r="M211" s="1"/>
  <c r="M213" s="1"/>
  <c r="N207"/>
  <c r="O207"/>
  <c r="F207"/>
  <c r="C207"/>
  <c r="E207"/>
  <c r="E208" s="1"/>
  <c r="E209" s="1"/>
  <c r="E211" s="1"/>
  <c r="E213" s="1"/>
  <c r="K207"/>
  <c r="L207"/>
  <c r="L208" s="1"/>
  <c r="L209" s="1"/>
  <c r="L211" s="1"/>
  <c r="L213" s="1"/>
  <c r="D207"/>
  <c r="D208" s="1"/>
  <c r="D209" s="1"/>
  <c r="D211" s="1"/>
  <c r="D213" s="1"/>
  <c r="W198"/>
  <c r="S64"/>
  <c r="T63"/>
  <c r="W59"/>
  <c r="W60" s="1"/>
  <c r="W61" s="1"/>
  <c r="T60"/>
  <c r="T61" s="1"/>
  <c r="U68"/>
  <c r="U69" s="1"/>
  <c r="U71" s="1"/>
  <c r="U73" s="1"/>
  <c r="M68"/>
  <c r="M69" s="1"/>
  <c r="M71" s="1"/>
  <c r="M73" s="1"/>
  <c r="F68"/>
  <c r="F69" s="1"/>
  <c r="F71" s="1"/>
  <c r="F73" s="1"/>
  <c r="Q68"/>
  <c r="Q69" s="1"/>
  <c r="Q71" s="1"/>
  <c r="Q73" s="1"/>
  <c r="R68"/>
  <c r="R69" s="1"/>
  <c r="R71" s="1"/>
  <c r="R73" s="1"/>
  <c r="D68"/>
  <c r="D69" s="1"/>
  <c r="D71" s="1"/>
  <c r="D73" s="1"/>
  <c r="H68"/>
  <c r="H69" s="1"/>
  <c r="H71" s="1"/>
  <c r="H73" s="1"/>
  <c r="P68"/>
  <c r="P69" s="1"/>
  <c r="P71" s="1"/>
  <c r="P73" s="1"/>
  <c r="K66"/>
  <c r="S65"/>
  <c r="C66"/>
  <c r="J65"/>
  <c r="J66" s="1"/>
  <c r="W129"/>
  <c r="W130" s="1"/>
  <c r="W131" s="1"/>
  <c r="T130"/>
  <c r="T131" s="1"/>
  <c r="K136"/>
  <c r="S135"/>
  <c r="C136"/>
  <c r="J135"/>
  <c r="J136" s="1"/>
  <c r="U138"/>
  <c r="U139" s="1"/>
  <c r="U141" s="1"/>
  <c r="U143" s="1"/>
  <c r="M138"/>
  <c r="M139" s="1"/>
  <c r="M141" s="1"/>
  <c r="M143" s="1"/>
  <c r="E138"/>
  <c r="E139" s="1"/>
  <c r="E141" s="1"/>
  <c r="E143" s="1"/>
  <c r="F138"/>
  <c r="F139" s="1"/>
  <c r="F141" s="1"/>
  <c r="F143" s="1"/>
  <c r="P138"/>
  <c r="P139" s="1"/>
  <c r="P141" s="1"/>
  <c r="P143" s="1"/>
  <c r="H138"/>
  <c r="H139" s="1"/>
  <c r="H141" s="1"/>
  <c r="H143" s="1"/>
  <c r="Q138"/>
  <c r="Q139" s="1"/>
  <c r="Q141" s="1"/>
  <c r="Q143" s="1"/>
  <c r="D138"/>
  <c r="D139" s="1"/>
  <c r="D141" s="1"/>
  <c r="D143" s="1"/>
  <c r="R138"/>
  <c r="R139" s="1"/>
  <c r="R141" s="1"/>
  <c r="R143" s="1"/>
  <c r="T133"/>
  <c r="S134"/>
  <c r="T203"/>
  <c r="S204"/>
  <c r="U208"/>
  <c r="U209" s="1"/>
  <c r="U211" s="1"/>
  <c r="U213" s="1"/>
  <c r="N208"/>
  <c r="N209" s="1"/>
  <c r="N211" s="1"/>
  <c r="N213" s="1"/>
  <c r="F208"/>
  <c r="F209" s="1"/>
  <c r="F211" s="1"/>
  <c r="F213" s="1"/>
  <c r="O208"/>
  <c r="O209" s="1"/>
  <c r="O211" s="1"/>
  <c r="O213" s="1"/>
  <c r="G208"/>
  <c r="G209" s="1"/>
  <c r="G211" s="1"/>
  <c r="G213" s="1"/>
  <c r="P208"/>
  <c r="P209" s="1"/>
  <c r="P211" s="1"/>
  <c r="P213" s="1"/>
  <c r="Q208"/>
  <c r="Q209" s="1"/>
  <c r="Q211" s="1"/>
  <c r="Q213" s="1"/>
  <c r="R208"/>
  <c r="R209" s="1"/>
  <c r="R211" s="1"/>
  <c r="R213" s="1"/>
  <c r="K206"/>
  <c r="S205"/>
  <c r="W199"/>
  <c r="T200"/>
  <c r="T201" s="1"/>
  <c r="C206"/>
  <c r="J205"/>
  <c r="J206" s="1"/>
  <c r="O9" i="78"/>
  <c r="G27" i="79"/>
  <c r="J106" i="91"/>
  <c r="J97"/>
  <c r="K97" s="1"/>
  <c r="J31"/>
  <c r="K31" s="1"/>
  <c r="J118"/>
  <c r="K118" s="1"/>
  <c r="J114"/>
  <c r="K114" s="1"/>
  <c r="J112"/>
  <c r="K112" s="1"/>
  <c r="J110"/>
  <c r="K110" s="1"/>
  <c r="J108"/>
  <c r="K108" s="1"/>
  <c r="J101"/>
  <c r="K101" s="1"/>
  <c r="J81"/>
  <c r="J99"/>
  <c r="K99" s="1"/>
  <c r="W200" i="85" l="1"/>
  <c r="W63"/>
  <c r="Y12" s="1"/>
  <c r="T64"/>
  <c r="K68"/>
  <c r="K69" s="1"/>
  <c r="K71" s="1"/>
  <c r="K73" s="1"/>
  <c r="S67"/>
  <c r="S66"/>
  <c r="T65"/>
  <c r="C68"/>
  <c r="C69" s="1"/>
  <c r="C71" s="1"/>
  <c r="C73" s="1"/>
  <c r="J67"/>
  <c r="J68" s="1"/>
  <c r="J69" s="1"/>
  <c r="Y69" s="1"/>
  <c r="S136"/>
  <c r="T135"/>
  <c r="T134"/>
  <c r="W133"/>
  <c r="Y82" s="1"/>
  <c r="C138"/>
  <c r="C139" s="1"/>
  <c r="C141" s="1"/>
  <c r="C143" s="1"/>
  <c r="J137"/>
  <c r="J138" s="1"/>
  <c r="J139" s="1"/>
  <c r="K138"/>
  <c r="K139" s="1"/>
  <c r="K141" s="1"/>
  <c r="K143" s="1"/>
  <c r="S137"/>
  <c r="W203"/>
  <c r="Y152" s="1"/>
  <c r="T204"/>
  <c r="S206"/>
  <c r="T205"/>
  <c r="K208"/>
  <c r="K209" s="1"/>
  <c r="K211" s="1"/>
  <c r="K213" s="1"/>
  <c r="S207"/>
  <c r="C208"/>
  <c r="C209" s="1"/>
  <c r="C211" s="1"/>
  <c r="C213" s="1"/>
  <c r="J207"/>
  <c r="J208" s="1"/>
  <c r="J209" s="1"/>
  <c r="Y209" s="1"/>
  <c r="H68" i="91"/>
  <c r="J73"/>
  <c r="K73" s="1"/>
  <c r="J71"/>
  <c r="K71" s="1"/>
  <c r="J70"/>
  <c r="J69"/>
  <c r="W201" i="85" l="1"/>
  <c r="T66"/>
  <c r="W65"/>
  <c r="W66" s="1"/>
  <c r="S68"/>
  <c r="S69" s="1"/>
  <c r="Z69" s="1"/>
  <c r="T67"/>
  <c r="J71"/>
  <c r="J73" s="1"/>
  <c r="W64"/>
  <c r="S138"/>
  <c r="S139" s="1"/>
  <c r="T137"/>
  <c r="T136"/>
  <c r="W135"/>
  <c r="W136" s="1"/>
  <c r="W134"/>
  <c r="J141"/>
  <c r="J143" s="1"/>
  <c r="W204"/>
  <c r="J211"/>
  <c r="J213" s="1"/>
  <c r="T206"/>
  <c r="W205"/>
  <c r="S208"/>
  <c r="S209" s="1"/>
  <c r="Z209" s="1"/>
  <c r="T207"/>
  <c r="H63" i="91"/>
  <c r="H55"/>
  <c r="H50"/>
  <c r="H30"/>
  <c r="J33"/>
  <c r="K33" s="1"/>
  <c r="K116"/>
  <c r="H93"/>
  <c r="J94"/>
  <c r="K94" s="1"/>
  <c r="J91"/>
  <c r="J90"/>
  <c r="J83"/>
  <c r="J61"/>
  <c r="K61" s="1"/>
  <c r="J59"/>
  <c r="K59" s="1"/>
  <c r="J57"/>
  <c r="K57" s="1"/>
  <c r="J53"/>
  <c r="K53" s="1"/>
  <c r="J51"/>
  <c r="K51" s="1"/>
  <c r="J48"/>
  <c r="K48" s="1"/>
  <c r="J47"/>
  <c r="K47" s="1"/>
  <c r="H41"/>
  <c r="J45"/>
  <c r="K45" s="1"/>
  <c r="J44"/>
  <c r="K44" s="1"/>
  <c r="J43"/>
  <c r="K43" s="1"/>
  <c r="J38"/>
  <c r="K38" s="1"/>
  <c r="J35"/>
  <c r="K35" s="1"/>
  <c r="J28"/>
  <c r="K28" s="1"/>
  <c r="J24"/>
  <c r="K24" s="1"/>
  <c r="J22"/>
  <c r="K22" s="1"/>
  <c r="J20"/>
  <c r="K20" s="1"/>
  <c r="J18"/>
  <c r="K18" s="1"/>
  <c r="J16"/>
  <c r="K16" s="1"/>
  <c r="J12"/>
  <c r="K12" s="1"/>
  <c r="J10"/>
  <c r="K10" s="1"/>
  <c r="W206" i="85" l="1"/>
  <c r="S71"/>
  <c r="S73" s="1"/>
  <c r="W67"/>
  <c r="W68" s="1"/>
  <c r="W69" s="1"/>
  <c r="W71" s="1"/>
  <c r="W73" s="1"/>
  <c r="T68"/>
  <c r="T69" s="1"/>
  <c r="T71" s="1"/>
  <c r="T73" s="1"/>
  <c r="S141"/>
  <c r="S143" s="1"/>
  <c r="W137"/>
  <c r="W138" s="1"/>
  <c r="W139" s="1"/>
  <c r="W141" s="1"/>
  <c r="W143" s="1"/>
  <c r="T138"/>
  <c r="T139" s="1"/>
  <c r="T141" s="1"/>
  <c r="T143" s="1"/>
  <c r="S211"/>
  <c r="S213" s="1"/>
  <c r="W207"/>
  <c r="T208"/>
  <c r="T209" s="1"/>
  <c r="T211" s="1"/>
  <c r="T213" s="1"/>
  <c r="H5" i="91"/>
  <c r="J86"/>
  <c r="K86" s="1"/>
  <c r="J96"/>
  <c r="K96" s="1"/>
  <c r="K91"/>
  <c r="J46"/>
  <c r="K46" s="1"/>
  <c r="H89"/>
  <c r="H76" s="1"/>
  <c r="K90"/>
  <c r="W208" i="85" l="1"/>
  <c r="G58" i="77"/>
  <c r="W209" i="85" l="1"/>
  <c r="I88" i="78"/>
  <c r="H88"/>
  <c r="D88"/>
  <c r="B88"/>
  <c r="J87"/>
  <c r="J88" s="1"/>
  <c r="I64"/>
  <c r="H64"/>
  <c r="D64"/>
  <c r="B64"/>
  <c r="J63"/>
  <c r="J64" s="1"/>
  <c r="I40"/>
  <c r="H40"/>
  <c r="D40"/>
  <c r="B40"/>
  <c r="J40"/>
  <c r="K16" i="72"/>
  <c r="K26"/>
  <c r="W211" i="85" l="1"/>
  <c r="K36" i="72"/>
  <c r="W213" i="85" l="1"/>
  <c r="U217"/>
  <c r="L32" i="73" l="1"/>
  <c r="L33"/>
  <c r="L34"/>
  <c r="L35"/>
  <c r="L36"/>
  <c r="L28" l="1"/>
  <c r="L29"/>
  <c r="L30"/>
  <c r="L31"/>
  <c r="L37"/>
  <c r="L38"/>
  <c r="L40"/>
  <c r="D13" l="1"/>
  <c r="I70" i="78" l="1"/>
  <c r="H70"/>
  <c r="D70"/>
  <c r="B70"/>
  <c r="O69"/>
  <c r="P69" s="1"/>
  <c r="J69"/>
  <c r="O42"/>
  <c r="P42" s="1"/>
  <c r="J42"/>
  <c r="I52"/>
  <c r="H52"/>
  <c r="D52"/>
  <c r="I34"/>
  <c r="H34"/>
  <c r="D34"/>
  <c r="B34"/>
  <c r="O33"/>
  <c r="P33" s="1"/>
  <c r="J33"/>
  <c r="J29"/>
  <c r="I61"/>
  <c r="H61"/>
  <c r="D61"/>
  <c r="B61"/>
  <c r="O60"/>
  <c r="P60" s="1"/>
  <c r="J60"/>
  <c r="J48"/>
  <c r="O48"/>
  <c r="P48" s="1"/>
  <c r="J34" l="1"/>
  <c r="B52"/>
  <c r="M127" i="116" l="1"/>
  <c r="M110" s="1"/>
  <c r="M116" s="1"/>
  <c r="F127"/>
  <c r="J312"/>
  <c r="I327"/>
  <c r="H327"/>
  <c r="H310" s="1"/>
  <c r="H316" s="1"/>
  <c r="F327"/>
  <c r="B327"/>
  <c r="J326"/>
  <c r="J325"/>
  <c r="G327"/>
  <c r="G310" s="1"/>
  <c r="G316" s="1"/>
  <c r="J323"/>
  <c r="J322"/>
  <c r="J321"/>
  <c r="J320"/>
  <c r="J319"/>
  <c r="J315"/>
  <c r="J314"/>
  <c r="J313"/>
  <c r="J311"/>
  <c r="I310"/>
  <c r="I316" s="1"/>
  <c r="B310"/>
  <c r="M152"/>
  <c r="M135" s="1"/>
  <c r="M141" s="1"/>
  <c r="T152"/>
  <c r="T135" s="1"/>
  <c r="T141" s="1"/>
  <c r="S152"/>
  <c r="S135" s="1"/>
  <c r="S141" s="1"/>
  <c r="Q152"/>
  <c r="Q135" s="1"/>
  <c r="U151"/>
  <c r="U150"/>
  <c r="U149"/>
  <c r="U148"/>
  <c r="U147"/>
  <c r="R152"/>
  <c r="R135" s="1"/>
  <c r="R141" s="1"/>
  <c r="U145"/>
  <c r="U144"/>
  <c r="U140"/>
  <c r="U139"/>
  <c r="U138"/>
  <c r="U137"/>
  <c r="U136"/>
  <c r="G152"/>
  <c r="G135" s="1"/>
  <c r="G141" s="1"/>
  <c r="B152"/>
  <c r="B135" s="1"/>
  <c r="B141" s="1"/>
  <c r="I152"/>
  <c r="I135" s="1"/>
  <c r="I141" s="1"/>
  <c r="H152"/>
  <c r="H135" s="1"/>
  <c r="H141" s="1"/>
  <c r="F152"/>
  <c r="J151"/>
  <c r="J150"/>
  <c r="J149"/>
  <c r="J148"/>
  <c r="J147"/>
  <c r="J145"/>
  <c r="J144"/>
  <c r="J140"/>
  <c r="J139"/>
  <c r="J138"/>
  <c r="J137"/>
  <c r="J136"/>
  <c r="T127"/>
  <c r="T110" s="1"/>
  <c r="T116" s="1"/>
  <c r="Q127"/>
  <c r="U126"/>
  <c r="U125"/>
  <c r="U124"/>
  <c r="U123"/>
  <c r="U122"/>
  <c r="U121"/>
  <c r="U120"/>
  <c r="S127"/>
  <c r="S110" s="1"/>
  <c r="S116" s="1"/>
  <c r="R127"/>
  <c r="R110" s="1"/>
  <c r="R116" s="1"/>
  <c r="U115"/>
  <c r="U114"/>
  <c r="U113"/>
  <c r="U112"/>
  <c r="U111"/>
  <c r="J121"/>
  <c r="I127"/>
  <c r="I110" s="1"/>
  <c r="I116" s="1"/>
  <c r="H127"/>
  <c r="H110" s="1"/>
  <c r="H116" s="1"/>
  <c r="G127"/>
  <c r="G110" s="1"/>
  <c r="G116" s="1"/>
  <c r="J126"/>
  <c r="J125"/>
  <c r="J124"/>
  <c r="J123"/>
  <c r="J122"/>
  <c r="J120"/>
  <c r="J115"/>
  <c r="J114"/>
  <c r="J113"/>
  <c r="J112"/>
  <c r="J111"/>
  <c r="U96"/>
  <c r="T102"/>
  <c r="T85" s="1"/>
  <c r="T91" s="1"/>
  <c r="S102"/>
  <c r="S85" s="1"/>
  <c r="S91" s="1"/>
  <c r="Q102"/>
  <c r="U101"/>
  <c r="U100"/>
  <c r="U99"/>
  <c r="U98"/>
  <c r="U97"/>
  <c r="R102"/>
  <c r="R85" s="1"/>
  <c r="R91" s="1"/>
  <c r="U95"/>
  <c r="U94"/>
  <c r="U90"/>
  <c r="U89"/>
  <c r="U88"/>
  <c r="U87"/>
  <c r="U86"/>
  <c r="F102"/>
  <c r="J99"/>
  <c r="J96"/>
  <c r="I102"/>
  <c r="I85" s="1"/>
  <c r="I91" s="1"/>
  <c r="H102"/>
  <c r="H85" s="1"/>
  <c r="H91" s="1"/>
  <c r="J101"/>
  <c r="J100"/>
  <c r="J98"/>
  <c r="J97"/>
  <c r="G102"/>
  <c r="G85" s="1"/>
  <c r="G91" s="1"/>
  <c r="J95"/>
  <c r="J94"/>
  <c r="J90"/>
  <c r="J89"/>
  <c r="J88"/>
  <c r="J87"/>
  <c r="J86"/>
  <c r="Q77"/>
  <c r="M77"/>
  <c r="M60" s="1"/>
  <c r="M66" s="1"/>
  <c r="T77"/>
  <c r="T60" s="1"/>
  <c r="T66" s="1"/>
  <c r="S77"/>
  <c r="S60" s="1"/>
  <c r="S66" s="1"/>
  <c r="U76"/>
  <c r="U75"/>
  <c r="U73"/>
  <c r="U72"/>
  <c r="R77"/>
  <c r="R60" s="1"/>
  <c r="R66" s="1"/>
  <c r="U70"/>
  <c r="U69"/>
  <c r="U65"/>
  <c r="U64"/>
  <c r="U63"/>
  <c r="U62"/>
  <c r="U61"/>
  <c r="J62"/>
  <c r="B77"/>
  <c r="I77"/>
  <c r="I60" s="1"/>
  <c r="I66" s="1"/>
  <c r="H77"/>
  <c r="H60" s="1"/>
  <c r="H66" s="1"/>
  <c r="F77"/>
  <c r="J76"/>
  <c r="J75"/>
  <c r="G77"/>
  <c r="G60" s="1"/>
  <c r="G66" s="1"/>
  <c r="J73"/>
  <c r="J72"/>
  <c r="J70"/>
  <c r="J69"/>
  <c r="J65"/>
  <c r="J64"/>
  <c r="J63"/>
  <c r="J61"/>
  <c r="Q52"/>
  <c r="U46"/>
  <c r="T327"/>
  <c r="T310" s="1"/>
  <c r="S327"/>
  <c r="S310" s="1"/>
  <c r="R327"/>
  <c r="R310" s="1"/>
  <c r="Q327"/>
  <c r="M327"/>
  <c r="M310" s="1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F335"/>
  <c r="U51"/>
  <c r="U49"/>
  <c r="U48"/>
  <c r="U47"/>
  <c r="U45"/>
  <c r="U44"/>
  <c r="U40"/>
  <c r="U39"/>
  <c r="U38"/>
  <c r="U37"/>
  <c r="U36"/>
  <c r="F52"/>
  <c r="F35" s="1"/>
  <c r="Q310" l="1"/>
  <c r="Q316" s="1"/>
  <c r="F310"/>
  <c r="F316" s="1"/>
  <c r="F135"/>
  <c r="F141" s="1"/>
  <c r="Q110"/>
  <c r="Q116" s="1"/>
  <c r="F110"/>
  <c r="F116" s="1"/>
  <c r="F85"/>
  <c r="F91" s="1"/>
  <c r="Q85"/>
  <c r="Q91" s="1"/>
  <c r="Q60"/>
  <c r="Q66" s="1"/>
  <c r="F60"/>
  <c r="F66" s="1"/>
  <c r="Q35"/>
  <c r="Q41" s="1"/>
  <c r="Q141"/>
  <c r="B316"/>
  <c r="M102"/>
  <c r="M85" s="1"/>
  <c r="M91" s="1"/>
  <c r="B60"/>
  <c r="B66" s="1"/>
  <c r="U50"/>
  <c r="U52" s="1"/>
  <c r="U35" s="1"/>
  <c r="U41" s="1"/>
  <c r="M52"/>
  <c r="M35" s="1"/>
  <c r="M41" s="1"/>
  <c r="U71"/>
  <c r="B102"/>
  <c r="B85" s="1"/>
  <c r="B91" s="1"/>
  <c r="B127"/>
  <c r="B110" s="1"/>
  <c r="B116" s="1"/>
  <c r="J324"/>
  <c r="J327" s="1"/>
  <c r="J310" s="1"/>
  <c r="J316" s="1"/>
  <c r="U146"/>
  <c r="U152" s="1"/>
  <c r="U135" s="1"/>
  <c r="U141" s="1"/>
  <c r="J146"/>
  <c r="J152" s="1"/>
  <c r="J135" s="1"/>
  <c r="J141" s="1"/>
  <c r="U119"/>
  <c r="U127" s="1"/>
  <c r="U110" s="1"/>
  <c r="U116" s="1"/>
  <c r="J119"/>
  <c r="J127" s="1"/>
  <c r="J110" s="1"/>
  <c r="J116" s="1"/>
  <c r="U102"/>
  <c r="U85" s="1"/>
  <c r="U91" s="1"/>
  <c r="J102"/>
  <c r="J85" s="1"/>
  <c r="J91" s="1"/>
  <c r="U74"/>
  <c r="J71"/>
  <c r="J74"/>
  <c r="U77" l="1"/>
  <c r="U60" s="1"/>
  <c r="U66" s="1"/>
  <c r="J77"/>
  <c r="J60" s="1"/>
  <c r="J66" s="1"/>
  <c r="I41"/>
  <c r="H41"/>
  <c r="G41"/>
  <c r="B41"/>
  <c r="F41"/>
  <c r="J51"/>
  <c r="J50"/>
  <c r="J49"/>
  <c r="J48"/>
  <c r="J47"/>
  <c r="J46"/>
  <c r="J45"/>
  <c r="J44"/>
  <c r="J40"/>
  <c r="J39"/>
  <c r="J38"/>
  <c r="J37"/>
  <c r="J36"/>
  <c r="J52" l="1"/>
  <c r="J35" s="1"/>
  <c r="J41" s="1"/>
  <c r="I27" l="1"/>
  <c r="I10" s="1"/>
  <c r="I16" s="1"/>
  <c r="H27"/>
  <c r="H10" s="1"/>
  <c r="H16" s="1"/>
  <c r="G27"/>
  <c r="F27"/>
  <c r="Q27"/>
  <c r="Q10" s="1"/>
  <c r="I335"/>
  <c r="H335"/>
  <c r="G335"/>
  <c r="B335"/>
  <c r="J333"/>
  <c r="J335" s="1"/>
  <c r="S316"/>
  <c r="M316"/>
  <c r="U326"/>
  <c r="U325"/>
  <c r="U323"/>
  <c r="U322"/>
  <c r="U321"/>
  <c r="U320"/>
  <c r="U319"/>
  <c r="U315"/>
  <c r="U314"/>
  <c r="U313"/>
  <c r="U312"/>
  <c r="U311"/>
  <c r="T316"/>
  <c r="T27"/>
  <c r="T10" s="1"/>
  <c r="T16" s="1"/>
  <c r="S27"/>
  <c r="S10" s="1"/>
  <c r="S16" s="1"/>
  <c r="R27"/>
  <c r="R10" s="1"/>
  <c r="R16" s="1"/>
  <c r="M27"/>
  <c r="M10" s="1"/>
  <c r="U26"/>
  <c r="J26"/>
  <c r="U25"/>
  <c r="U24"/>
  <c r="U23"/>
  <c r="J23"/>
  <c r="U22"/>
  <c r="U21"/>
  <c r="J21"/>
  <c r="U20"/>
  <c r="J20"/>
  <c r="U19"/>
  <c r="U15"/>
  <c r="J15"/>
  <c r="U14"/>
  <c r="J14"/>
  <c r="U13"/>
  <c r="J13"/>
  <c r="U12"/>
  <c r="J12"/>
  <c r="U11"/>
  <c r="J11"/>
  <c r="F10" l="1"/>
  <c r="F16" s="1"/>
  <c r="Q16"/>
  <c r="W327"/>
  <c r="G10"/>
  <c r="G16" s="1"/>
  <c r="M16"/>
  <c r="B27"/>
  <c r="B10" s="1"/>
  <c r="B16" s="1"/>
  <c r="U324"/>
  <c r="U327" s="1"/>
  <c r="U310" s="1"/>
  <c r="U27"/>
  <c r="U10" s="1"/>
  <c r="U16" s="1"/>
  <c r="R316"/>
  <c r="J19"/>
  <c r="J22"/>
  <c r="J24"/>
  <c r="J25"/>
  <c r="W310" l="1"/>
  <c r="J27"/>
  <c r="J10" s="1"/>
  <c r="J16" s="1"/>
  <c r="U316"/>
  <c r="J25" i="74" l="1"/>
  <c r="D23" i="89" l="1"/>
  <c r="D21"/>
  <c r="I20"/>
  <c r="G32" i="77"/>
  <c r="G38"/>
  <c r="A171" i="84" l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J16" i="72"/>
  <c r="J26"/>
  <c r="A172" i="84" l="1"/>
  <c r="D239" i="118" s="1"/>
  <c r="D238"/>
  <c r="J36" i="72"/>
  <c r="E17" i="90"/>
  <c r="D17"/>
  <c r="D27"/>
  <c r="F27"/>
  <c r="E27"/>
  <c r="F17"/>
  <c r="A173" i="84"/>
  <c r="D240" i="118" s="1"/>
  <c r="F37" i="90" l="1"/>
  <c r="E37"/>
  <c r="D37"/>
  <c r="A174" i="84"/>
  <c r="D241" i="118" s="1"/>
  <c r="A175" i="84" l="1"/>
  <c r="D242" i="118" s="1"/>
  <c r="J103" i="76"/>
  <c r="A176" i="84" l="1"/>
  <c r="D243" i="118" s="1"/>
  <c r="AE9" i="75"/>
  <c r="A177" i="84" l="1"/>
  <c r="D244" i="118" s="1"/>
  <c r="A178" i="84" l="1"/>
  <c r="D245" i="118" s="1"/>
  <c r="A179" i="84" l="1"/>
  <c r="D246" i="118" s="1"/>
  <c r="A180" i="84" l="1"/>
  <c r="D247" i="118" s="1"/>
  <c r="A181" i="84" l="1"/>
  <c r="D248" i="118" s="1"/>
  <c r="A182" i="84" l="1"/>
  <c r="D249" i="118" s="1"/>
  <c r="A183" i="84" l="1"/>
  <c r="D250" i="118" s="1"/>
  <c r="A184" i="84" l="1"/>
  <c r="D251" i="118" s="1"/>
  <c r="A185" i="84" l="1"/>
  <c r="D252" i="118" s="1"/>
  <c r="A186" i="84" l="1"/>
  <c r="D253" i="118" s="1"/>
  <c r="A187" i="84" l="1"/>
  <c r="D254" i="118" s="1"/>
  <c r="A188" i="84" l="1"/>
  <c r="D255" i="118" s="1"/>
  <c r="A189" i="84" l="1"/>
  <c r="D256" i="118" s="1"/>
  <c r="A190" i="84" l="1"/>
  <c r="D257" i="118" s="1"/>
  <c r="A191" i="84" l="1"/>
  <c r="D258" i="118" s="1"/>
  <c r="A192" i="84" l="1"/>
  <c r="D259" i="118" s="1"/>
  <c r="A193" i="84" l="1"/>
  <c r="D260" i="118" s="1"/>
  <c r="A194" i="84" l="1"/>
  <c r="D261" i="118" s="1"/>
  <c r="A195" i="84" l="1"/>
  <c r="D262" i="118" s="1"/>
  <c r="A196" i="84" l="1"/>
  <c r="D263" i="118" s="1"/>
  <c r="A197" i="84" l="1"/>
  <c r="D264" i="118" s="1"/>
  <c r="A198" i="84" l="1"/>
  <c r="D265" i="118" s="1"/>
  <c r="D179" i="76"/>
  <c r="D178" s="1"/>
  <c r="A199" i="84" l="1"/>
  <c r="D266" i="118" s="1"/>
  <c r="A200" i="84" l="1"/>
  <c r="D267" i="118" s="1"/>
  <c r="A201" i="84" l="1"/>
  <c r="D268" i="118" s="1"/>
  <c r="A202" i="84" l="1"/>
  <c r="D269" i="118" s="1"/>
  <c r="A203" i="84" l="1"/>
  <c r="D270" i="118" s="1"/>
  <c r="A204" i="84" l="1"/>
  <c r="D271" i="118" s="1"/>
  <c r="A205" i="84" l="1"/>
  <c r="D272" i="118" s="1"/>
  <c r="A206" i="84" l="1"/>
  <c r="D273" i="118" s="1"/>
  <c r="A207" i="84" l="1"/>
  <c r="D274" i="118" s="1"/>
  <c r="A208" i="84" l="1"/>
  <c r="D275" i="118" s="1"/>
  <c r="A209" i="84" l="1"/>
  <c r="D276" i="118" s="1"/>
  <c r="A210" i="84" l="1"/>
  <c r="D277" i="118" s="1"/>
  <c r="A211" i="84" l="1"/>
  <c r="D278" i="118" s="1"/>
  <c r="A212" i="84" l="1"/>
  <c r="D279" i="118" s="1"/>
  <c r="A213" i="84" l="1"/>
  <c r="D280" i="118" s="1"/>
  <c r="A214" i="84" l="1"/>
  <c r="D281" i="118" s="1"/>
  <c r="A215" i="84" l="1"/>
  <c r="D282" i="118" s="1"/>
  <c r="A216" i="84" l="1"/>
  <c r="D283" i="118" s="1"/>
  <c r="A217" i="84" l="1"/>
  <c r="D284" i="118" s="1"/>
  <c r="G22" i="70"/>
  <c r="E25"/>
  <c r="A218" i="84" l="1"/>
  <c r="D285" i="118" s="1"/>
  <c r="A219" i="84" l="1"/>
  <c r="D286" i="118" s="1"/>
  <c r="A220" i="84" l="1"/>
  <c r="D287" i="118" s="1"/>
  <c r="A221" i="84" l="1"/>
  <c r="D288" i="118" s="1"/>
  <c r="A222" i="84" l="1"/>
  <c r="D289" i="118" s="1"/>
  <c r="A223" i="84" l="1"/>
  <c r="D290" i="118" s="1"/>
  <c r="A224" i="84" l="1"/>
  <c r="D291" i="118" s="1"/>
  <c r="A225" i="84" l="1"/>
  <c r="D292" i="118" s="1"/>
  <c r="A226" i="84" l="1"/>
  <c r="D293" i="118" s="1"/>
  <c r="A227" i="84" l="1"/>
  <c r="D294" i="118" s="1"/>
  <c r="A228" i="84" l="1"/>
  <c r="D295" i="118" s="1"/>
  <c r="A229" i="84" l="1"/>
  <c r="A230" l="1"/>
  <c r="D297" i="118" s="1"/>
  <c r="D296"/>
  <c r="A231" i="84"/>
  <c r="D298" i="118" s="1"/>
  <c r="A232" i="84" l="1"/>
  <c r="D299" i="118" s="1"/>
  <c r="A233" i="84" l="1"/>
  <c r="D300" i="118" s="1"/>
  <c r="A234" i="84" l="1"/>
  <c r="D301" i="118" s="1"/>
  <c r="A235" i="84" l="1"/>
  <c r="D302" i="118" s="1"/>
  <c r="J11" i="72"/>
  <c r="K11" s="1"/>
  <c r="L11" s="1"/>
  <c r="A236" i="84" l="1"/>
  <c r="D303" i="118" s="1"/>
  <c r="A237" i="84" l="1"/>
  <c r="D304" i="118" s="1"/>
  <c r="A238" i="84" l="1"/>
  <c r="D305" i="118" s="1"/>
  <c r="A239" i="84" l="1"/>
  <c r="D306" i="118" s="1"/>
  <c r="A240" i="84" l="1"/>
  <c r="D307" i="118" s="1"/>
  <c r="A241" i="84" l="1"/>
  <c r="A242" l="1"/>
  <c r="D308" i="118"/>
  <c r="A244" i="84" l="1"/>
  <c r="D309" i="118"/>
  <c r="A245" i="84" l="1"/>
  <c r="D311" i="118"/>
  <c r="A246" i="84" l="1"/>
  <c r="D312" i="118"/>
  <c r="A247" i="84" l="1"/>
  <c r="D313" i="118"/>
  <c r="A248" i="84" l="1"/>
  <c r="D314" i="118"/>
  <c r="A249" i="84" l="1"/>
  <c r="D315" i="118"/>
  <c r="A251" i="84" l="1"/>
  <c r="D316" i="118"/>
  <c r="A255" i="84" l="1"/>
  <c r="D318" i="118"/>
  <c r="A256" i="84" l="1"/>
  <c r="D322" i="118"/>
  <c r="D323" l="1"/>
  <c r="A257" i="84"/>
  <c r="D324" i="118" l="1"/>
  <c r="A258" i="84"/>
  <c r="D325" i="118" l="1"/>
  <c r="A259" i="84"/>
  <c r="D326" i="118" l="1"/>
  <c r="A261" i="84"/>
  <c r="D328" i="118" l="1"/>
  <c r="A262" i="84"/>
  <c r="D329" i="118" l="1"/>
  <c r="A263" i="84"/>
  <c r="D330" i="118" l="1"/>
  <c r="A265" i="84"/>
  <c r="D332" i="118" l="1"/>
  <c r="A266" i="84"/>
  <c r="O12" i="78"/>
  <c r="P12" s="1"/>
  <c r="J12"/>
  <c r="D333" i="118" l="1"/>
  <c r="A267" i="84"/>
  <c r="D334" i="118" l="1"/>
  <c r="A268" i="84"/>
  <c r="D335" i="118" l="1"/>
  <c r="A269" i="84"/>
  <c r="D336" i="118" l="1"/>
  <c r="A270" i="84"/>
  <c r="O10" i="78"/>
  <c r="P10" s="1"/>
  <c r="J10"/>
  <c r="O11"/>
  <c r="P11" s="1"/>
  <c r="J11"/>
  <c r="P9"/>
  <c r="J9"/>
  <c r="D337" i="118" l="1"/>
  <c r="A271" i="84"/>
  <c r="D338" i="118" l="1"/>
  <c r="A275" i="84"/>
  <c r="D342" i="118" l="1"/>
  <c r="A276" i="84"/>
  <c r="D343" i="118" l="1"/>
  <c r="A277" i="84"/>
  <c r="D344" i="118" l="1"/>
  <c r="A278" i="84"/>
  <c r="D345" i="118" l="1"/>
  <c r="A279" i="84"/>
  <c r="D346" i="118" l="1"/>
  <c r="A280" i="84"/>
  <c r="D347" i="118" l="1"/>
  <c r="A282" i="84"/>
  <c r="D349" i="118" l="1"/>
  <c r="A284" i="84"/>
  <c r="D351" i="118" l="1"/>
  <c r="A288" i="84"/>
  <c r="D355" i="118" l="1"/>
  <c r="A289" i="84"/>
  <c r="D356" i="118" l="1"/>
  <c r="A290" i="84"/>
  <c r="D357" i="118" l="1"/>
  <c r="A291" i="84"/>
  <c r="D358" i="118" l="1"/>
  <c r="A292" i="84"/>
  <c r="D359" i="118" l="1"/>
  <c r="A294" i="84"/>
  <c r="D361" i="118" l="1"/>
  <c r="A296" i="84"/>
  <c r="D363" i="118" l="1"/>
  <c r="A300" i="84"/>
  <c r="J51" i="78"/>
  <c r="J52" s="1"/>
  <c r="D367" i="118" l="1"/>
  <c r="A302" i="84"/>
  <c r="D18" i="89"/>
  <c r="J8"/>
  <c r="J12" s="1"/>
  <c r="J19"/>
  <c r="J18"/>
  <c r="K19"/>
  <c r="K18"/>
  <c r="K17"/>
  <c r="J16"/>
  <c r="I16"/>
  <c r="K15"/>
  <c r="K14"/>
  <c r="K13"/>
  <c r="D369" i="118" l="1"/>
  <c r="A303" i="84"/>
  <c r="J20" i="89"/>
  <c r="K20"/>
  <c r="K16"/>
  <c r="K9"/>
  <c r="K10"/>
  <c r="K11"/>
  <c r="K8"/>
  <c r="I12"/>
  <c r="K12" s="1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L42" i="73"/>
  <c r="I43" i="78"/>
  <c r="H43"/>
  <c r="D43"/>
  <c r="B43"/>
  <c r="O29"/>
  <c r="O26"/>
  <c r="G96" i="77"/>
  <c r="G57"/>
  <c r="G62" s="1"/>
  <c r="D370" i="118" l="1"/>
  <c r="A305" i="84"/>
  <c r="U36" i="72"/>
  <c r="N36"/>
  <c r="V36"/>
  <c r="M36"/>
  <c r="T36"/>
  <c r="P36"/>
  <c r="R36"/>
  <c r="S36"/>
  <c r="Q36"/>
  <c r="O36"/>
  <c r="D372" i="118" l="1"/>
  <c r="A309" i="84"/>
  <c r="I25" i="74"/>
  <c r="G8" i="72"/>
  <c r="H8" s="1"/>
  <c r="I8" s="1"/>
  <c r="D376" i="118" l="1"/>
  <c r="A310" i="84"/>
  <c r="D9" i="90"/>
  <c r="G58" i="70"/>
  <c r="I58" s="1"/>
  <c r="K58" s="1"/>
  <c r="G57"/>
  <c r="I62"/>
  <c r="I61" s="1"/>
  <c r="H61"/>
  <c r="G61"/>
  <c r="F61"/>
  <c r="E61"/>
  <c r="I60"/>
  <c r="I59" s="1"/>
  <c r="H59"/>
  <c r="G59"/>
  <c r="F59"/>
  <c r="E59"/>
  <c r="H56"/>
  <c r="F56"/>
  <c r="E50"/>
  <c r="I53"/>
  <c r="K53" s="1"/>
  <c r="H52"/>
  <c r="G52"/>
  <c r="F52"/>
  <c r="E52"/>
  <c r="H50"/>
  <c r="F50"/>
  <c r="I49"/>
  <c r="I48" s="1"/>
  <c r="H48"/>
  <c r="G48"/>
  <c r="F48"/>
  <c r="E48"/>
  <c r="H38"/>
  <c r="F38"/>
  <c r="I45"/>
  <c r="K45" s="1"/>
  <c r="H44"/>
  <c r="G44"/>
  <c r="F44"/>
  <c r="E44"/>
  <c r="I43"/>
  <c r="I42" s="1"/>
  <c r="H42"/>
  <c r="G42"/>
  <c r="F42"/>
  <c r="E42"/>
  <c r="G31"/>
  <c r="I31" s="1"/>
  <c r="G30"/>
  <c r="I30" s="1"/>
  <c r="H29"/>
  <c r="F29"/>
  <c r="I35"/>
  <c r="K35" s="1"/>
  <c r="H34"/>
  <c r="G34"/>
  <c r="F34"/>
  <c r="E34"/>
  <c r="I33"/>
  <c r="I32" s="1"/>
  <c r="H32"/>
  <c r="G32"/>
  <c r="F32"/>
  <c r="E32"/>
  <c r="D377" i="118" l="1"/>
  <c r="A311" i="84"/>
  <c r="K43" i="70"/>
  <c r="K49"/>
  <c r="F63"/>
  <c r="K59"/>
  <c r="H63"/>
  <c r="K62"/>
  <c r="K61"/>
  <c r="K33"/>
  <c r="K60"/>
  <c r="G56"/>
  <c r="G63" s="1"/>
  <c r="I57"/>
  <c r="E56"/>
  <c r="E63" s="1"/>
  <c r="G51"/>
  <c r="I52"/>
  <c r="I44"/>
  <c r="G29"/>
  <c r="I29"/>
  <c r="K30"/>
  <c r="E29"/>
  <c r="K31"/>
  <c r="I34"/>
  <c r="D378" i="118" l="1"/>
  <c r="A312" i="84"/>
  <c r="I56" i="70"/>
  <c r="K57"/>
  <c r="I51"/>
  <c r="G50"/>
  <c r="D379" i="118" l="1"/>
  <c r="A313" i="84"/>
  <c r="I63" i="70"/>
  <c r="K63" s="1"/>
  <c r="K56"/>
  <c r="K51"/>
  <c r="I50"/>
  <c r="I233" i="109"/>
  <c r="H233"/>
  <c r="G233"/>
  <c r="P29" i="78"/>
  <c r="O36"/>
  <c r="P36" s="1"/>
  <c r="O51"/>
  <c r="P51" s="1"/>
  <c r="J61"/>
  <c r="J93"/>
  <c r="J94" s="1"/>
  <c r="J66"/>
  <c r="J67" s="1"/>
  <c r="J54"/>
  <c r="J55" s="1"/>
  <c r="J43"/>
  <c r="J70"/>
  <c r="I21"/>
  <c r="H21"/>
  <c r="D21"/>
  <c r="B21"/>
  <c r="G18" i="70"/>
  <c r="A218" i="85"/>
  <c r="G134" i="77"/>
  <c r="G101"/>
  <c r="G132" s="1"/>
  <c r="K199" i="61"/>
  <c r="K184"/>
  <c r="K94"/>
  <c r="K79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E9"/>
  <c r="E10"/>
  <c r="D11"/>
  <c r="E11" s="1"/>
  <c r="F11" s="1"/>
  <c r="C12"/>
  <c r="D13"/>
  <c r="E13" s="1"/>
  <c r="E14"/>
  <c r="D15"/>
  <c r="E15" s="1"/>
  <c r="F15" s="1"/>
  <c r="C16"/>
  <c r="E17"/>
  <c r="F17" s="1"/>
  <c r="E19"/>
  <c r="C20"/>
  <c r="H13" i="88"/>
  <c r="H14"/>
  <c r="H15"/>
  <c r="H16"/>
  <c r="H17"/>
  <c r="H18"/>
  <c r="C19"/>
  <c r="D19"/>
  <c r="E19"/>
  <c r="F19"/>
  <c r="G19"/>
  <c r="A9" i="84"/>
  <c r="G31" i="79"/>
  <c r="G35"/>
  <c r="J21" i="78"/>
  <c r="J23"/>
  <c r="J24" s="1"/>
  <c r="B24"/>
  <c r="D24"/>
  <c r="H24"/>
  <c r="I24"/>
  <c r="J26"/>
  <c r="J27" s="1"/>
  <c r="B27"/>
  <c r="D27"/>
  <c r="H27"/>
  <c r="I27"/>
  <c r="J36"/>
  <c r="J37" s="1"/>
  <c r="B37"/>
  <c r="D37"/>
  <c r="H37"/>
  <c r="I37"/>
  <c r="B55"/>
  <c r="D55"/>
  <c r="H55"/>
  <c r="I55"/>
  <c r="J57"/>
  <c r="J58" s="1"/>
  <c r="B58"/>
  <c r="D58"/>
  <c r="H58"/>
  <c r="I58"/>
  <c r="B67"/>
  <c r="D67"/>
  <c r="H67"/>
  <c r="I67"/>
  <c r="J75"/>
  <c r="J76" s="1"/>
  <c r="B76"/>
  <c r="D76"/>
  <c r="H76"/>
  <c r="I76"/>
  <c r="J78"/>
  <c r="J79" s="1"/>
  <c r="B79"/>
  <c r="D79"/>
  <c r="H79"/>
  <c r="I79"/>
  <c r="J81"/>
  <c r="J82" s="1"/>
  <c r="B82"/>
  <c r="D82"/>
  <c r="H82"/>
  <c r="I82"/>
  <c r="J84"/>
  <c r="J85" s="1"/>
  <c r="B85"/>
  <c r="D85"/>
  <c r="H85"/>
  <c r="I85"/>
  <c r="J90"/>
  <c r="J91" s="1"/>
  <c r="B91"/>
  <c r="D91"/>
  <c r="H91"/>
  <c r="I91"/>
  <c r="B94"/>
  <c r="D94"/>
  <c r="H94"/>
  <c r="I94"/>
  <c r="G9" i="77"/>
  <c r="G26" s="1"/>
  <c r="G70" s="1"/>
  <c r="G17"/>
  <c r="D12" i="76"/>
  <c r="D11" s="1"/>
  <c r="D25"/>
  <c r="D32"/>
  <c r="D44"/>
  <c r="D51"/>
  <c r="D58"/>
  <c r="D64"/>
  <c r="D224"/>
  <c r="H79"/>
  <c r="D88"/>
  <c r="D87" s="1"/>
  <c r="D86" s="1"/>
  <c r="H94"/>
  <c r="D230"/>
  <c r="D110"/>
  <c r="D116"/>
  <c r="D123"/>
  <c r="D146"/>
  <c r="D132" s="1"/>
  <c r="D150"/>
  <c r="D159"/>
  <c r="D165"/>
  <c r="D177"/>
  <c r="D227"/>
  <c r="D225" s="1"/>
  <c r="H184"/>
  <c r="D234"/>
  <c r="H199"/>
  <c r="D223"/>
  <c r="D222" s="1"/>
  <c r="D226"/>
  <c r="D233"/>
  <c r="AE4" i="75"/>
  <c r="AE5"/>
  <c r="AE6"/>
  <c r="S7"/>
  <c r="AE7"/>
  <c r="S8"/>
  <c r="AE8"/>
  <c r="S9"/>
  <c r="AE10"/>
  <c r="S10"/>
  <c r="Z11"/>
  <c r="AA11"/>
  <c r="AB11"/>
  <c r="AC11"/>
  <c r="AE11" s="1"/>
  <c r="AF11" s="1"/>
  <c r="AD11"/>
  <c r="S11"/>
  <c r="S12"/>
  <c r="S13"/>
  <c r="S14"/>
  <c r="S15"/>
  <c r="G16"/>
  <c r="H16"/>
  <c r="I16"/>
  <c r="J16"/>
  <c r="K16"/>
  <c r="L16"/>
  <c r="M16"/>
  <c r="N16"/>
  <c r="O16"/>
  <c r="P16"/>
  <c r="Q16"/>
  <c r="R16"/>
  <c r="S18"/>
  <c r="S19"/>
  <c r="S20"/>
  <c r="S21"/>
  <c r="S22"/>
  <c r="S23"/>
  <c r="S24"/>
  <c r="S25"/>
  <c r="S26"/>
  <c r="S27"/>
  <c r="G28"/>
  <c r="H28"/>
  <c r="I28"/>
  <c r="J28"/>
  <c r="J29" s="1"/>
  <c r="K28"/>
  <c r="L28"/>
  <c r="M28"/>
  <c r="M29" s="1"/>
  <c r="N28"/>
  <c r="O28"/>
  <c r="P28"/>
  <c r="Q28"/>
  <c r="Q29" s="1"/>
  <c r="R28"/>
  <c r="R29" s="1"/>
  <c r="D9" i="73"/>
  <c r="H9"/>
  <c r="I9"/>
  <c r="J9"/>
  <c r="K9"/>
  <c r="L10"/>
  <c r="L9" s="1"/>
  <c r="D11"/>
  <c r="H11"/>
  <c r="I11"/>
  <c r="J11"/>
  <c r="K11"/>
  <c r="L12"/>
  <c r="L11" s="1"/>
  <c r="H13"/>
  <c r="I13"/>
  <c r="J13"/>
  <c r="K13"/>
  <c r="L14"/>
  <c r="L13" s="1"/>
  <c r="D15"/>
  <c r="H15"/>
  <c r="I15"/>
  <c r="J15"/>
  <c r="K15"/>
  <c r="L16"/>
  <c r="L45"/>
  <c r="L41" s="1"/>
  <c r="I10" i="72"/>
  <c r="F11" i="90" s="1"/>
  <c r="M11" i="72"/>
  <c r="N11" s="1"/>
  <c r="O11" s="1"/>
  <c r="P11" s="1"/>
  <c r="Q11" s="1"/>
  <c r="R11" s="1"/>
  <c r="S11" s="1"/>
  <c r="T11" s="1"/>
  <c r="U11" s="1"/>
  <c r="V11" s="1"/>
  <c r="W11" s="1"/>
  <c r="F16"/>
  <c r="G16"/>
  <c r="H16"/>
  <c r="I16"/>
  <c r="L16"/>
  <c r="W16"/>
  <c r="X17"/>
  <c r="X18"/>
  <c r="X19"/>
  <c r="X20"/>
  <c r="X21"/>
  <c r="X22"/>
  <c r="X23"/>
  <c r="X24"/>
  <c r="X25"/>
  <c r="F26"/>
  <c r="G26"/>
  <c r="H26"/>
  <c r="I26"/>
  <c r="L26"/>
  <c r="W26"/>
  <c r="X27"/>
  <c r="X28"/>
  <c r="X29"/>
  <c r="X30"/>
  <c r="X31"/>
  <c r="X32"/>
  <c r="X33"/>
  <c r="X34"/>
  <c r="X35"/>
  <c r="F51"/>
  <c r="F12" i="70"/>
  <c r="H12"/>
  <c r="E14"/>
  <c r="F14"/>
  <c r="G14"/>
  <c r="H14"/>
  <c r="I15"/>
  <c r="I14" s="1"/>
  <c r="F25"/>
  <c r="G25"/>
  <c r="H25"/>
  <c r="I26"/>
  <c r="I25" s="1"/>
  <c r="K25" s="1"/>
  <c r="K32"/>
  <c r="K34"/>
  <c r="F36"/>
  <c r="H36"/>
  <c r="K42"/>
  <c r="K44"/>
  <c r="F46"/>
  <c r="H46"/>
  <c r="K48"/>
  <c r="F54"/>
  <c r="H54"/>
  <c r="F72"/>
  <c r="F76" s="1"/>
  <c r="F78" s="1"/>
  <c r="G72"/>
  <c r="G76" s="1"/>
  <c r="G78" s="1"/>
  <c r="O25" i="69"/>
  <c r="P25"/>
  <c r="Q25"/>
  <c r="G26"/>
  <c r="H26"/>
  <c r="I26"/>
  <c r="O25" i="68"/>
  <c r="P25"/>
  <c r="Q25"/>
  <c r="G26"/>
  <c r="H26"/>
  <c r="I26"/>
  <c r="G230" i="97"/>
  <c r="K160"/>
  <c r="G194"/>
  <c r="G193" s="1"/>
  <c r="G192" s="1"/>
  <c r="I234"/>
  <c r="H233"/>
  <c r="H234"/>
  <c r="K240"/>
  <c r="K92" i="67"/>
  <c r="K98"/>
  <c r="K111"/>
  <c r="G234"/>
  <c r="I234"/>
  <c r="H233"/>
  <c r="H234"/>
  <c r="K204"/>
  <c r="K206"/>
  <c r="K57" i="66"/>
  <c r="G230"/>
  <c r="K100"/>
  <c r="K115"/>
  <c r="K160"/>
  <c r="K196"/>
  <c r="H234"/>
  <c r="H233"/>
  <c r="I233"/>
  <c r="G194"/>
  <c r="G193" s="1"/>
  <c r="G192" s="1"/>
  <c r="G234" i="65"/>
  <c r="H233"/>
  <c r="I233"/>
  <c r="K201" i="64"/>
  <c r="K203"/>
  <c r="K206"/>
  <c r="K240" i="67"/>
  <c r="K139" i="97"/>
  <c r="H230" i="66"/>
  <c r="K97"/>
  <c r="I230"/>
  <c r="K201" i="97"/>
  <c r="K90"/>
  <c r="K206" i="66"/>
  <c r="K198"/>
  <c r="K139" i="67"/>
  <c r="K204" i="97"/>
  <c r="K93"/>
  <c r="K204" i="64"/>
  <c r="K195"/>
  <c r="K91" i="67"/>
  <c r="G230"/>
  <c r="I194" i="66"/>
  <c r="I193" s="1"/>
  <c r="I192" s="1"/>
  <c r="K151"/>
  <c r="K99"/>
  <c r="K95"/>
  <c r="K90"/>
  <c r="K57" i="67"/>
  <c r="K196" i="97"/>
  <c r="K93" i="67"/>
  <c r="I194" i="65"/>
  <c r="I193" s="1"/>
  <c r="I192" s="1"/>
  <c r="K117" i="66"/>
  <c r="K89"/>
  <c r="K202" i="67"/>
  <c r="K92" i="97"/>
  <c r="K89" i="67"/>
  <c r="K160"/>
  <c r="G233" i="64"/>
  <c r="K198"/>
  <c r="G233" i="65"/>
  <c r="G194"/>
  <c r="G193" s="1"/>
  <c r="G192" s="1"/>
  <c r="G233" i="97"/>
  <c r="G233" i="67"/>
  <c r="K200"/>
  <c r="K197" i="64"/>
  <c r="H194" i="65"/>
  <c r="H193" s="1"/>
  <c r="H192" s="1"/>
  <c r="K205" i="66"/>
  <c r="K197"/>
  <c r="G233"/>
  <c r="K200"/>
  <c r="K89" i="97"/>
  <c r="K202" i="64"/>
  <c r="K196"/>
  <c r="K206" i="97"/>
  <c r="K198"/>
  <c r="K195" i="66"/>
  <c r="K195" i="97"/>
  <c r="K199" i="66"/>
  <c r="K98"/>
  <c r="K199" i="67"/>
  <c r="K203" i="97"/>
  <c r="K111" i="66"/>
  <c r="K96"/>
  <c r="K24"/>
  <c r="K115" i="67"/>
  <c r="K100"/>
  <c r="K96"/>
  <c r="K24"/>
  <c r="K115" i="97"/>
  <c r="K111"/>
  <c r="K96"/>
  <c r="K98"/>
  <c r="K26" i="70"/>
  <c r="E12"/>
  <c r="I13"/>
  <c r="I12" s="1"/>
  <c r="G12"/>
  <c r="G16" s="1"/>
  <c r="I234" i="65"/>
  <c r="I233" i="97"/>
  <c r="K203" i="67"/>
  <c r="G234" i="66"/>
  <c r="L15" i="73"/>
  <c r="J46"/>
  <c r="D194" i="76"/>
  <c r="D193" s="1"/>
  <c r="D192" s="1"/>
  <c r="D73"/>
  <c r="D72" s="1"/>
  <c r="D71" s="1"/>
  <c r="D231"/>
  <c r="C9" i="90"/>
  <c r="D149" i="76" l="1"/>
  <c r="D50"/>
  <c r="D232"/>
  <c r="D380" i="118"/>
  <c r="A315" i="84"/>
  <c r="K15" i="70"/>
  <c r="A10" i="84"/>
  <c r="D78" i="118" s="1"/>
  <c r="D77"/>
  <c r="N29" i="75"/>
  <c r="P29"/>
  <c r="O29"/>
  <c r="G29"/>
  <c r="G30" s="1"/>
  <c r="D229" i="76"/>
  <c r="D228" s="1"/>
  <c r="S28" i="75"/>
  <c r="S16"/>
  <c r="K98" i="65"/>
  <c r="K201"/>
  <c r="K202"/>
  <c r="K204"/>
  <c r="K196"/>
  <c r="K197"/>
  <c r="K205"/>
  <c r="K203"/>
  <c r="K199"/>
  <c r="K195"/>
  <c r="H232" i="67"/>
  <c r="K95" i="97"/>
  <c r="I194" i="67"/>
  <c r="I193" s="1"/>
  <c r="I192" s="1"/>
  <c r="H194"/>
  <c r="H193" s="1"/>
  <c r="H192" s="1"/>
  <c r="K198"/>
  <c r="K202" i="97"/>
  <c r="G194" i="67"/>
  <c r="G193" s="1"/>
  <c r="G192" s="1"/>
  <c r="K196"/>
  <c r="G234" i="97"/>
  <c r="G232" s="1"/>
  <c r="K29" i="75"/>
  <c r="U218" i="85"/>
  <c r="F10" i="89"/>
  <c r="I46" i="73"/>
  <c r="I36" i="72"/>
  <c r="K201" i="67"/>
  <c r="K151"/>
  <c r="K151" i="97"/>
  <c r="I72" i="78"/>
  <c r="K13" i="70"/>
  <c r="J72" i="78"/>
  <c r="B72"/>
  <c r="G135" i="77"/>
  <c r="K12" i="70"/>
  <c r="H146" i="66"/>
  <c r="B96" i="78"/>
  <c r="H72"/>
  <c r="H45"/>
  <c r="D96"/>
  <c r="D45"/>
  <c r="H96"/>
  <c r="J45"/>
  <c r="H19" i="88"/>
  <c r="B45" i="78"/>
  <c r="I96"/>
  <c r="J96"/>
  <c r="D72"/>
  <c r="I45"/>
  <c r="W36" i="72"/>
  <c r="H36"/>
  <c r="G24" i="61"/>
  <c r="G10" i="68" s="1"/>
  <c r="I232" i="97"/>
  <c r="F9" i="90"/>
  <c r="E9"/>
  <c r="J13" i="72"/>
  <c r="K13" s="1"/>
  <c r="J10"/>
  <c r="K10" s="1"/>
  <c r="I151" i="61"/>
  <c r="Q10" i="69" s="1"/>
  <c r="G146" i="66"/>
  <c r="G132" s="1"/>
  <c r="L29" i="75"/>
  <c r="H29"/>
  <c r="I29"/>
  <c r="D109" i="76"/>
  <c r="D176" s="1"/>
  <c r="K148" i="97"/>
  <c r="G206" i="61"/>
  <c r="I204"/>
  <c r="Q30" i="69" s="1"/>
  <c r="H203" i="61"/>
  <c r="P29" i="69" s="1"/>
  <c r="G202" i="61"/>
  <c r="O28" i="69" s="1"/>
  <c r="I89" i="61"/>
  <c r="I21" i="69" s="1"/>
  <c r="H146" i="97"/>
  <c r="I24" i="61"/>
  <c r="I10" i="68" s="1"/>
  <c r="G226" i="109"/>
  <c r="I226"/>
  <c r="I226" i="97"/>
  <c r="K147" i="66"/>
  <c r="D221" i="76"/>
  <c r="I146" i="97"/>
  <c r="H16" i="70"/>
  <c r="D10" i="76"/>
  <c r="D70" s="1"/>
  <c r="G115" i="61"/>
  <c r="O12" i="68" s="1"/>
  <c r="L36" i="72"/>
  <c r="D207" i="76"/>
  <c r="K141" i="66"/>
  <c r="K49"/>
  <c r="K147" i="97"/>
  <c r="K23" i="66"/>
  <c r="K172"/>
  <c r="K14"/>
  <c r="K126"/>
  <c r="K17"/>
  <c r="K137"/>
  <c r="K153"/>
  <c r="K34"/>
  <c r="K147" i="67"/>
  <c r="K166" i="66"/>
  <c r="K42"/>
  <c r="K133"/>
  <c r="G198" i="61"/>
  <c r="O24" i="69" s="1"/>
  <c r="I196" i="61"/>
  <c r="H195"/>
  <c r="P21" i="69" s="1"/>
  <c r="I93" i="61"/>
  <c r="H123" i="66"/>
  <c r="I198" i="61"/>
  <c r="Q24" i="69" s="1"/>
  <c r="H197" i="61"/>
  <c r="G196"/>
  <c r="O22" i="69" s="1"/>
  <c r="I206" i="61"/>
  <c r="Q32" i="69" s="1"/>
  <c r="H205" i="61"/>
  <c r="G204"/>
  <c r="I202"/>
  <c r="Q28" i="69" s="1"/>
  <c r="H201" i="61"/>
  <c r="P27" i="69" s="1"/>
  <c r="G200" i="61"/>
  <c r="I197"/>
  <c r="Q23" i="69" s="1"/>
  <c r="H196" i="61"/>
  <c r="G195"/>
  <c r="I160"/>
  <c r="Q12" i="69" s="1"/>
  <c r="H117" i="61"/>
  <c r="P14" i="68" s="1"/>
  <c r="G91" i="61"/>
  <c r="G23" i="69" s="1"/>
  <c r="I57" i="61"/>
  <c r="M25" i="74"/>
  <c r="F19" i="89"/>
  <c r="D20"/>
  <c r="E18"/>
  <c r="F14"/>
  <c r="D16"/>
  <c r="F13"/>
  <c r="E16"/>
  <c r="F9"/>
  <c r="E12"/>
  <c r="D12"/>
  <c r="A219" i="85"/>
  <c r="H233" i="64"/>
  <c r="H200" i="61"/>
  <c r="P26" i="69" s="1"/>
  <c r="H240" i="61"/>
  <c r="G160"/>
  <c r="O12" i="69" s="1"/>
  <c r="H139" i="61"/>
  <c r="P17" i="68" s="1"/>
  <c r="I115" i="61"/>
  <c r="Q12" i="68" s="1"/>
  <c r="I111" i="61"/>
  <c r="Q10" i="68" s="1"/>
  <c r="G57" i="61"/>
  <c r="I205"/>
  <c r="Q31" i="69" s="1"/>
  <c r="H204" i="61"/>
  <c r="P30" i="69" s="1"/>
  <c r="G203" i="61"/>
  <c r="O29" i="69" s="1"/>
  <c r="I201" i="61"/>
  <c r="Q27" i="69" s="1"/>
  <c r="H90" i="61"/>
  <c r="I96"/>
  <c r="I28" i="69" s="1"/>
  <c r="H97" i="61"/>
  <c r="H29" i="69" s="1"/>
  <c r="I233" i="64"/>
  <c r="I200" i="61"/>
  <c r="I240"/>
  <c r="I139"/>
  <c r="Q17" i="68" s="1"/>
  <c r="H57" i="61"/>
  <c r="H198"/>
  <c r="P24" i="69" s="1"/>
  <c r="G197" i="61"/>
  <c r="O23" i="69" s="1"/>
  <c r="I195" i="61"/>
  <c r="Q21" i="69" s="1"/>
  <c r="H96" i="61"/>
  <c r="I92"/>
  <c r="H93"/>
  <c r="H25" i="69" s="1"/>
  <c r="I95" i="61"/>
  <c r="G97"/>
  <c r="H206"/>
  <c r="P32" i="69" s="1"/>
  <c r="G205" i="61"/>
  <c r="O31" i="69" s="1"/>
  <c r="I203" i="61"/>
  <c r="Q29" i="69" s="1"/>
  <c r="H202" i="61"/>
  <c r="P28" i="69" s="1"/>
  <c r="G201" i="61"/>
  <c r="G90"/>
  <c r="G22" i="69" s="1"/>
  <c r="H89" i="61"/>
  <c r="H92"/>
  <c r="H24" i="69" s="1"/>
  <c r="G93" i="61"/>
  <c r="G25" i="69" s="1"/>
  <c r="H95" i="61"/>
  <c r="G96"/>
  <c r="G28" i="69" s="1"/>
  <c r="H99" i="61"/>
  <c r="H31" i="69" s="1"/>
  <c r="G240" i="61"/>
  <c r="G139"/>
  <c r="O17" i="68" s="1"/>
  <c r="H115" i="61"/>
  <c r="P12" i="68" s="1"/>
  <c r="H111" i="61"/>
  <c r="P10" i="68" s="1"/>
  <c r="G89" i="61"/>
  <c r="G21" i="69" s="1"/>
  <c r="I90" i="61"/>
  <c r="I22" i="69" s="1"/>
  <c r="H91" i="61"/>
  <c r="G92"/>
  <c r="G24" i="69" s="1"/>
  <c r="I97" i="61"/>
  <c r="I29" i="69" s="1"/>
  <c r="H98" i="61"/>
  <c r="A11" i="84"/>
  <c r="D79" i="118" s="1"/>
  <c r="K46" i="73"/>
  <c r="G36" i="72"/>
  <c r="F36"/>
  <c r="X26"/>
  <c r="P26" i="78"/>
  <c r="D215" i="76"/>
  <c r="D101"/>
  <c r="H46" i="73"/>
  <c r="D46"/>
  <c r="L46"/>
  <c r="X16" i="72"/>
  <c r="C27" i="90"/>
  <c r="C17"/>
  <c r="G27" i="70"/>
  <c r="K14"/>
  <c r="E54"/>
  <c r="K48" i="66"/>
  <c r="G12"/>
  <c r="G11" s="1"/>
  <c r="G242"/>
  <c r="K84"/>
  <c r="K31"/>
  <c r="K173"/>
  <c r="K69"/>
  <c r="K43"/>
  <c r="K16"/>
  <c r="K81"/>
  <c r="K45"/>
  <c r="K61"/>
  <c r="K28"/>
  <c r="K158"/>
  <c r="K240" i="64"/>
  <c r="I242" i="66"/>
  <c r="K170" i="67"/>
  <c r="K124" i="66"/>
  <c r="K80"/>
  <c r="K77"/>
  <c r="H223"/>
  <c r="K91" i="97"/>
  <c r="K13" i="66"/>
  <c r="K130"/>
  <c r="K91" i="64"/>
  <c r="K136" i="66"/>
  <c r="K170"/>
  <c r="K125"/>
  <c r="K241"/>
  <c r="G232"/>
  <c r="G232" i="65"/>
  <c r="K60" i="66"/>
  <c r="K138"/>
  <c r="K152"/>
  <c r="G150"/>
  <c r="K89" i="64"/>
  <c r="G123" i="66"/>
  <c r="K115" i="64"/>
  <c r="K63" i="66"/>
  <c r="G111" i="61"/>
  <c r="K65" i="66"/>
  <c r="H58"/>
  <c r="I223" i="109"/>
  <c r="G44" i="66"/>
  <c r="G231" i="64"/>
  <c r="H230" i="65"/>
  <c r="K90" i="64"/>
  <c r="G230" i="65"/>
  <c r="I231" i="64"/>
  <c r="K96"/>
  <c r="K38" i="66"/>
  <c r="H24" i="61"/>
  <c r="G159" i="66"/>
  <c r="G151" i="61"/>
  <c r="K143" i="66"/>
  <c r="G58"/>
  <c r="K200" i="65"/>
  <c r="K24" i="64"/>
  <c r="K111"/>
  <c r="K200"/>
  <c r="K170"/>
  <c r="K161" i="66"/>
  <c r="K57" i="64"/>
  <c r="I32" i="66"/>
  <c r="K18"/>
  <c r="K53"/>
  <c r="K36"/>
  <c r="K21"/>
  <c r="K20"/>
  <c r="K33"/>
  <c r="H51"/>
  <c r="I12"/>
  <c r="I11" s="1"/>
  <c r="K145"/>
  <c r="K142"/>
  <c r="K140"/>
  <c r="K157"/>
  <c r="H159"/>
  <c r="K155"/>
  <c r="H226" i="109"/>
  <c r="K144" i="66"/>
  <c r="K128"/>
  <c r="K97" i="64"/>
  <c r="E36" i="70"/>
  <c r="K174" i="66"/>
  <c r="I100" i="61"/>
  <c r="I44" i="66"/>
  <c r="H160" i="61"/>
  <c r="K19" i="66"/>
  <c r="G98" i="61"/>
  <c r="I99"/>
  <c r="K22" i="66"/>
  <c r="G100" i="61"/>
  <c r="H64" i="66"/>
  <c r="K66"/>
  <c r="K135"/>
  <c r="K27"/>
  <c r="K127"/>
  <c r="K162"/>
  <c r="K100" i="97"/>
  <c r="H230"/>
  <c r="K24"/>
  <c r="K167" i="66"/>
  <c r="K160" i="64"/>
  <c r="K90" i="67"/>
  <c r="G230" i="109"/>
  <c r="H230" i="67"/>
  <c r="H170" i="61"/>
  <c r="K195" i="67"/>
  <c r="I230"/>
  <c r="K205" i="97"/>
  <c r="K99"/>
  <c r="G232" i="67"/>
  <c r="G242" i="109"/>
  <c r="K202" i="66"/>
  <c r="K198" i="109"/>
  <c r="K202"/>
  <c r="K206"/>
  <c r="K240"/>
  <c r="K134" i="66"/>
  <c r="K233"/>
  <c r="K15"/>
  <c r="G146" i="97"/>
  <c r="K204" i="66"/>
  <c r="K47"/>
  <c r="K200" i="97"/>
  <c r="K139" i="64"/>
  <c r="I110" i="109"/>
  <c r="K170"/>
  <c r="K129" i="66"/>
  <c r="K141" i="109"/>
  <c r="K137"/>
  <c r="K128"/>
  <c r="K174"/>
  <c r="H159"/>
  <c r="K154"/>
  <c r="K138"/>
  <c r="K184"/>
  <c r="K136"/>
  <c r="K127"/>
  <c r="K205" i="67"/>
  <c r="G234" i="109"/>
  <c r="G232" s="1"/>
  <c r="K78" i="66"/>
  <c r="K139"/>
  <c r="K92"/>
  <c r="I230" i="97"/>
  <c r="H12" i="66"/>
  <c r="H11" s="1"/>
  <c r="K175"/>
  <c r="K196" i="109"/>
  <c r="K56" i="66"/>
  <c r="K233" i="65"/>
  <c r="K37" i="66"/>
  <c r="K142" i="109"/>
  <c r="K148"/>
  <c r="K126"/>
  <c r="K205"/>
  <c r="K197" i="67"/>
  <c r="I232" i="65"/>
  <c r="K85" i="66"/>
  <c r="K35"/>
  <c r="H234" i="65"/>
  <c r="H232" s="1"/>
  <c r="K115" i="109"/>
  <c r="K117"/>
  <c r="K131"/>
  <c r="K151"/>
  <c r="K160"/>
  <c r="K201"/>
  <c r="K39" i="66"/>
  <c r="K93"/>
  <c r="K199" i="97"/>
  <c r="I230" i="109"/>
  <c r="K111"/>
  <c r="K139"/>
  <c r="I234"/>
  <c r="I232" s="1"/>
  <c r="K197"/>
  <c r="K203"/>
  <c r="K204"/>
  <c r="I242"/>
  <c r="K241"/>
  <c r="K93" i="64"/>
  <c r="K240" i="66"/>
  <c r="K99" i="67"/>
  <c r="K57" i="97"/>
  <c r="H230" i="109"/>
  <c r="K135"/>
  <c r="H234"/>
  <c r="H232" s="1"/>
  <c r="K199"/>
  <c r="H242"/>
  <c r="K113"/>
  <c r="K125"/>
  <c r="I146"/>
  <c r="I194"/>
  <c r="I193" s="1"/>
  <c r="I192" s="1"/>
  <c r="H110"/>
  <c r="H194"/>
  <c r="H193" s="1"/>
  <c r="H192" s="1"/>
  <c r="G194"/>
  <c r="G193" s="1"/>
  <c r="G192" s="1"/>
  <c r="L63" i="70"/>
  <c r="M63" s="1"/>
  <c r="K233" i="97"/>
  <c r="I234" i="66"/>
  <c r="I232" s="1"/>
  <c r="I233" i="67"/>
  <c r="I194" i="97"/>
  <c r="I193" s="1"/>
  <c r="I192" s="1"/>
  <c r="H194"/>
  <c r="H193" s="1"/>
  <c r="H192" s="1"/>
  <c r="K97"/>
  <c r="H232" i="66"/>
  <c r="H194"/>
  <c r="H193" s="1"/>
  <c r="H232" i="97"/>
  <c r="H230" i="64"/>
  <c r="I146" i="66"/>
  <c r="K205" i="64"/>
  <c r="G54" i="70"/>
  <c r="K117" i="67"/>
  <c r="K117" i="97"/>
  <c r="I159" i="66"/>
  <c r="K97" i="67"/>
  <c r="D382" i="118" l="1"/>
  <c r="A317" i="84"/>
  <c r="D384" i="118" s="1"/>
  <c r="H30" i="75"/>
  <c r="I30" s="1"/>
  <c r="J30" s="1"/>
  <c r="K30" s="1"/>
  <c r="L30" s="1"/>
  <c r="M30" s="1"/>
  <c r="N30" s="1"/>
  <c r="O30" s="1"/>
  <c r="P30" s="1"/>
  <c r="Q30" s="1"/>
  <c r="R30" s="1"/>
  <c r="S29"/>
  <c r="S30" s="1"/>
  <c r="K139" i="65"/>
  <c r="K206"/>
  <c r="K96"/>
  <c r="K115"/>
  <c r="K97"/>
  <c r="K95"/>
  <c r="K92"/>
  <c r="K57"/>
  <c r="K240"/>
  <c r="K89"/>
  <c r="K90"/>
  <c r="K99"/>
  <c r="K151"/>
  <c r="K198"/>
  <c r="E234"/>
  <c r="E233"/>
  <c r="K230" i="97"/>
  <c r="A220" i="85"/>
  <c r="K117" i="64"/>
  <c r="L13" i="72"/>
  <c r="M13" s="1"/>
  <c r="N13" s="1"/>
  <c r="O13" s="1"/>
  <c r="P13" s="1"/>
  <c r="Q13" s="1"/>
  <c r="R13" s="1"/>
  <c r="S13" s="1"/>
  <c r="T13" s="1"/>
  <c r="U13" s="1"/>
  <c r="V13" s="1"/>
  <c r="W13" s="1"/>
  <c r="L10"/>
  <c r="M10" s="1"/>
  <c r="N10" s="1"/>
  <c r="O10" s="1"/>
  <c r="P10" s="1"/>
  <c r="Q10" s="1"/>
  <c r="R10" s="1"/>
  <c r="S10" s="1"/>
  <c r="T10" s="1"/>
  <c r="U10" s="1"/>
  <c r="V10" s="1"/>
  <c r="W10" s="1"/>
  <c r="K233" i="64"/>
  <c r="D220" i="76"/>
  <c r="D214"/>
  <c r="D244" s="1"/>
  <c r="D245"/>
  <c r="D208"/>
  <c r="G231" i="61"/>
  <c r="I230" i="64"/>
  <c r="I229" s="1"/>
  <c r="H233" i="61"/>
  <c r="G226" i="97"/>
  <c r="H226" i="66"/>
  <c r="G226"/>
  <c r="K191"/>
  <c r="K184"/>
  <c r="K187"/>
  <c r="K183"/>
  <c r="K186"/>
  <c r="K182"/>
  <c r="K190"/>
  <c r="H110"/>
  <c r="I110"/>
  <c r="K113"/>
  <c r="K146" i="97"/>
  <c r="K119" i="66"/>
  <c r="K121"/>
  <c r="K82"/>
  <c r="K114"/>
  <c r="H242"/>
  <c r="I64"/>
  <c r="K144" i="109"/>
  <c r="H64"/>
  <c r="G110" i="97"/>
  <c r="H110"/>
  <c r="K122" i="66"/>
  <c r="G25"/>
  <c r="H116"/>
  <c r="I223"/>
  <c r="K166" i="97"/>
  <c r="K164" i="66"/>
  <c r="H146" i="109"/>
  <c r="H132" s="1"/>
  <c r="G170" i="61"/>
  <c r="O14" i="69" s="1"/>
  <c r="I170" i="61"/>
  <c r="Q14" i="69" s="1"/>
  <c r="E20" i="89"/>
  <c r="F18"/>
  <c r="F20" s="1"/>
  <c r="F16"/>
  <c r="F12"/>
  <c r="A221" i="85"/>
  <c r="U219"/>
  <c r="G99" i="61"/>
  <c r="G31" i="69" s="1"/>
  <c r="G95" i="61"/>
  <c r="G88" s="1"/>
  <c r="G117"/>
  <c r="P12" i="69"/>
  <c r="I32"/>
  <c r="K100" i="64"/>
  <c r="H100" i="61"/>
  <c r="H32" i="69" s="1"/>
  <c r="H151" i="61"/>
  <c r="P10" i="69" s="1"/>
  <c r="I98" i="61"/>
  <c r="I30" i="69" s="1"/>
  <c r="I117" i="61"/>
  <c r="Q14" i="68" s="1"/>
  <c r="I88" i="64"/>
  <c r="I87" s="1"/>
  <c r="I86" s="1"/>
  <c r="I91" i="61"/>
  <c r="I23" i="69" s="1"/>
  <c r="P14"/>
  <c r="K59" i="66"/>
  <c r="A12" i="84"/>
  <c r="D80" i="118" s="1"/>
  <c r="X36" i="72"/>
  <c r="C37" i="90"/>
  <c r="D102" i="76"/>
  <c r="K83" i="97"/>
  <c r="K114" i="109"/>
  <c r="K188"/>
  <c r="K129"/>
  <c r="K56" i="97"/>
  <c r="H51" i="109"/>
  <c r="I25"/>
  <c r="H51" i="97"/>
  <c r="G227" i="109"/>
  <c r="G225" s="1"/>
  <c r="K83" i="66"/>
  <c r="K75"/>
  <c r="I123"/>
  <c r="K131"/>
  <c r="H50"/>
  <c r="G88" i="64"/>
  <c r="G87" s="1"/>
  <c r="G86" s="1"/>
  <c r="K190" i="109"/>
  <c r="K154" i="97"/>
  <c r="K52" i="66"/>
  <c r="K119" i="109"/>
  <c r="H123"/>
  <c r="H22" i="69"/>
  <c r="K151" i="64"/>
  <c r="K171" i="109"/>
  <c r="I25" i="97"/>
  <c r="L36" i="70"/>
  <c r="M36" s="1"/>
  <c r="K239" i="66"/>
  <c r="K99" i="64"/>
  <c r="K142" i="97"/>
  <c r="K67" i="66"/>
  <c r="K133" i="109"/>
  <c r="H25" i="97"/>
  <c r="H25" i="109"/>
  <c r="K11" i="66"/>
  <c r="I223" i="97"/>
  <c r="I51" i="66"/>
  <c r="K143" i="109"/>
  <c r="H116"/>
  <c r="K122"/>
  <c r="K167"/>
  <c r="I226" i="66"/>
  <c r="H21" i="69"/>
  <c r="I230" i="65"/>
  <c r="K136" i="97"/>
  <c r="G36" i="70"/>
  <c r="G230" i="64"/>
  <c r="G229" s="1"/>
  <c r="K124" i="97"/>
  <c r="K158" i="109"/>
  <c r="K120" i="97"/>
  <c r="K41" i="66"/>
  <c r="G32" i="69"/>
  <c r="H88" i="64"/>
  <c r="H87" s="1"/>
  <c r="H86" s="1"/>
  <c r="H231"/>
  <c r="H229" s="1"/>
  <c r="K94"/>
  <c r="K152" i="109"/>
  <c r="I165"/>
  <c r="G30" i="69"/>
  <c r="K98" i="64"/>
  <c r="I27" i="69"/>
  <c r="K155" i="97"/>
  <c r="K145"/>
  <c r="I12" i="109"/>
  <c r="I11" s="1"/>
  <c r="K194" i="67"/>
  <c r="K155" i="109"/>
  <c r="K166"/>
  <c r="K145"/>
  <c r="K169"/>
  <c r="H150" i="66"/>
  <c r="G165"/>
  <c r="G149" s="1"/>
  <c r="K171"/>
  <c r="K157" i="97"/>
  <c r="K157" i="109"/>
  <c r="I242" i="97"/>
  <c r="K26" i="66"/>
  <c r="H165"/>
  <c r="K191" i="109"/>
  <c r="K181"/>
  <c r="K76" i="97"/>
  <c r="K138"/>
  <c r="G132"/>
  <c r="K184"/>
  <c r="K37"/>
  <c r="I64" i="109"/>
  <c r="H226" i="97"/>
  <c r="K23"/>
  <c r="H58" i="109"/>
  <c r="K22" i="97"/>
  <c r="I150" i="109"/>
  <c r="K140"/>
  <c r="I44"/>
  <c r="K77" i="97"/>
  <c r="H44" i="66"/>
  <c r="H30" i="69"/>
  <c r="K133" i="97"/>
  <c r="K130"/>
  <c r="G150" i="109"/>
  <c r="K172"/>
  <c r="K33" i="97"/>
  <c r="K167"/>
  <c r="K80"/>
  <c r="K60"/>
  <c r="H223"/>
  <c r="G194" i="61"/>
  <c r="G193" s="1"/>
  <c r="G192" s="1"/>
  <c r="K38" i="97"/>
  <c r="K186" i="109"/>
  <c r="I51"/>
  <c r="H132" i="66"/>
  <c r="K170" i="97"/>
  <c r="K135"/>
  <c r="I159" i="109"/>
  <c r="K68" i="97"/>
  <c r="H150" i="109"/>
  <c r="K69" i="97"/>
  <c r="K153" i="109"/>
  <c r="K173"/>
  <c r="H44"/>
  <c r="K35" i="97"/>
  <c r="K128"/>
  <c r="K156" i="109"/>
  <c r="K164"/>
  <c r="K175"/>
  <c r="K172" i="97"/>
  <c r="K241"/>
  <c r="I132" i="109"/>
  <c r="K15" i="97"/>
  <c r="K162" i="109"/>
  <c r="G123"/>
  <c r="H165"/>
  <c r="K134" i="97"/>
  <c r="K232" i="66"/>
  <c r="K201"/>
  <c r="K63" i="97"/>
  <c r="G159" i="109"/>
  <c r="K124"/>
  <c r="K61" i="97"/>
  <c r="K137"/>
  <c r="K168" i="109"/>
  <c r="K49" i="97"/>
  <c r="K130" i="109"/>
  <c r="I123"/>
  <c r="G165"/>
  <c r="K182"/>
  <c r="K20" i="97"/>
  <c r="K114"/>
  <c r="I123"/>
  <c r="K125"/>
  <c r="K141"/>
  <c r="K81"/>
  <c r="K85"/>
  <c r="K143"/>
  <c r="K174"/>
  <c r="K55"/>
  <c r="K29"/>
  <c r="K42"/>
  <c r="K59"/>
  <c r="K48"/>
  <c r="G64" i="66"/>
  <c r="O10" i="68"/>
  <c r="K187" i="109"/>
  <c r="K47" i="97"/>
  <c r="I58"/>
  <c r="G123"/>
  <c r="K183"/>
  <c r="K158"/>
  <c r="K187"/>
  <c r="I12"/>
  <c r="I11" s="1"/>
  <c r="K78"/>
  <c r="K171"/>
  <c r="K18"/>
  <c r="G51"/>
  <c r="K39"/>
  <c r="H64"/>
  <c r="K126"/>
  <c r="K13"/>
  <c r="H12"/>
  <c r="H11" s="1"/>
  <c r="H44"/>
  <c r="K153"/>
  <c r="K67"/>
  <c r="I159"/>
  <c r="H28" i="69"/>
  <c r="K21" i="97"/>
  <c r="H123"/>
  <c r="K169"/>
  <c r="G242"/>
  <c r="H116"/>
  <c r="K65"/>
  <c r="G64"/>
  <c r="K84"/>
  <c r="K131"/>
  <c r="K28"/>
  <c r="I64"/>
  <c r="K183" i="109"/>
  <c r="K134"/>
  <c r="K140" i="97"/>
  <c r="K191"/>
  <c r="K163" i="109"/>
  <c r="H132" i="97"/>
  <c r="H165"/>
  <c r="G58"/>
  <c r="K129"/>
  <c r="K36"/>
  <c r="K127"/>
  <c r="H150"/>
  <c r="K162"/>
  <c r="K144"/>
  <c r="K168"/>
  <c r="K182"/>
  <c r="K119"/>
  <c r="K186"/>
  <c r="K14"/>
  <c r="G12"/>
  <c r="G11" s="1"/>
  <c r="I165"/>
  <c r="K17"/>
  <c r="H159"/>
  <c r="K161"/>
  <c r="K190"/>
  <c r="K27"/>
  <c r="G44"/>
  <c r="K46"/>
  <c r="I44"/>
  <c r="K19"/>
  <c r="K173"/>
  <c r="I132"/>
  <c r="K164"/>
  <c r="K66"/>
  <c r="H242"/>
  <c r="K16"/>
  <c r="I58" i="109"/>
  <c r="H231" i="61"/>
  <c r="K31" i="97"/>
  <c r="K203" i="66"/>
  <c r="O30" i="69"/>
  <c r="I31"/>
  <c r="O27"/>
  <c r="K194" i="65"/>
  <c r="O32" i="69"/>
  <c r="K54" i="66"/>
  <c r="K91"/>
  <c r="K230"/>
  <c r="O21" i="69"/>
  <c r="G234" i="61"/>
  <c r="H27" i="69"/>
  <c r="K148" i="66"/>
  <c r="O26" i="69"/>
  <c r="G233" i="61"/>
  <c r="K195" i="109"/>
  <c r="K234"/>
  <c r="K200"/>
  <c r="K239"/>
  <c r="K242"/>
  <c r="K185"/>
  <c r="K226"/>
  <c r="K161"/>
  <c r="K93" i="65"/>
  <c r="I132" i="66"/>
  <c r="H230" i="61"/>
  <c r="H23" i="69"/>
  <c r="H88" i="61"/>
  <c r="K169" i="66"/>
  <c r="G29" i="69"/>
  <c r="I24"/>
  <c r="Q22"/>
  <c r="I234" i="61"/>
  <c r="I194"/>
  <c r="I193" s="1"/>
  <c r="I192" s="1"/>
  <c r="I231"/>
  <c r="P23" i="69"/>
  <c r="P31"/>
  <c r="K92" i="64"/>
  <c r="K29" i="66"/>
  <c r="H194" i="61"/>
  <c r="H193" s="1"/>
  <c r="H192" s="1"/>
  <c r="P22" i="69"/>
  <c r="H234" i="61"/>
  <c r="Q26" i="69"/>
  <c r="I233" i="61"/>
  <c r="K50" i="70"/>
  <c r="I54"/>
  <c r="K54" s="1"/>
  <c r="K197" i="97"/>
  <c r="I25" i="69"/>
  <c r="H192" i="66"/>
  <c r="I232" i="67"/>
  <c r="K233"/>
  <c r="C231" i="61" l="1"/>
  <c r="C234"/>
  <c r="E233"/>
  <c r="D231"/>
  <c r="D234"/>
  <c r="E231"/>
  <c r="E234"/>
  <c r="K160" i="65"/>
  <c r="E232"/>
  <c r="K170"/>
  <c r="K24"/>
  <c r="D233"/>
  <c r="C233"/>
  <c r="E230"/>
  <c r="E194"/>
  <c r="E193" s="1"/>
  <c r="E192" s="1"/>
  <c r="K111"/>
  <c r="K100"/>
  <c r="K117"/>
  <c r="X312" i="116"/>
  <c r="Y312" s="1"/>
  <c r="X319"/>
  <c r="Y319" s="1"/>
  <c r="K203" i="61"/>
  <c r="H240" i="76"/>
  <c r="X323" i="116"/>
  <c r="Y323" s="1"/>
  <c r="AA323" s="1"/>
  <c r="K202" i="61"/>
  <c r="X325" i="116"/>
  <c r="Y325" s="1"/>
  <c r="X320"/>
  <c r="Y320" s="1"/>
  <c r="AL312" i="84"/>
  <c r="N312"/>
  <c r="A222" i="85"/>
  <c r="U220"/>
  <c r="H57" i="76"/>
  <c r="K57" i="61"/>
  <c r="H203" i="76"/>
  <c r="H139"/>
  <c r="K139" i="61"/>
  <c r="K240"/>
  <c r="K103" i="76"/>
  <c r="H232" i="61"/>
  <c r="D213" i="76"/>
  <c r="K95" i="64"/>
  <c r="H202" i="76"/>
  <c r="K185" i="97"/>
  <c r="J8" i="72"/>
  <c r="K198" i="61"/>
  <c r="K185" i="66"/>
  <c r="K188"/>
  <c r="K189"/>
  <c r="K188" i="97"/>
  <c r="G227"/>
  <c r="G225" s="1"/>
  <c r="G179"/>
  <c r="G178" s="1"/>
  <c r="G177" s="1"/>
  <c r="G207" s="1"/>
  <c r="K181"/>
  <c r="K242" i="66"/>
  <c r="I110" i="97"/>
  <c r="K163"/>
  <c r="G159"/>
  <c r="G150"/>
  <c r="K159" i="66"/>
  <c r="K163"/>
  <c r="I150" i="97"/>
  <c r="I149" s="1"/>
  <c r="H109" i="66"/>
  <c r="K152" i="97"/>
  <c r="K156"/>
  <c r="K113"/>
  <c r="G116" i="66"/>
  <c r="G147" i="61"/>
  <c r="G51" i="109"/>
  <c r="G58"/>
  <c r="G64"/>
  <c r="G12"/>
  <c r="G11" s="1"/>
  <c r="G165" i="97"/>
  <c r="G44" i="109"/>
  <c r="H58" i="97"/>
  <c r="H50" s="1"/>
  <c r="K62"/>
  <c r="K53"/>
  <c r="I51"/>
  <c r="I50" s="1"/>
  <c r="K123" i="66"/>
  <c r="I147" i="61"/>
  <c r="H147"/>
  <c r="G146" i="109"/>
  <c r="G132" s="1"/>
  <c r="K120"/>
  <c r="U221" i="85"/>
  <c r="A223"/>
  <c r="I165" i="66"/>
  <c r="K54" i="97"/>
  <c r="A13" i="84"/>
  <c r="D81" i="118" s="1"/>
  <c r="H87" i="61"/>
  <c r="H86" s="1"/>
  <c r="K75" i="97"/>
  <c r="K189" i="109"/>
  <c r="G179"/>
  <c r="G178" s="1"/>
  <c r="G177" s="1"/>
  <c r="G207" s="1"/>
  <c r="H198" i="76"/>
  <c r="K122" i="97"/>
  <c r="K192" i="67"/>
  <c r="K30" i="97"/>
  <c r="O14" i="68"/>
  <c r="H109" i="109"/>
  <c r="K12" i="66"/>
  <c r="G223"/>
  <c r="K88" i="64"/>
  <c r="I88" i="61"/>
  <c r="I87" s="1"/>
  <c r="I86" s="1"/>
  <c r="I25" i="66"/>
  <c r="I10" s="1"/>
  <c r="H25"/>
  <c r="K90" i="61"/>
  <c r="H90" i="76"/>
  <c r="H10" i="68"/>
  <c r="O10" i="69"/>
  <c r="I230" i="61"/>
  <c r="I229" s="1"/>
  <c r="K230" i="64"/>
  <c r="K189" i="97"/>
  <c r="G87" i="61"/>
  <c r="G86" s="1"/>
  <c r="I149" i="109"/>
  <c r="I58" i="66"/>
  <c r="I50" s="1"/>
  <c r="G51"/>
  <c r="G50" s="1"/>
  <c r="H227"/>
  <c r="H225" s="1"/>
  <c r="H179"/>
  <c r="H178" s="1"/>
  <c r="H177" s="1"/>
  <c r="H207" s="1"/>
  <c r="K180"/>
  <c r="I150"/>
  <c r="K154"/>
  <c r="H149"/>
  <c r="H215" s="1"/>
  <c r="K150" i="109"/>
  <c r="H50"/>
  <c r="K89" i="61"/>
  <c r="H89" i="76"/>
  <c r="I36" i="70"/>
  <c r="K36" s="1"/>
  <c r="K29"/>
  <c r="G27" i="69"/>
  <c r="G20" s="1"/>
  <c r="G19" s="1"/>
  <c r="G18" s="1"/>
  <c r="G230" i="61"/>
  <c r="G229" s="1"/>
  <c r="K91" i="65"/>
  <c r="K230"/>
  <c r="K165" i="109"/>
  <c r="L70" i="78"/>
  <c r="M70" s="1"/>
  <c r="K234" i="66"/>
  <c r="H160" i="76"/>
  <c r="I50" i="109"/>
  <c r="K82" i="97"/>
  <c r="K156" i="66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G149" i="109"/>
  <c r="K232" i="67"/>
  <c r="K234"/>
  <c r="K123" i="109"/>
  <c r="K160" i="61"/>
  <c r="K46" i="66"/>
  <c r="K44"/>
  <c r="K193"/>
  <c r="K159" i="109"/>
  <c r="K194" i="66"/>
  <c r="K132" i="97"/>
  <c r="K112"/>
  <c r="I32"/>
  <c r="I10" s="1"/>
  <c r="K45"/>
  <c r="K44"/>
  <c r="K64"/>
  <c r="K123"/>
  <c r="H149"/>
  <c r="H109"/>
  <c r="K40"/>
  <c r="H115" i="76"/>
  <c r="K115" i="61"/>
  <c r="K239" i="97"/>
  <c r="L54" i="70"/>
  <c r="M54" s="1"/>
  <c r="K242" i="97"/>
  <c r="K96" i="61"/>
  <c r="H96" i="76"/>
  <c r="K34" i="97"/>
  <c r="K68" i="66"/>
  <c r="K52" i="97"/>
  <c r="I32" i="109"/>
  <c r="I10" s="1"/>
  <c r="K111" i="61"/>
  <c r="H111" i="76"/>
  <c r="K192" i="65"/>
  <c r="G50" i="97"/>
  <c r="O20" i="69"/>
  <c r="O19" s="1"/>
  <c r="O18" s="1"/>
  <c r="K206" i="61"/>
  <c r="H206" i="76"/>
  <c r="K201" i="61"/>
  <c r="H201" i="76"/>
  <c r="H204"/>
  <c r="K204" i="61"/>
  <c r="K146" i="66"/>
  <c r="I232" i="61"/>
  <c r="G232"/>
  <c r="K232" i="65"/>
  <c r="K234"/>
  <c r="H195" i="76"/>
  <c r="K195" i="61"/>
  <c r="K194" i="109"/>
  <c r="K232"/>
  <c r="K233"/>
  <c r="K234" i="97"/>
  <c r="K232"/>
  <c r="K197" i="61"/>
  <c r="H197" i="76"/>
  <c r="K192" i="66"/>
  <c r="K194" i="97"/>
  <c r="F233" i="61"/>
  <c r="K200"/>
  <c r="H200" i="76"/>
  <c r="H233" s="1"/>
  <c r="P20" i="69"/>
  <c r="P19" s="1"/>
  <c r="P18" s="1"/>
  <c r="Q20"/>
  <c r="Q19" s="1"/>
  <c r="Q18" s="1"/>
  <c r="K93" i="61"/>
  <c r="H93" i="76"/>
  <c r="K205" i="61"/>
  <c r="H205" i="76"/>
  <c r="I20" i="69"/>
  <c r="I19" s="1"/>
  <c r="I18" s="1"/>
  <c r="H97" i="76"/>
  <c r="K97" i="61"/>
  <c r="K196"/>
  <c r="H196" i="76"/>
  <c r="F234" i="61"/>
  <c r="H92" i="76"/>
  <c r="F231" i="61"/>
  <c r="K92"/>
  <c r="H20" i="69"/>
  <c r="H19" s="1"/>
  <c r="H18" s="1"/>
  <c r="K132" i="66"/>
  <c r="E232" i="61" l="1"/>
  <c r="D233"/>
  <c r="D232" s="1"/>
  <c r="E230"/>
  <c r="E229" s="1"/>
  <c r="D230" i="65"/>
  <c r="C230"/>
  <c r="D194"/>
  <c r="D193" s="1"/>
  <c r="D192" s="1"/>
  <c r="D234"/>
  <c r="D232" s="1"/>
  <c r="K99" i="61"/>
  <c r="X326" i="116"/>
  <c r="Y326" s="1"/>
  <c r="X321"/>
  <c r="Y321" s="1"/>
  <c r="X324"/>
  <c r="Y324" s="1"/>
  <c r="J312" i="84"/>
  <c r="U223" i="85"/>
  <c r="U222"/>
  <c r="H99" i="76"/>
  <c r="H228" i="61"/>
  <c r="K8" i="72"/>
  <c r="K226" i="97"/>
  <c r="K231" i="61"/>
  <c r="K98"/>
  <c r="H95" i="76"/>
  <c r="H100"/>
  <c r="K170" i="61"/>
  <c r="K234"/>
  <c r="H91" i="76"/>
  <c r="K226" i="66"/>
  <c r="K193" i="67"/>
  <c r="K159" i="97"/>
  <c r="G149"/>
  <c r="G215" s="1"/>
  <c r="K110"/>
  <c r="K120" i="66"/>
  <c r="K150" i="97"/>
  <c r="K147" i="64"/>
  <c r="K58" i="97"/>
  <c r="G50" i="109"/>
  <c r="G94" s="1"/>
  <c r="G231" s="1"/>
  <c r="G229" s="1"/>
  <c r="G228" s="1"/>
  <c r="K51" i="97"/>
  <c r="I149" i="66"/>
  <c r="I94" s="1"/>
  <c r="K147" i="109"/>
  <c r="F230" i="61"/>
  <c r="K91"/>
  <c r="K95"/>
  <c r="H12" i="109"/>
  <c r="H11" s="1"/>
  <c r="G110"/>
  <c r="A224" i="85"/>
  <c r="A14" i="84"/>
  <c r="D82" i="118" s="1"/>
  <c r="H170" i="76"/>
  <c r="L94" i="78"/>
  <c r="M94" s="1"/>
  <c r="H98" i="76"/>
  <c r="K231" i="64"/>
  <c r="G228" i="61"/>
  <c r="K100"/>
  <c r="H10" i="66"/>
  <c r="H214" s="1"/>
  <c r="H213" s="1"/>
  <c r="H176"/>
  <c r="H208" s="1"/>
  <c r="K223" i="97"/>
  <c r="K87" i="64"/>
  <c r="H94" i="66"/>
  <c r="H88" s="1"/>
  <c r="H87" s="1"/>
  <c r="H86" s="1"/>
  <c r="K117" i="61"/>
  <c r="H117" i="76"/>
  <c r="K223" i="66"/>
  <c r="K76"/>
  <c r="I70"/>
  <c r="I94" i="109"/>
  <c r="K121"/>
  <c r="I116"/>
  <c r="I109" s="1"/>
  <c r="I176" s="1"/>
  <c r="I116" i="97"/>
  <c r="I109" s="1"/>
  <c r="K121"/>
  <c r="H94" i="109"/>
  <c r="H88" s="1"/>
  <c r="H87" s="1"/>
  <c r="H86" s="1"/>
  <c r="K147" i="65"/>
  <c r="K149" i="109"/>
  <c r="H151" i="76"/>
  <c r="L43" i="78"/>
  <c r="M43" s="1"/>
  <c r="K151" i="61"/>
  <c r="H176" i="109"/>
  <c r="H24" i="76"/>
  <c r="K24" i="61"/>
  <c r="I228"/>
  <c r="I215" i="109"/>
  <c r="H215"/>
  <c r="K150" i="66"/>
  <c r="G94"/>
  <c r="G88" s="1"/>
  <c r="G87" s="1"/>
  <c r="G86" s="1"/>
  <c r="G215"/>
  <c r="K55"/>
  <c r="K51"/>
  <c r="K62"/>
  <c r="K58"/>
  <c r="K168"/>
  <c r="I215" i="97"/>
  <c r="G227" i="66"/>
  <c r="G225" s="1"/>
  <c r="G179"/>
  <c r="G178" s="1"/>
  <c r="G177" s="1"/>
  <c r="G207" s="1"/>
  <c r="H215" i="97"/>
  <c r="K193" i="65"/>
  <c r="H179" i="97"/>
  <c r="H178" s="1"/>
  <c r="H177" s="1"/>
  <c r="H207" s="1"/>
  <c r="H227"/>
  <c r="H225" s="1"/>
  <c r="I179" i="109"/>
  <c r="I178" s="1"/>
  <c r="I177" s="1"/>
  <c r="I207" s="1"/>
  <c r="I227"/>
  <c r="I225" s="1"/>
  <c r="H179"/>
  <c r="H178" s="1"/>
  <c r="H177" s="1"/>
  <c r="H207" s="1"/>
  <c r="H227"/>
  <c r="H225" s="1"/>
  <c r="G32" i="97"/>
  <c r="I179"/>
  <c r="I178" s="1"/>
  <c r="I177" s="1"/>
  <c r="I207" s="1"/>
  <c r="I227"/>
  <c r="I225" s="1"/>
  <c r="G25"/>
  <c r="K118" i="66"/>
  <c r="G32"/>
  <c r="G10" s="1"/>
  <c r="G70" s="1"/>
  <c r="H32" i="97"/>
  <c r="H10" s="1"/>
  <c r="H214" s="1"/>
  <c r="K41"/>
  <c r="G116"/>
  <c r="G109" s="1"/>
  <c r="H32" i="109"/>
  <c r="G116"/>
  <c r="H231" i="76"/>
  <c r="P35" i="69"/>
  <c r="I70" i="109"/>
  <c r="K74" i="97"/>
  <c r="H176"/>
  <c r="G110" i="66"/>
  <c r="G109" s="1"/>
  <c r="K12" i="97"/>
  <c r="H94"/>
  <c r="I94"/>
  <c r="I70"/>
  <c r="K74" i="66"/>
  <c r="K64"/>
  <c r="K11" i="97"/>
  <c r="G35" i="69"/>
  <c r="O35"/>
  <c r="K192" i="109"/>
  <c r="K193"/>
  <c r="K194" i="61"/>
  <c r="I35" i="69"/>
  <c r="K192" i="97"/>
  <c r="K193"/>
  <c r="H35" i="69"/>
  <c r="F232" i="61"/>
  <c r="K233"/>
  <c r="I79" i="66"/>
  <c r="I214"/>
  <c r="K229" i="64"/>
  <c r="H194" i="76"/>
  <c r="H193" s="1"/>
  <c r="H192" s="1"/>
  <c r="H234"/>
  <c r="H232" s="1"/>
  <c r="Q35" i="69"/>
  <c r="C233" i="61" l="1"/>
  <c r="C232" s="1"/>
  <c r="C230"/>
  <c r="C229" s="1"/>
  <c r="E228"/>
  <c r="D230"/>
  <c r="D229" s="1"/>
  <c r="D228" s="1"/>
  <c r="C194" i="65"/>
  <c r="C193" s="1"/>
  <c r="C192" s="1"/>
  <c r="C234"/>
  <c r="C232" s="1"/>
  <c r="V225" i="85"/>
  <c r="H88" i="76"/>
  <c r="H87" s="1"/>
  <c r="H86" s="1"/>
  <c r="H230"/>
  <c r="H229" s="1"/>
  <c r="H228" s="1"/>
  <c r="L8" i="72"/>
  <c r="M8" s="1"/>
  <c r="N8" s="1"/>
  <c r="O8" s="1"/>
  <c r="P8" s="1"/>
  <c r="Q8" s="1"/>
  <c r="R8" s="1"/>
  <c r="S8" s="1"/>
  <c r="T8" s="1"/>
  <c r="U8" s="1"/>
  <c r="V8" s="1"/>
  <c r="W8" s="1"/>
  <c r="F229" i="61"/>
  <c r="K232"/>
  <c r="K230"/>
  <c r="H147" i="76"/>
  <c r="G176" i="97"/>
  <c r="G208" s="1"/>
  <c r="G94"/>
  <c r="K86" i="64"/>
  <c r="K116" i="66"/>
  <c r="K50" i="97"/>
  <c r="I176" i="66"/>
  <c r="I208" s="1"/>
  <c r="G215" i="109"/>
  <c r="I215" i="66"/>
  <c r="I213" s="1"/>
  <c r="K147" i="61"/>
  <c r="K146" i="109"/>
  <c r="K132"/>
  <c r="K179" i="66"/>
  <c r="H10" i="109"/>
  <c r="H214" s="1"/>
  <c r="H213" s="1"/>
  <c r="G25"/>
  <c r="G32"/>
  <c r="G223"/>
  <c r="G109"/>
  <c r="G176" s="1"/>
  <c r="G208" s="1"/>
  <c r="K112"/>
  <c r="K110"/>
  <c r="A226" i="85"/>
  <c r="K181" i="66"/>
  <c r="A15" i="84"/>
  <c r="D83" i="118" s="1"/>
  <c r="X13" i="72"/>
  <c r="I88" i="109"/>
  <c r="I87" s="1"/>
  <c r="I86" s="1"/>
  <c r="H79" i="66"/>
  <c r="H224" s="1"/>
  <c r="H222" s="1"/>
  <c r="H221" s="1"/>
  <c r="H70"/>
  <c r="K30"/>
  <c r="H231"/>
  <c r="H229" s="1"/>
  <c r="H228" s="1"/>
  <c r="G88" i="109"/>
  <c r="G87" s="1"/>
  <c r="G86" s="1"/>
  <c r="G231" i="66"/>
  <c r="G229" s="1"/>
  <c r="G228" s="1"/>
  <c r="H231" i="109"/>
  <c r="H229" s="1"/>
  <c r="H228" s="1"/>
  <c r="I79"/>
  <c r="I231"/>
  <c r="I229" s="1"/>
  <c r="I228" s="1"/>
  <c r="K88" i="61"/>
  <c r="I214" i="109"/>
  <c r="I213" s="1"/>
  <c r="H79" i="97"/>
  <c r="H224" s="1"/>
  <c r="H222" s="1"/>
  <c r="H221" s="1"/>
  <c r="I208" i="109"/>
  <c r="H208" i="97"/>
  <c r="I79"/>
  <c r="I73" s="1"/>
  <c r="I72" s="1"/>
  <c r="I71" s="1"/>
  <c r="H208" i="109"/>
  <c r="I176" i="97"/>
  <c r="I208" s="1"/>
  <c r="I214"/>
  <c r="I213" s="1"/>
  <c r="K50" i="66"/>
  <c r="H213" i="97"/>
  <c r="K149" i="66"/>
  <c r="K165"/>
  <c r="I231"/>
  <c r="I229" s="1"/>
  <c r="I228" s="1"/>
  <c r="I88"/>
  <c r="I87" s="1"/>
  <c r="I86" s="1"/>
  <c r="H70" i="97"/>
  <c r="G10"/>
  <c r="K26"/>
  <c r="K180" i="109"/>
  <c r="K180" i="97"/>
  <c r="K225" i="66"/>
  <c r="K227"/>
  <c r="K40"/>
  <c r="K32"/>
  <c r="K118" i="109"/>
  <c r="K118" i="97"/>
  <c r="H88"/>
  <c r="H87" s="1"/>
  <c r="H86" s="1"/>
  <c r="H231"/>
  <c r="H229" s="1"/>
  <c r="H228" s="1"/>
  <c r="G176" i="66"/>
  <c r="G208" s="1"/>
  <c r="G79"/>
  <c r="G214"/>
  <c r="G213" s="1"/>
  <c r="I231" i="97"/>
  <c r="I229" s="1"/>
  <c r="I228" s="1"/>
  <c r="I88"/>
  <c r="I87" s="1"/>
  <c r="I86" s="1"/>
  <c r="K112" i="66"/>
  <c r="K25"/>
  <c r="I73"/>
  <c r="I72" s="1"/>
  <c r="I71" s="1"/>
  <c r="I224"/>
  <c r="I222" s="1"/>
  <c r="I221" s="1"/>
  <c r="K193" i="61"/>
  <c r="F27" i="75"/>
  <c r="C228" i="61" l="1"/>
  <c r="G10" i="109"/>
  <c r="G70" s="1"/>
  <c r="K229" i="61"/>
  <c r="F228"/>
  <c r="K87"/>
  <c r="F15" i="75"/>
  <c r="U15" s="1"/>
  <c r="G231" i="97"/>
  <c r="G229" s="1"/>
  <c r="G228" s="1"/>
  <c r="G88"/>
  <c r="G87" s="1"/>
  <c r="G86" s="1"/>
  <c r="H79" i="109"/>
  <c r="H73" s="1"/>
  <c r="H72" s="1"/>
  <c r="H71" s="1"/>
  <c r="H101" s="1"/>
  <c r="H70"/>
  <c r="H73" i="66"/>
  <c r="H72" s="1"/>
  <c r="H71" s="1"/>
  <c r="H101" s="1"/>
  <c r="H102" s="1"/>
  <c r="H220"/>
  <c r="U226" i="85"/>
  <c r="A227"/>
  <c r="V228" s="1"/>
  <c r="A16" i="84"/>
  <c r="D84" i="118" s="1"/>
  <c r="I73" i="109"/>
  <c r="I72" s="1"/>
  <c r="I71" s="1"/>
  <c r="I101" s="1"/>
  <c r="I102" s="1"/>
  <c r="I224"/>
  <c r="I222" s="1"/>
  <c r="I221" s="1"/>
  <c r="I220" s="1"/>
  <c r="K94" i="66"/>
  <c r="I220"/>
  <c r="H73" i="97"/>
  <c r="H72" s="1"/>
  <c r="H71" s="1"/>
  <c r="H101" s="1"/>
  <c r="H102" s="1"/>
  <c r="I224"/>
  <c r="I222" s="1"/>
  <c r="I221" s="1"/>
  <c r="I220" s="1"/>
  <c r="H220"/>
  <c r="K215" i="66"/>
  <c r="I101"/>
  <c r="I102" s="1"/>
  <c r="K10"/>
  <c r="G214" i="97"/>
  <c r="G213" s="1"/>
  <c r="G70"/>
  <c r="G79"/>
  <c r="K225"/>
  <c r="K227"/>
  <c r="K225" i="109"/>
  <c r="K227"/>
  <c r="K25" i="97"/>
  <c r="K179"/>
  <c r="K179" i="109"/>
  <c r="K116" i="97"/>
  <c r="K116" i="109"/>
  <c r="G224" i="66"/>
  <c r="G222" s="1"/>
  <c r="G221" s="1"/>
  <c r="G220" s="1"/>
  <c r="G73"/>
  <c r="G72" s="1"/>
  <c r="G71" s="1"/>
  <c r="G101" s="1"/>
  <c r="G102" s="1"/>
  <c r="I101" i="97"/>
  <c r="I102" s="1"/>
  <c r="K110" i="66"/>
  <c r="R282" i="85"/>
  <c r="K192" i="61"/>
  <c r="K231" i="66"/>
  <c r="V27" i="75"/>
  <c r="U27"/>
  <c r="K228" i="61" l="1"/>
  <c r="G79" i="109"/>
  <c r="G73" s="1"/>
  <c r="G72" s="1"/>
  <c r="G71" s="1"/>
  <c r="G101" s="1"/>
  <c r="G102" s="1"/>
  <c r="G214"/>
  <c r="G213" s="1"/>
  <c r="I282" i="85"/>
  <c r="K86" i="61"/>
  <c r="V15" i="75"/>
  <c r="H224" i="109"/>
  <c r="H222" s="1"/>
  <c r="H221" s="1"/>
  <c r="H220" s="1"/>
  <c r="H102"/>
  <c r="K178" i="66"/>
  <c r="K79"/>
  <c r="A229" i="85"/>
  <c r="V230" s="1"/>
  <c r="V231" s="1"/>
  <c r="U227"/>
  <c r="U228" s="1"/>
  <c r="A17" i="84"/>
  <c r="D85" i="118" s="1"/>
  <c r="X8" i="72"/>
  <c r="K88" i="66"/>
  <c r="K214"/>
  <c r="G73" i="97"/>
  <c r="G72" s="1"/>
  <c r="G71" s="1"/>
  <c r="G101" s="1"/>
  <c r="G102" s="1"/>
  <c r="G224"/>
  <c r="G222" s="1"/>
  <c r="G221" s="1"/>
  <c r="G220" s="1"/>
  <c r="K178" i="109"/>
  <c r="K178" i="97"/>
  <c r="K177" i="66"/>
  <c r="K109" i="97"/>
  <c r="K109" i="109"/>
  <c r="K109" i="66"/>
  <c r="K229"/>
  <c r="K228"/>
  <c r="K224"/>
  <c r="K87"/>
  <c r="K86"/>
  <c r="G224" i="109" l="1"/>
  <c r="G222" s="1"/>
  <c r="G221" s="1"/>
  <c r="G220" s="1"/>
  <c r="K73" i="66"/>
  <c r="A233" i="85"/>
  <c r="U229"/>
  <c r="U230" s="1"/>
  <c r="A18" i="84"/>
  <c r="D86" i="118" s="1"/>
  <c r="K70" i="66"/>
  <c r="K213"/>
  <c r="K207"/>
  <c r="K177" i="97"/>
  <c r="K177" i="109"/>
  <c r="K176"/>
  <c r="K176" i="66"/>
  <c r="K222"/>
  <c r="K72"/>
  <c r="U233" i="85" l="1"/>
  <c r="A234"/>
  <c r="K208" i="66"/>
  <c r="K207" i="109"/>
  <c r="A19" i="84"/>
  <c r="D87" i="118" s="1"/>
  <c r="K207" i="97"/>
  <c r="K71" i="66"/>
  <c r="K220"/>
  <c r="K221"/>
  <c r="A235" i="85" l="1"/>
  <c r="U234"/>
  <c r="K208" i="109"/>
  <c r="A20" i="84"/>
  <c r="D88" i="118" s="1"/>
  <c r="K101" i="66"/>
  <c r="K102"/>
  <c r="U235" i="85" l="1"/>
  <c r="U236" s="1"/>
  <c r="V236"/>
  <c r="A237"/>
  <c r="A21" i="84"/>
  <c r="D89" i="118" s="1"/>
  <c r="U237" i="85" l="1"/>
  <c r="A238"/>
  <c r="A22" i="84"/>
  <c r="D90" i="118" s="1"/>
  <c r="A239" i="85" l="1"/>
  <c r="V240" s="1"/>
  <c r="U238"/>
  <c r="A23" i="84"/>
  <c r="D91" i="118" s="1"/>
  <c r="U239" i="85" l="1"/>
  <c r="U240" s="1"/>
  <c r="A241"/>
  <c r="V242" s="1"/>
  <c r="V243" s="1"/>
  <c r="A24" i="84"/>
  <c r="D92" i="118" s="1"/>
  <c r="A245" i="85" l="1"/>
  <c r="U241"/>
  <c r="U242" s="1"/>
  <c r="U243" s="1"/>
  <c r="A25" i="84"/>
  <c r="D93" i="118" s="1"/>
  <c r="U245" i="85" l="1"/>
  <c r="A246"/>
  <c r="A26" i="84"/>
  <c r="D94" i="118" s="1"/>
  <c r="U246" i="85" l="1"/>
  <c r="A247"/>
  <c r="U247" s="1"/>
  <c r="A27" i="84"/>
  <c r="D95" i="118" s="1"/>
  <c r="V248" i="85" l="1"/>
  <c r="U248"/>
  <c r="A249"/>
  <c r="V250" s="1"/>
  <c r="A28" i="84"/>
  <c r="D96" i="118" s="1"/>
  <c r="A251" i="85" l="1"/>
  <c r="V252" s="1"/>
  <c r="V253" s="1"/>
  <c r="U249"/>
  <c r="U250" s="1"/>
  <c r="A29" i="84"/>
  <c r="D97" i="118" s="1"/>
  <c r="A255" i="85" l="1"/>
  <c r="U255" s="1"/>
  <c r="U251"/>
  <c r="U252" s="1"/>
  <c r="U253" s="1"/>
  <c r="A30" i="84"/>
  <c r="D98" i="118" s="1"/>
  <c r="A256" i="85" l="1"/>
  <c r="U256" s="1"/>
  <c r="A31" i="84"/>
  <c r="D99" i="118" s="1"/>
  <c r="A257" i="85" l="1"/>
  <c r="U257" s="1"/>
  <c r="A32" i="84"/>
  <c r="D100" i="118" s="1"/>
  <c r="V258" i="85" l="1"/>
  <c r="A259"/>
  <c r="V260" s="1"/>
  <c r="A33" i="84"/>
  <c r="D101" i="118" s="1"/>
  <c r="U259" i="85" l="1"/>
  <c r="U260" s="1"/>
  <c r="A261"/>
  <c r="V262" s="1"/>
  <c r="V263" s="1"/>
  <c r="A34" i="84"/>
  <c r="D102" i="118" s="1"/>
  <c r="A265" i="85" l="1"/>
  <c r="V266" s="1"/>
  <c r="U261"/>
  <c r="U262" s="1"/>
  <c r="A35" i="84"/>
  <c r="D103" i="118" s="1"/>
  <c r="U265" i="85" l="1"/>
  <c r="U266" s="1"/>
  <c r="A267"/>
  <c r="A36" i="84"/>
  <c r="D104" i="118" s="1"/>
  <c r="U267" i="85" l="1"/>
  <c r="U268" s="1"/>
  <c r="V268"/>
  <c r="V271" s="1"/>
  <c r="A269"/>
  <c r="V270" s="1"/>
  <c r="A37" i="84"/>
  <c r="D105" i="118" s="1"/>
  <c r="A273" i="85" l="1"/>
  <c r="U273" s="1"/>
  <c r="U269"/>
  <c r="U270" s="1"/>
  <c r="U271" s="1"/>
  <c r="A38" i="84"/>
  <c r="D106" i="118" s="1"/>
  <c r="U274" i="85" l="1"/>
  <c r="V274"/>
  <c r="A275"/>
  <c r="V276" s="1"/>
  <c r="A39" i="84"/>
  <c r="D107" i="118" s="1"/>
  <c r="A277" i="85" l="1"/>
  <c r="U275"/>
  <c r="U276" s="1"/>
  <c r="A40" i="84"/>
  <c r="D108" i="118" s="1"/>
  <c r="U277" i="85" l="1"/>
  <c r="U278" s="1"/>
  <c r="U279" s="1"/>
  <c r="V278"/>
  <c r="V279" s="1"/>
  <c r="V281" s="1"/>
  <c r="V283" s="1"/>
  <c r="A41" i="84"/>
  <c r="D109" i="118" s="1"/>
  <c r="A42" i="84" l="1"/>
  <c r="D110" i="118" s="1"/>
  <c r="A43" i="84" l="1"/>
  <c r="D111" i="118" s="1"/>
  <c r="A44" i="84" l="1"/>
  <c r="D112" i="118" s="1"/>
  <c r="A45" i="84" l="1"/>
  <c r="D113" i="118" s="1"/>
  <c r="A46" i="84" l="1"/>
  <c r="D114" i="118" s="1"/>
  <c r="A47" i="84" l="1"/>
  <c r="D115" i="118" s="1"/>
  <c r="A48" i="84" l="1"/>
  <c r="D116" i="118" s="1"/>
  <c r="A49" i="84" l="1"/>
  <c r="D117" i="118" s="1"/>
  <c r="A50" i="84" l="1"/>
  <c r="D118" i="118" s="1"/>
  <c r="A51" i="84" l="1"/>
  <c r="D119" i="118" s="1"/>
  <c r="A52" i="84" l="1"/>
  <c r="D120" i="118" s="1"/>
  <c r="A53" i="84" l="1"/>
  <c r="D121" i="118" s="1"/>
  <c r="A54" i="84" l="1"/>
  <c r="D122" i="118" s="1"/>
  <c r="A55" i="84" l="1"/>
  <c r="D123" i="118" s="1"/>
  <c r="A56" i="84" l="1"/>
  <c r="D124" i="118" s="1"/>
  <c r="A57" i="84" l="1"/>
  <c r="D125" i="118" s="1"/>
  <c r="A58" i="84" l="1"/>
  <c r="D126" i="118" s="1"/>
  <c r="A59" i="84" l="1"/>
  <c r="D127" i="118" s="1"/>
  <c r="A60" i="84" l="1"/>
  <c r="D128" i="118" s="1"/>
  <c r="A61" i="84" l="1"/>
  <c r="D129" i="118" s="1"/>
  <c r="A62" i="84" l="1"/>
  <c r="D130" i="118" s="1"/>
  <c r="A63" i="84" l="1"/>
  <c r="D131" i="118" s="1"/>
  <c r="A64" i="84" l="1"/>
  <c r="D132" i="118" s="1"/>
  <c r="A65" i="84" l="1"/>
  <c r="D133" i="118" s="1"/>
  <c r="A66" i="84" l="1"/>
  <c r="D134" i="118" s="1"/>
  <c r="A67" i="84" l="1"/>
  <c r="D135" i="118" s="1"/>
  <c r="A68" i="84" l="1"/>
  <c r="A69" l="1"/>
  <c r="D137" i="118" s="1"/>
  <c r="D136"/>
  <c r="A70" i="84" l="1"/>
  <c r="D138" i="118" s="1"/>
  <c r="A71" i="84" l="1"/>
  <c r="D139" i="118" s="1"/>
  <c r="A72" i="84" l="1"/>
  <c r="D140" i="118" s="1"/>
  <c r="A73" i="84" l="1"/>
  <c r="D141" i="118" s="1"/>
  <c r="A74" i="84" l="1"/>
  <c r="D142" i="118" s="1"/>
  <c r="A75" i="84" l="1"/>
  <c r="D143" i="118" s="1"/>
  <c r="A76" i="84" l="1"/>
  <c r="D144" i="118" s="1"/>
  <c r="A77" i="84" l="1"/>
  <c r="D145" i="118" s="1"/>
  <c r="A78" i="84" l="1"/>
  <c r="D146" i="118" s="1"/>
  <c r="A79" i="84" l="1"/>
  <c r="D147" i="118" s="1"/>
  <c r="A80" i="84" l="1"/>
  <c r="D148" i="118" s="1"/>
  <c r="A82" i="84" l="1"/>
  <c r="D150" i="118" s="1"/>
  <c r="A83" i="84" l="1"/>
  <c r="D151" i="118" s="1"/>
  <c r="A84" i="84" l="1"/>
  <c r="D152" i="118" s="1"/>
  <c r="A85" i="84" l="1"/>
  <c r="D153" i="118" s="1"/>
  <c r="A86" i="84" l="1"/>
  <c r="D154" i="118" s="1"/>
  <c r="A87" i="84" l="1"/>
  <c r="D155" i="118" s="1"/>
  <c r="A89" i="84" l="1"/>
  <c r="D157" i="118" s="1"/>
  <c r="A93" i="84" l="1"/>
  <c r="D161" i="118" s="1"/>
  <c r="A94" i="84" l="1"/>
  <c r="D162" i="118" s="1"/>
  <c r="A95" i="84" l="1"/>
  <c r="D163" i="118" s="1"/>
  <c r="A96" i="84" l="1"/>
  <c r="D164" i="118" s="1"/>
  <c r="A97" i="84" l="1"/>
  <c r="D165" i="118" s="1"/>
  <c r="A99" i="84" l="1"/>
  <c r="D167" i="118" s="1"/>
  <c r="A100" i="84" l="1"/>
  <c r="D168" i="118" s="1"/>
  <c r="A101" i="84" l="1"/>
  <c r="D169" i="118" s="1"/>
  <c r="A103" i="84" l="1"/>
  <c r="D171" i="118" s="1"/>
  <c r="A104" i="84" l="1"/>
  <c r="D172" i="118" s="1"/>
  <c r="A105" i="84" l="1"/>
  <c r="D173" i="118" s="1"/>
  <c r="A106" i="84" l="1"/>
  <c r="D174" i="118" s="1"/>
  <c r="A107" i="84" l="1"/>
  <c r="D175" i="118" s="1"/>
  <c r="N300" i="84"/>
  <c r="N301" s="1"/>
  <c r="AL300"/>
  <c r="K265" i="85"/>
  <c r="K266" s="1"/>
  <c r="P265"/>
  <c r="P266" s="1"/>
  <c r="A108" i="84" l="1"/>
  <c r="D176" i="118" s="1"/>
  <c r="L265" i="85"/>
  <c r="L266" s="1"/>
  <c r="Q265"/>
  <c r="Q266" s="1"/>
  <c r="M265"/>
  <c r="M266" s="1"/>
  <c r="O265"/>
  <c r="O266" s="1"/>
  <c r="N265"/>
  <c r="N266" s="1"/>
  <c r="R265"/>
  <c r="R266" s="1"/>
  <c r="J300" i="84"/>
  <c r="J301" s="1"/>
  <c r="AL301"/>
  <c r="AL303"/>
  <c r="N303"/>
  <c r="A109" l="1"/>
  <c r="D177" i="118" s="1"/>
  <c r="S265" i="85"/>
  <c r="S266" s="1"/>
  <c r="AL305" i="84"/>
  <c r="AL306" s="1"/>
  <c r="N305"/>
  <c r="J303"/>
  <c r="A113" l="1"/>
  <c r="D181" i="118" s="1"/>
  <c r="N309" i="84"/>
  <c r="J305"/>
  <c r="J306" s="1"/>
  <c r="N306"/>
  <c r="AL309"/>
  <c r="A114" l="1"/>
  <c r="D182" i="118" s="1"/>
  <c r="AL310" i="84"/>
  <c r="N310"/>
  <c r="J309"/>
  <c r="A115" l="1"/>
  <c r="D183" i="118" s="1"/>
  <c r="J310" i="84"/>
  <c r="AL311"/>
  <c r="N311"/>
  <c r="A116" l="1"/>
  <c r="D184" i="118" s="1"/>
  <c r="M269" i="85"/>
  <c r="M270" s="1"/>
  <c r="R269"/>
  <c r="R270" s="1"/>
  <c r="Q269"/>
  <c r="Q270" s="1"/>
  <c r="N313" i="84"/>
  <c r="N314" s="1"/>
  <c r="J311"/>
  <c r="AL313"/>
  <c r="AL314" s="1"/>
  <c r="A117" l="1"/>
  <c r="D185" i="118" s="1"/>
  <c r="N315" i="84"/>
  <c r="N316" s="1"/>
  <c r="AL315"/>
  <c r="AL316" s="1"/>
  <c r="J313"/>
  <c r="J314" s="1"/>
  <c r="K275" i="85"/>
  <c r="K276" s="1"/>
  <c r="P275"/>
  <c r="P276" s="1"/>
  <c r="A118" i="84" l="1"/>
  <c r="D186" i="118" s="1"/>
  <c r="O275" i="85"/>
  <c r="O276" s="1"/>
  <c r="L275"/>
  <c r="L276" s="1"/>
  <c r="R275"/>
  <c r="R276" s="1"/>
  <c r="Q275"/>
  <c r="Q276" s="1"/>
  <c r="M275"/>
  <c r="M276" s="1"/>
  <c r="N275"/>
  <c r="N276" s="1"/>
  <c r="P277"/>
  <c r="P278" s="1"/>
  <c r="K277"/>
  <c r="K278" s="1"/>
  <c r="N277"/>
  <c r="N278" s="1"/>
  <c r="L277"/>
  <c r="L278" s="1"/>
  <c r="R277"/>
  <c r="R278" s="1"/>
  <c r="M277"/>
  <c r="M278" s="1"/>
  <c r="O277"/>
  <c r="O278" s="1"/>
  <c r="Q277"/>
  <c r="Q278" s="1"/>
  <c r="N317" i="84"/>
  <c r="N318" s="1"/>
  <c r="J315"/>
  <c r="J316" s="1"/>
  <c r="AL317"/>
  <c r="A120" l="1"/>
  <c r="D188" i="118" s="1"/>
  <c r="S275" i="85"/>
  <c r="S276" s="1"/>
  <c r="P269"/>
  <c r="P270" s="1"/>
  <c r="O269"/>
  <c r="O270" s="1"/>
  <c r="L269"/>
  <c r="L270" s="1"/>
  <c r="N269"/>
  <c r="N270" s="1"/>
  <c r="K269"/>
  <c r="AL318" i="84"/>
  <c r="AL319" s="1"/>
  <c r="R273" i="85"/>
  <c r="R274" s="1"/>
  <c r="R279" s="1"/>
  <c r="N273"/>
  <c r="N274" s="1"/>
  <c r="N279" s="1"/>
  <c r="S277"/>
  <c r="M273"/>
  <c r="M274" s="1"/>
  <c r="M279" s="1"/>
  <c r="L273"/>
  <c r="L274" s="1"/>
  <c r="L279" s="1"/>
  <c r="Q273"/>
  <c r="Q274" s="1"/>
  <c r="Q279" s="1"/>
  <c r="O273"/>
  <c r="O274" s="1"/>
  <c r="O279" s="1"/>
  <c r="P273"/>
  <c r="P274" s="1"/>
  <c r="P279" s="1"/>
  <c r="K273"/>
  <c r="N319" i="84"/>
  <c r="J317"/>
  <c r="A122" l="1"/>
  <c r="D190" i="118" s="1"/>
  <c r="K270" i="85"/>
  <c r="S269"/>
  <c r="S270" s="1"/>
  <c r="J318" i="84"/>
  <c r="J319" s="1"/>
  <c r="Z139" i="85" s="1"/>
  <c r="S273"/>
  <c r="K274"/>
  <c r="K279" s="1"/>
  <c r="S278"/>
  <c r="A126" i="84" l="1"/>
  <c r="D194" i="118" s="1"/>
  <c r="S274" i="85"/>
  <c r="S279" s="1"/>
  <c r="Z279" s="1"/>
  <c r="A127" i="84" l="1"/>
  <c r="D195" i="118" s="1"/>
  <c r="A128" i="84" l="1"/>
  <c r="D196" i="118" s="1"/>
  <c r="A129" i="84" l="1"/>
  <c r="D197" i="118" s="1"/>
  <c r="A130" i="84" l="1"/>
  <c r="D198" i="118" s="1"/>
  <c r="A132" i="84" l="1"/>
  <c r="D200" i="118" s="1"/>
  <c r="A134" i="84" l="1"/>
  <c r="D202" i="118" s="1"/>
  <c r="A138" i="84" l="1"/>
  <c r="D206" i="118" s="1"/>
  <c r="A140" i="84" l="1"/>
  <c r="D208" i="118" s="1"/>
  <c r="N138" i="84"/>
  <c r="R139"/>
  <c r="C265" i="85"/>
  <c r="F265"/>
  <c r="F266" s="1"/>
  <c r="AH138" i="84"/>
  <c r="AH139" s="1"/>
  <c r="D265" i="85"/>
  <c r="D266" s="1"/>
  <c r="I265"/>
  <c r="I266" s="1"/>
  <c r="U258"/>
  <c r="U263" s="1"/>
  <c r="A141" i="84" l="1"/>
  <c r="D209" i="118" s="1"/>
  <c r="N139" i="84"/>
  <c r="J138"/>
  <c r="J139" s="1"/>
  <c r="E265" i="85"/>
  <c r="E266" s="1"/>
  <c r="C266"/>
  <c r="H265"/>
  <c r="H266" s="1"/>
  <c r="G265"/>
  <c r="G266" s="1"/>
  <c r="AH140" i="84"/>
  <c r="N140"/>
  <c r="G137" i="77"/>
  <c r="U224" i="85" s="1"/>
  <c r="A143" i="84" l="1"/>
  <c r="D211" i="118" s="1"/>
  <c r="D267" i="85"/>
  <c r="D268" s="1"/>
  <c r="F267"/>
  <c r="F268" s="1"/>
  <c r="N141" i="84"/>
  <c r="N142" s="1"/>
  <c r="J265" i="85"/>
  <c r="J140" i="84"/>
  <c r="R142"/>
  <c r="AH141"/>
  <c r="AH142" s="1"/>
  <c r="U225" i="85"/>
  <c r="U231" s="1"/>
  <c r="U281" s="1"/>
  <c r="U283" s="1"/>
  <c r="A147" i="84" l="1"/>
  <c r="D215" i="118" s="1"/>
  <c r="I267" i="85"/>
  <c r="I268" s="1"/>
  <c r="I269"/>
  <c r="I270" s="1"/>
  <c r="J141" i="84"/>
  <c r="J142" s="1"/>
  <c r="G267" i="85"/>
  <c r="G268" s="1"/>
  <c r="AH143" i="84"/>
  <c r="AH144" s="1"/>
  <c r="AH145" s="1"/>
  <c r="G269" i="85"/>
  <c r="G270" s="1"/>
  <c r="H267"/>
  <c r="H268" s="1"/>
  <c r="H269"/>
  <c r="H270" s="1"/>
  <c r="T265"/>
  <c r="W265" s="1"/>
  <c r="AA265" s="1"/>
  <c r="J266"/>
  <c r="E267"/>
  <c r="E268" s="1"/>
  <c r="E269"/>
  <c r="E270" s="1"/>
  <c r="C267"/>
  <c r="R144" i="84"/>
  <c r="R145" s="1"/>
  <c r="N143"/>
  <c r="C269" i="85"/>
  <c r="D269"/>
  <c r="D270" s="1"/>
  <c r="D271" s="1"/>
  <c r="A148" i="84" l="1"/>
  <c r="D216" i="118" s="1"/>
  <c r="AH147" i="84"/>
  <c r="N147"/>
  <c r="G271" i="85"/>
  <c r="N144" i="84"/>
  <c r="N145" s="1"/>
  <c r="J143"/>
  <c r="J144" s="1"/>
  <c r="J145" s="1"/>
  <c r="Y131" i="85" s="1"/>
  <c r="C270"/>
  <c r="W266"/>
  <c r="AA266" s="1"/>
  <c r="T266"/>
  <c r="E271"/>
  <c r="J267"/>
  <c r="J268" s="1"/>
  <c r="C268"/>
  <c r="H271"/>
  <c r="I271"/>
  <c r="A149" i="84" l="1"/>
  <c r="D217" i="118" s="1"/>
  <c r="N148" i="84"/>
  <c r="AH148"/>
  <c r="J147"/>
  <c r="C271" i="85"/>
  <c r="K267"/>
  <c r="K268" s="1"/>
  <c r="K271" s="1"/>
  <c r="L267"/>
  <c r="L268" s="1"/>
  <c r="L271" s="1"/>
  <c r="M267"/>
  <c r="M268" s="1"/>
  <c r="M271" s="1"/>
  <c r="N267"/>
  <c r="N268" s="1"/>
  <c r="N271" s="1"/>
  <c r="O267"/>
  <c r="O268" s="1"/>
  <c r="O271" s="1"/>
  <c r="P267"/>
  <c r="P268" s="1"/>
  <c r="P271" s="1"/>
  <c r="Q267"/>
  <c r="Q268" s="1"/>
  <c r="Q271" s="1"/>
  <c r="R267"/>
  <c r="R268" s="1"/>
  <c r="R271" s="1"/>
  <c r="A150" i="84" l="1"/>
  <c r="D218" i="118" s="1"/>
  <c r="AH149" i="84"/>
  <c r="N149"/>
  <c r="J148"/>
  <c r="N302"/>
  <c r="N304" s="1"/>
  <c r="N307" s="1"/>
  <c r="AL302"/>
  <c r="AL304" s="1"/>
  <c r="AL307" s="1"/>
  <c r="S267" i="85"/>
  <c r="A151" i="84" l="1"/>
  <c r="D219" i="118" s="1"/>
  <c r="J149" i="84"/>
  <c r="N150"/>
  <c r="AH150"/>
  <c r="R152"/>
  <c r="G273" i="85"/>
  <c r="G274" s="1"/>
  <c r="J302" i="84"/>
  <c r="J304" s="1"/>
  <c r="J307" s="1"/>
  <c r="Z131" i="85" s="1"/>
  <c r="T267"/>
  <c r="W267" s="1"/>
  <c r="AA267" s="1"/>
  <c r="S268"/>
  <c r="S271" s="1"/>
  <c r="Z271" l="1"/>
  <c r="A153" i="84"/>
  <c r="D221" i="118" s="1"/>
  <c r="J150" i="84"/>
  <c r="N151"/>
  <c r="N152" s="1"/>
  <c r="F269" i="85"/>
  <c r="AH151" i="84"/>
  <c r="AH152" s="1"/>
  <c r="T268" i="85"/>
  <c r="W268"/>
  <c r="AA268" s="1"/>
  <c r="A155" i="84" l="1"/>
  <c r="D223" i="118" s="1"/>
  <c r="J151" i="84"/>
  <c r="J152" s="1"/>
  <c r="F270" i="85"/>
  <c r="F271" s="1"/>
  <c r="J269"/>
  <c r="D273"/>
  <c r="D274" s="1"/>
  <c r="D275"/>
  <c r="D276" s="1"/>
  <c r="F273"/>
  <c r="F274" s="1"/>
  <c r="F275"/>
  <c r="F276" s="1"/>
  <c r="H273"/>
  <c r="H274" s="1"/>
  <c r="I273"/>
  <c r="I274" s="1"/>
  <c r="I275"/>
  <c r="I276" s="1"/>
  <c r="E273"/>
  <c r="E274" s="1"/>
  <c r="E275"/>
  <c r="E276" s="1"/>
  <c r="C273"/>
  <c r="N153" i="84"/>
  <c r="R154"/>
  <c r="G275" i="85"/>
  <c r="G276" s="1"/>
  <c r="AH153" i="84"/>
  <c r="AH154" s="1"/>
  <c r="J153" l="1"/>
  <c r="J154" s="1"/>
  <c r="N154"/>
  <c r="J273" i="85"/>
  <c r="C274"/>
  <c r="I277"/>
  <c r="I278" s="1"/>
  <c r="I279" s="1"/>
  <c r="G277"/>
  <c r="G278" s="1"/>
  <c r="G279" s="1"/>
  <c r="AH155" i="84"/>
  <c r="AH156" s="1"/>
  <c r="AH157" s="1"/>
  <c r="C275" i="85"/>
  <c r="C277"/>
  <c r="R156" i="84"/>
  <c r="R157" s="1"/>
  <c r="N155"/>
  <c r="F277" i="85"/>
  <c r="F278" s="1"/>
  <c r="F279" s="1"/>
  <c r="H275"/>
  <c r="H276" s="1"/>
  <c r="H277"/>
  <c r="H278" s="1"/>
  <c r="E277"/>
  <c r="E278" s="1"/>
  <c r="E279" s="1"/>
  <c r="D277"/>
  <c r="D278" s="1"/>
  <c r="D279" s="1"/>
  <c r="T269"/>
  <c r="W269" s="1"/>
  <c r="AA269" s="1"/>
  <c r="J270"/>
  <c r="J271" s="1"/>
  <c r="Y271" s="1"/>
  <c r="H279" l="1"/>
  <c r="T270"/>
  <c r="T271" s="1"/>
  <c r="W270"/>
  <c r="N156" i="84"/>
  <c r="N157" s="1"/>
  <c r="J155"/>
  <c r="J156" s="1"/>
  <c r="J157" s="1"/>
  <c r="Y139" i="85" s="1"/>
  <c r="J277"/>
  <c r="C278"/>
  <c r="J275"/>
  <c r="C276"/>
  <c r="J274"/>
  <c r="T273"/>
  <c r="W273" s="1"/>
  <c r="AA273" l="1"/>
  <c r="W271"/>
  <c r="AA271" s="1"/>
  <c r="AA270"/>
  <c r="C279"/>
  <c r="T274"/>
  <c r="W274"/>
  <c r="AA274" s="1"/>
  <c r="T275"/>
  <c r="W275" s="1"/>
  <c r="AA275" s="1"/>
  <c r="J276"/>
  <c r="J278"/>
  <c r="T277"/>
  <c r="W277" s="1"/>
  <c r="AA277" s="1"/>
  <c r="J279" l="1"/>
  <c r="Y279" s="1"/>
  <c r="T278"/>
  <c r="W278"/>
  <c r="AA278" s="1"/>
  <c r="W276"/>
  <c r="AA276" s="1"/>
  <c r="T276"/>
  <c r="W279" l="1"/>
  <c r="AA279" s="1"/>
  <c r="T279"/>
  <c r="L246" l="1"/>
  <c r="L247"/>
  <c r="L249"/>
  <c r="L250" s="1"/>
  <c r="L245"/>
  <c r="L248" l="1"/>
  <c r="G247"/>
  <c r="K247"/>
  <c r="G249"/>
  <c r="G250" s="1"/>
  <c r="K249"/>
  <c r="G251"/>
  <c r="G252" s="1"/>
  <c r="I251"/>
  <c r="I252" s="1"/>
  <c r="N247"/>
  <c r="R247"/>
  <c r="H247"/>
  <c r="R249"/>
  <c r="R250" s="1"/>
  <c r="I247"/>
  <c r="I249"/>
  <c r="I250" s="1"/>
  <c r="N249"/>
  <c r="N250" s="1"/>
  <c r="AH113" i="84" l="1"/>
  <c r="H245" i="85"/>
  <c r="P249"/>
  <c r="P250" s="1"/>
  <c r="AL282" i="84"/>
  <c r="AL283" s="1"/>
  <c r="O246" i="85"/>
  <c r="AL280" i="84"/>
  <c r="P245" i="85"/>
  <c r="AH116" i="84"/>
  <c r="N116"/>
  <c r="P247" i="85"/>
  <c r="AL278" i="84"/>
  <c r="E251" i="85"/>
  <c r="E252" s="1"/>
  <c r="K251"/>
  <c r="D249"/>
  <c r="D250" s="1"/>
  <c r="C251"/>
  <c r="R123" i="84"/>
  <c r="D251" i="85"/>
  <c r="D252" s="1"/>
  <c r="N278" i="84"/>
  <c r="D247" i="85"/>
  <c r="N282" i="84"/>
  <c r="F247" i="85"/>
  <c r="F249"/>
  <c r="F250" s="1"/>
  <c r="K250"/>
  <c r="O247"/>
  <c r="O249"/>
  <c r="O250" s="1"/>
  <c r="C247"/>
  <c r="R121" i="84"/>
  <c r="C249" i="85"/>
  <c r="E247"/>
  <c r="E249"/>
  <c r="E250" s="1"/>
  <c r="Q249"/>
  <c r="Q250" s="1"/>
  <c r="O245"/>
  <c r="D245"/>
  <c r="Q245"/>
  <c r="N113" i="84"/>
  <c r="C245" i="85"/>
  <c r="E245"/>
  <c r="N245" l="1"/>
  <c r="I245"/>
  <c r="L251"/>
  <c r="L252" s="1"/>
  <c r="L253" s="1"/>
  <c r="J282" i="84"/>
  <c r="J283" s="1"/>
  <c r="C246" i="85"/>
  <c r="C248" s="1"/>
  <c r="R119" i="84"/>
  <c r="R124" s="1"/>
  <c r="N120"/>
  <c r="N121" s="1"/>
  <c r="AL276"/>
  <c r="Q247" i="85"/>
  <c r="N277" i="84"/>
  <c r="N283"/>
  <c r="J278"/>
  <c r="AH117"/>
  <c r="J247" i="85"/>
  <c r="O248"/>
  <c r="N115" i="84"/>
  <c r="J116"/>
  <c r="K245" i="85"/>
  <c r="C252"/>
  <c r="K252"/>
  <c r="C250"/>
  <c r="M247"/>
  <c r="M249"/>
  <c r="J113" i="84"/>
  <c r="N275" l="1"/>
  <c r="R245" i="85"/>
  <c r="AL275" i="84"/>
  <c r="Q251" i="85"/>
  <c r="Q252" s="1"/>
  <c r="AH118" i="84"/>
  <c r="G245" i="85"/>
  <c r="H249"/>
  <c r="AH120" i="84"/>
  <c r="AH121" s="1"/>
  <c r="N114"/>
  <c r="C253" i="85"/>
  <c r="S247"/>
  <c r="T247" s="1"/>
  <c r="W247" s="1"/>
  <c r="D246"/>
  <c r="M250"/>
  <c r="S249"/>
  <c r="K246"/>
  <c r="AA247" l="1"/>
  <c r="J275" i="84"/>
  <c r="J120"/>
  <c r="J121" s="1"/>
  <c r="H250" i="85"/>
  <c r="J249"/>
  <c r="J250" s="1"/>
  <c r="F246"/>
  <c r="I246"/>
  <c r="I248" s="1"/>
  <c r="I253" s="1"/>
  <c r="AH114" i="84"/>
  <c r="H246" i="85"/>
  <c r="H248" s="1"/>
  <c r="K248"/>
  <c r="K253" s="1"/>
  <c r="S250"/>
  <c r="D248"/>
  <c r="D253" s="1"/>
  <c r="L234" l="1"/>
  <c r="L238"/>
  <c r="L239"/>
  <c r="H20" i="70"/>
  <c r="F24"/>
  <c r="T249" i="85"/>
  <c r="W249" s="1"/>
  <c r="AA249" s="1"/>
  <c r="J114" i="84"/>
  <c r="N117"/>
  <c r="E246" i="85"/>
  <c r="M246"/>
  <c r="N276" i="84"/>
  <c r="R239" i="85" l="1"/>
  <c r="L235"/>
  <c r="F238"/>
  <c r="O239"/>
  <c r="Q234"/>
  <c r="F239"/>
  <c r="H234"/>
  <c r="H238"/>
  <c r="N238"/>
  <c r="I238"/>
  <c r="I234"/>
  <c r="H21" i="70"/>
  <c r="I21" s="1"/>
  <c r="K21" s="1"/>
  <c r="T250" i="85"/>
  <c r="H23" i="70"/>
  <c r="E22"/>
  <c r="F19"/>
  <c r="I24"/>
  <c r="K24" s="1"/>
  <c r="F22"/>
  <c r="I20"/>
  <c r="K20" s="1"/>
  <c r="H226" i="65"/>
  <c r="M251" i="85"/>
  <c r="Q246"/>
  <c r="Q248" s="1"/>
  <c r="Q253" s="1"/>
  <c r="AL279" i="84"/>
  <c r="W250" i="85"/>
  <c r="AA250" s="1"/>
  <c r="E248"/>
  <c r="E253" s="1"/>
  <c r="J117" i="84"/>
  <c r="J276"/>
  <c r="K183" i="65" l="1"/>
  <c r="K158"/>
  <c r="K136"/>
  <c r="K138"/>
  <c r="K241"/>
  <c r="R237" i="85"/>
  <c r="F235"/>
  <c r="R234"/>
  <c r="P239"/>
  <c r="AH97" i="84"/>
  <c r="Q238" i="85"/>
  <c r="AL270" i="84"/>
  <c r="E234" i="85"/>
  <c r="D234"/>
  <c r="N239"/>
  <c r="E239"/>
  <c r="N234"/>
  <c r="O238"/>
  <c r="AL259" i="84"/>
  <c r="AH105"/>
  <c r="AH104"/>
  <c r="E238" i="85"/>
  <c r="D239"/>
  <c r="N233"/>
  <c r="L241"/>
  <c r="L242" s="1"/>
  <c r="H239"/>
  <c r="G239"/>
  <c r="I239"/>
  <c r="AL269" i="84"/>
  <c r="Q233" i="85"/>
  <c r="C238"/>
  <c r="Q239"/>
  <c r="P238"/>
  <c r="F234"/>
  <c r="I235"/>
  <c r="M234"/>
  <c r="M238"/>
  <c r="O234"/>
  <c r="D238"/>
  <c r="G234"/>
  <c r="H18" i="70"/>
  <c r="AH107" i="84"/>
  <c r="AH106"/>
  <c r="H123" i="65"/>
  <c r="E18" i="70"/>
  <c r="E27" s="1"/>
  <c r="R238" i="85"/>
  <c r="N284" i="84"/>
  <c r="N285" s="1"/>
  <c r="F245" i="85"/>
  <c r="N118" i="84"/>
  <c r="C239" i="85"/>
  <c r="H12" i="65"/>
  <c r="H11" s="1"/>
  <c r="AH115" i="84"/>
  <c r="G246" i="85"/>
  <c r="I51" i="65"/>
  <c r="H159"/>
  <c r="AL277" i="84"/>
  <c r="J277" s="1"/>
  <c r="R246" i="85"/>
  <c r="R248" s="1"/>
  <c r="I58" i="65"/>
  <c r="H146"/>
  <c r="I165"/>
  <c r="G238" i="85"/>
  <c r="AH100" i="84"/>
  <c r="I226" i="65"/>
  <c r="H22" i="70"/>
  <c r="I23"/>
  <c r="N251" i="85"/>
  <c r="N252" s="1"/>
  <c r="G226" i="65"/>
  <c r="G235" i="85"/>
  <c r="AH95" i="84"/>
  <c r="I123" i="65"/>
  <c r="H251" i="85"/>
  <c r="H252" s="1"/>
  <c r="H253" s="1"/>
  <c r="AH122" i="84"/>
  <c r="AH123" s="1"/>
  <c r="I12" i="65"/>
  <c r="I11" s="1"/>
  <c r="I146"/>
  <c r="C234" i="85"/>
  <c r="N122" i="84"/>
  <c r="F251" i="85"/>
  <c r="P246"/>
  <c r="P248" s="1"/>
  <c r="H150" i="65"/>
  <c r="H242"/>
  <c r="P234" i="85"/>
  <c r="H64" i="65"/>
  <c r="P251" i="85"/>
  <c r="P252" s="1"/>
  <c r="AL284" i="84"/>
  <c r="AL285" s="1"/>
  <c r="F18" i="70"/>
  <c r="F27" s="1"/>
  <c r="I19"/>
  <c r="O251" i="85"/>
  <c r="O252" s="1"/>
  <c r="O253" s="1"/>
  <c r="I150" i="65"/>
  <c r="R251" i="85"/>
  <c r="R252" s="1"/>
  <c r="I44" i="65"/>
  <c r="I64"/>
  <c r="H58"/>
  <c r="M252" i="85"/>
  <c r="K29" i="65" l="1"/>
  <c r="K43"/>
  <c r="K85"/>
  <c r="K164"/>
  <c r="K15"/>
  <c r="K129"/>
  <c r="K143"/>
  <c r="K174"/>
  <c r="K21"/>
  <c r="K63"/>
  <c r="K187"/>
  <c r="K169"/>
  <c r="K168"/>
  <c r="K184"/>
  <c r="K46"/>
  <c r="K67"/>
  <c r="K34"/>
  <c r="K53"/>
  <c r="K17"/>
  <c r="K49"/>
  <c r="K27"/>
  <c r="K23"/>
  <c r="K31"/>
  <c r="K125"/>
  <c r="K157"/>
  <c r="K140"/>
  <c r="K131"/>
  <c r="K144"/>
  <c r="K16"/>
  <c r="K153"/>
  <c r="K19"/>
  <c r="K56"/>
  <c r="K38"/>
  <c r="K37"/>
  <c r="K20"/>
  <c r="K191"/>
  <c r="K154"/>
  <c r="K163"/>
  <c r="K114"/>
  <c r="K173"/>
  <c r="K130"/>
  <c r="K80"/>
  <c r="K78"/>
  <c r="K60"/>
  <c r="K119"/>
  <c r="K137"/>
  <c r="K155"/>
  <c r="K39"/>
  <c r="K128"/>
  <c r="K135"/>
  <c r="K14"/>
  <c r="K156"/>
  <c r="K77"/>
  <c r="K42"/>
  <c r="K48"/>
  <c r="K172"/>
  <c r="K190"/>
  <c r="K186"/>
  <c r="K145"/>
  <c r="K175"/>
  <c r="K61"/>
  <c r="K36"/>
  <c r="K35"/>
  <c r="K69"/>
  <c r="K66"/>
  <c r="K121"/>
  <c r="K18"/>
  <c r="K22"/>
  <c r="K134"/>
  <c r="K171"/>
  <c r="K141"/>
  <c r="K28"/>
  <c r="K84"/>
  <c r="K62"/>
  <c r="K142"/>
  <c r="K182"/>
  <c r="K167"/>
  <c r="K127"/>
  <c r="K126"/>
  <c r="K81"/>
  <c r="N269" i="84"/>
  <c r="J269" s="1"/>
  <c r="N109"/>
  <c r="AL271"/>
  <c r="AL272" s="1"/>
  <c r="AL257"/>
  <c r="P235" i="85"/>
  <c r="AL263" i="84"/>
  <c r="AL266"/>
  <c r="N97"/>
  <c r="J97" s="1"/>
  <c r="H235" i="85"/>
  <c r="N107" i="84"/>
  <c r="J107" s="1"/>
  <c r="R235" i="85"/>
  <c r="N259" i="84"/>
  <c r="J259" s="1"/>
  <c r="E235" i="85"/>
  <c r="AH108" i="84"/>
  <c r="D235" i="85"/>
  <c r="AL256" i="84"/>
  <c r="R241" i="85"/>
  <c r="R242" s="1"/>
  <c r="N101" i="84"/>
  <c r="N94"/>
  <c r="L233" i="85"/>
  <c r="L236" s="1"/>
  <c r="J238"/>
  <c r="N100" i="84"/>
  <c r="J100" s="1"/>
  <c r="AL258"/>
  <c r="M235" i="85"/>
  <c r="C235"/>
  <c r="N95" i="84"/>
  <c r="J95" s="1"/>
  <c r="N105"/>
  <c r="J105" s="1"/>
  <c r="N104"/>
  <c r="J104" s="1"/>
  <c r="N235" i="85"/>
  <c r="N236" s="1"/>
  <c r="AL268" i="84"/>
  <c r="AH101"/>
  <c r="N258"/>
  <c r="O235" i="85"/>
  <c r="N96" i="84"/>
  <c r="AH109"/>
  <c r="N266"/>
  <c r="AL267"/>
  <c r="N106"/>
  <c r="J106" s="1"/>
  <c r="Q235" i="85"/>
  <c r="Q236" s="1"/>
  <c r="N268" i="84"/>
  <c r="AL255"/>
  <c r="N108"/>
  <c r="M239" i="85"/>
  <c r="N237"/>
  <c r="N240" s="1"/>
  <c r="Q237"/>
  <c r="Q240" s="1"/>
  <c r="F241"/>
  <c r="F242" s="1"/>
  <c r="M237"/>
  <c r="AH96" i="84"/>
  <c r="I241" i="85"/>
  <c r="I242" s="1"/>
  <c r="N241"/>
  <c r="N242" s="1"/>
  <c r="K234"/>
  <c r="S234" s="1"/>
  <c r="L237"/>
  <c r="L240" s="1"/>
  <c r="H233"/>
  <c r="H241"/>
  <c r="H242" s="1"/>
  <c r="G241"/>
  <c r="G242" s="1"/>
  <c r="O241"/>
  <c r="O242" s="1"/>
  <c r="AH94" i="84"/>
  <c r="I116" i="65"/>
  <c r="H27" i="70"/>
  <c r="H44" i="65"/>
  <c r="I242"/>
  <c r="H165"/>
  <c r="H149" s="1"/>
  <c r="N270" i="84"/>
  <c r="J270" s="1"/>
  <c r="H51" i="65"/>
  <c r="H50" s="1"/>
  <c r="P241" i="85"/>
  <c r="P242" s="1"/>
  <c r="R240"/>
  <c r="AL262" i="84"/>
  <c r="N267"/>
  <c r="AL281"/>
  <c r="AL286" s="1"/>
  <c r="I50" i="65"/>
  <c r="J239" i="85"/>
  <c r="H132" i="65"/>
  <c r="J284" i="84"/>
  <c r="J285" s="1"/>
  <c r="S251" i="85"/>
  <c r="S252" s="1"/>
  <c r="H25" i="65"/>
  <c r="P233" i="85"/>
  <c r="N123" i="84"/>
  <c r="J122"/>
  <c r="J123" s="1"/>
  <c r="J234" i="85"/>
  <c r="I32" i="65"/>
  <c r="K23" i="70"/>
  <c r="I22"/>
  <c r="K22" s="1"/>
  <c r="N257" i="84"/>
  <c r="K235" i="85"/>
  <c r="Q241"/>
  <c r="Q242" s="1"/>
  <c r="AL265" i="84"/>
  <c r="F252" i="85"/>
  <c r="J251"/>
  <c r="J252" s="1"/>
  <c r="H223" i="65"/>
  <c r="J115" i="84"/>
  <c r="AH119"/>
  <c r="AH124" s="1"/>
  <c r="G242" i="65"/>
  <c r="J245" i="85"/>
  <c r="F248"/>
  <c r="H116" i="65"/>
  <c r="I132"/>
  <c r="K238" i="85"/>
  <c r="S238" s="1"/>
  <c r="N262" i="84"/>
  <c r="I110" i="65"/>
  <c r="P237" i="85"/>
  <c r="P240" s="1"/>
  <c r="G248"/>
  <c r="G253" s="1"/>
  <c r="J246"/>
  <c r="I223" i="65"/>
  <c r="J118" i="84"/>
  <c r="N119"/>
  <c r="P253" i="85"/>
  <c r="R253"/>
  <c r="I18" i="70"/>
  <c r="K19"/>
  <c r="G146" i="65"/>
  <c r="K239" i="85"/>
  <c r="N246"/>
  <c r="N279" i="84"/>
  <c r="M245" i="85"/>
  <c r="N280" i="84"/>
  <c r="J280" s="1"/>
  <c r="E146" i="65" l="1"/>
  <c r="K181"/>
  <c r="K113"/>
  <c r="K82"/>
  <c r="K75"/>
  <c r="K30"/>
  <c r="K68"/>
  <c r="K47"/>
  <c r="K54"/>
  <c r="K55"/>
  <c r="K120"/>
  <c r="K185"/>
  <c r="K189"/>
  <c r="K188"/>
  <c r="K122"/>
  <c r="G237" i="85"/>
  <c r="G240" s="1"/>
  <c r="P236"/>
  <c r="P243" s="1"/>
  <c r="I233"/>
  <c r="I236" s="1"/>
  <c r="O233"/>
  <c r="O236" s="1"/>
  <c r="N263" i="84"/>
  <c r="J263" s="1"/>
  <c r="J257"/>
  <c r="H236" i="85"/>
  <c r="T238"/>
  <c r="W238" s="1"/>
  <c r="AA238" s="1"/>
  <c r="J266" i="84"/>
  <c r="J109"/>
  <c r="J235" i="85"/>
  <c r="J101" i="84"/>
  <c r="J108"/>
  <c r="H237" i="85"/>
  <c r="H240" s="1"/>
  <c r="F233"/>
  <c r="F236" s="1"/>
  <c r="J267" i="84"/>
  <c r="L243" i="85"/>
  <c r="AL260" i="84"/>
  <c r="J94"/>
  <c r="J268"/>
  <c r="J258"/>
  <c r="N256"/>
  <c r="J256" s="1"/>
  <c r="I237" i="85"/>
  <c r="I240" s="1"/>
  <c r="AL261" i="84"/>
  <c r="AL264" s="1"/>
  <c r="N271"/>
  <c r="N272" s="1"/>
  <c r="M240" i="85"/>
  <c r="S239"/>
  <c r="T239" s="1"/>
  <c r="W239" s="1"/>
  <c r="AA239" s="1"/>
  <c r="J96" i="84"/>
  <c r="S235" i="85"/>
  <c r="M241"/>
  <c r="M242" s="1"/>
  <c r="AH103" i="84"/>
  <c r="AH110" s="1"/>
  <c r="F237" i="85"/>
  <c r="F240" s="1"/>
  <c r="R233"/>
  <c r="R236" s="1"/>
  <c r="R243" s="1"/>
  <c r="D233"/>
  <c r="D236" s="1"/>
  <c r="E233"/>
  <c r="E236" s="1"/>
  <c r="D237"/>
  <c r="D240" s="1"/>
  <c r="E241"/>
  <c r="E242" s="1"/>
  <c r="M233"/>
  <c r="M236" s="1"/>
  <c r="N243"/>
  <c r="R102" i="84"/>
  <c r="O237" i="85"/>
  <c r="O240" s="1"/>
  <c r="I25" i="65"/>
  <c r="I10" s="1"/>
  <c r="I70" s="1"/>
  <c r="H65" i="70"/>
  <c r="Q243" i="85"/>
  <c r="G110" i="65"/>
  <c r="I227"/>
  <c r="I225" s="1"/>
  <c r="H32"/>
  <c r="H10" s="1"/>
  <c r="H70" s="1"/>
  <c r="J262" i="84"/>
  <c r="H215" i="65"/>
  <c r="H94"/>
  <c r="K226"/>
  <c r="T251" i="85"/>
  <c r="W251" s="1"/>
  <c r="AA251" s="1"/>
  <c r="N124" i="84"/>
  <c r="J248" i="85"/>
  <c r="J253" s="1"/>
  <c r="Y253" s="1"/>
  <c r="I109" i="65"/>
  <c r="F253" i="85"/>
  <c r="I159" i="65"/>
  <c r="I149" s="1"/>
  <c r="K241" i="85"/>
  <c r="N265" i="84"/>
  <c r="J265" s="1"/>
  <c r="N248" i="85"/>
  <c r="N253" s="1"/>
  <c r="S246"/>
  <c r="T246" s="1"/>
  <c r="W246" s="1"/>
  <c r="AA246" s="1"/>
  <c r="K237"/>
  <c r="N261" i="84"/>
  <c r="G132" i="65"/>
  <c r="C241" i="85"/>
  <c r="R110" i="84"/>
  <c r="G150" i="65"/>
  <c r="K233" i="85"/>
  <c r="G123" i="65"/>
  <c r="G165"/>
  <c r="G227"/>
  <c r="G225" s="1"/>
  <c r="G179"/>
  <c r="G178" s="1"/>
  <c r="G177" s="1"/>
  <c r="G207" s="1"/>
  <c r="G233" i="85"/>
  <c r="G236" s="1"/>
  <c r="AH93" i="84"/>
  <c r="AH98" s="1"/>
  <c r="T234" i="85"/>
  <c r="W234" s="1"/>
  <c r="AA234" s="1"/>
  <c r="G64" i="65"/>
  <c r="K148"/>
  <c r="K146"/>
  <c r="H179"/>
  <c r="H178" s="1"/>
  <c r="H177" s="1"/>
  <c r="H207" s="1"/>
  <c r="H227"/>
  <c r="H225" s="1"/>
  <c r="H110"/>
  <c r="H109" s="1"/>
  <c r="H176" s="1"/>
  <c r="N281" i="84"/>
  <c r="N286" s="1"/>
  <c r="J279"/>
  <c r="J281" s="1"/>
  <c r="J286" s="1"/>
  <c r="Z113" i="85" s="1"/>
  <c r="G159" i="65"/>
  <c r="K18" i="70"/>
  <c r="I27"/>
  <c r="K27" s="1"/>
  <c r="K52" i="65"/>
  <c r="G12"/>
  <c r="G11" s="1"/>
  <c r="G44"/>
  <c r="G116"/>
  <c r="G32"/>
  <c r="G51"/>
  <c r="S245" i="85"/>
  <c r="M248"/>
  <c r="M253" s="1"/>
  <c r="G58" i="65"/>
  <c r="J119" i="84"/>
  <c r="J124" s="1"/>
  <c r="Y113" i="85" s="1"/>
  <c r="H88" i="65" l="1"/>
  <c r="H87" s="1"/>
  <c r="H86" s="1"/>
  <c r="K162"/>
  <c r="E150"/>
  <c r="K41"/>
  <c r="C146"/>
  <c r="D146"/>
  <c r="E58"/>
  <c r="K83"/>
  <c r="E51"/>
  <c r="E116"/>
  <c r="C116"/>
  <c r="C51"/>
  <c r="E159"/>
  <c r="L27" i="70"/>
  <c r="M27" s="1"/>
  <c r="D51" i="65"/>
  <c r="K74"/>
  <c r="E123"/>
  <c r="E226"/>
  <c r="E44"/>
  <c r="E12"/>
  <c r="E11" s="1"/>
  <c r="E32"/>
  <c r="E132"/>
  <c r="K40"/>
  <c r="E64"/>
  <c r="E165"/>
  <c r="AH99" i="84"/>
  <c r="AH102" s="1"/>
  <c r="AH111" s="1"/>
  <c r="I243" i="85"/>
  <c r="J271" i="84"/>
  <c r="J272" s="1"/>
  <c r="N255"/>
  <c r="J255" s="1"/>
  <c r="J260" s="1"/>
  <c r="O243" i="85"/>
  <c r="H243"/>
  <c r="T235"/>
  <c r="W235" s="1"/>
  <c r="AA235" s="1"/>
  <c r="F243"/>
  <c r="AL273" i="84"/>
  <c r="C237" i="85"/>
  <c r="C240" s="1"/>
  <c r="E237"/>
  <c r="E240" s="1"/>
  <c r="E243" s="1"/>
  <c r="N93" i="84"/>
  <c r="N98" s="1"/>
  <c r="N99"/>
  <c r="N102" s="1"/>
  <c r="N103"/>
  <c r="N110" s="1"/>
  <c r="M243" i="85"/>
  <c r="D241"/>
  <c r="D242" s="1"/>
  <c r="D243" s="1"/>
  <c r="R98" i="84"/>
  <c r="R111" s="1"/>
  <c r="C233" i="85"/>
  <c r="J233" s="1"/>
  <c r="J236" s="1"/>
  <c r="K239" i="65"/>
  <c r="K242"/>
  <c r="I179"/>
  <c r="I178" s="1"/>
  <c r="I177" s="1"/>
  <c r="I207" s="1"/>
  <c r="W252" i="85"/>
  <c r="AA252" s="1"/>
  <c r="H231" i="65"/>
  <c r="H229" s="1"/>
  <c r="H228" s="1"/>
  <c r="T252" i="85"/>
  <c r="I214" i="65"/>
  <c r="H214"/>
  <c r="H213" s="1"/>
  <c r="H79"/>
  <c r="H73" s="1"/>
  <c r="H72" s="1"/>
  <c r="H71" s="1"/>
  <c r="H101" s="1"/>
  <c r="H102" s="1"/>
  <c r="I176"/>
  <c r="K33"/>
  <c r="K32"/>
  <c r="K45"/>
  <c r="K44"/>
  <c r="K65"/>
  <c r="K64"/>
  <c r="S233" i="85"/>
  <c r="K236"/>
  <c r="K152" i="65"/>
  <c r="K240" i="85"/>
  <c r="S237"/>
  <c r="G149" i="65"/>
  <c r="K58"/>
  <c r="K59"/>
  <c r="T245" i="85"/>
  <c r="W245" s="1"/>
  <c r="AA245" s="1"/>
  <c r="S248"/>
  <c r="S253" s="1"/>
  <c r="Z253" s="1"/>
  <c r="K51" i="65"/>
  <c r="G25"/>
  <c r="G10" s="1"/>
  <c r="K124"/>
  <c r="K123"/>
  <c r="J261" i="84"/>
  <c r="J264" s="1"/>
  <c r="N264"/>
  <c r="I94" i="65"/>
  <c r="I215"/>
  <c r="G243" i="85"/>
  <c r="G223" i="65"/>
  <c r="C242" i="85"/>
  <c r="K132" i="65"/>
  <c r="K133"/>
  <c r="K161"/>
  <c r="K159"/>
  <c r="K118"/>
  <c r="K116"/>
  <c r="K13"/>
  <c r="K166"/>
  <c r="K165"/>
  <c r="K242" i="85"/>
  <c r="S241"/>
  <c r="G50" i="65"/>
  <c r="H208"/>
  <c r="G109"/>
  <c r="D64" l="1"/>
  <c r="C64"/>
  <c r="D12"/>
  <c r="D11" s="1"/>
  <c r="C12"/>
  <c r="C11" s="1"/>
  <c r="D116"/>
  <c r="C165"/>
  <c r="D165"/>
  <c r="D32"/>
  <c r="C32"/>
  <c r="D123"/>
  <c r="C123"/>
  <c r="E149"/>
  <c r="E110"/>
  <c r="E109" s="1"/>
  <c r="E25"/>
  <c r="C132"/>
  <c r="D132"/>
  <c r="D159"/>
  <c r="C159"/>
  <c r="C58"/>
  <c r="D58"/>
  <c r="D150"/>
  <c r="C150"/>
  <c r="D226"/>
  <c r="C226"/>
  <c r="E223"/>
  <c r="E242"/>
  <c r="D44"/>
  <c r="C44"/>
  <c r="E50"/>
  <c r="E10"/>
  <c r="N260" i="84"/>
  <c r="N273" s="1"/>
  <c r="J103"/>
  <c r="J110" s="1"/>
  <c r="J93"/>
  <c r="J98" s="1"/>
  <c r="J99"/>
  <c r="J102" s="1"/>
  <c r="J237" i="85"/>
  <c r="J240" s="1"/>
  <c r="J241"/>
  <c r="J242" s="1"/>
  <c r="C236"/>
  <c r="C243" s="1"/>
  <c r="I208" i="65"/>
  <c r="I79"/>
  <c r="I224" s="1"/>
  <c r="I222" s="1"/>
  <c r="I221" s="1"/>
  <c r="K227"/>
  <c r="K180"/>
  <c r="I213"/>
  <c r="H224"/>
  <c r="H222" s="1"/>
  <c r="H221" s="1"/>
  <c r="H220" s="1"/>
  <c r="G215"/>
  <c r="K50"/>
  <c r="S240" i="85"/>
  <c r="J273" i="84"/>
  <c r="Z103" i="85" s="1"/>
  <c r="K243"/>
  <c r="K25" i="65"/>
  <c r="K26"/>
  <c r="S236" i="85"/>
  <c r="T233"/>
  <c r="W233" s="1"/>
  <c r="AA233" s="1"/>
  <c r="K112" i="65"/>
  <c r="I88"/>
  <c r="I87" s="1"/>
  <c r="I86" s="1"/>
  <c r="I231"/>
  <c r="I229" s="1"/>
  <c r="I228" s="1"/>
  <c r="G176"/>
  <c r="G208" s="1"/>
  <c r="G79"/>
  <c r="K76"/>
  <c r="K223"/>
  <c r="S242" i="85"/>
  <c r="K12" i="65"/>
  <c r="K179"/>
  <c r="G214"/>
  <c r="G70"/>
  <c r="W248" i="85"/>
  <c r="T248"/>
  <c r="T253" s="1"/>
  <c r="K149" i="65"/>
  <c r="K150"/>
  <c r="G94"/>
  <c r="N111" i="84"/>
  <c r="E94" i="65" l="1"/>
  <c r="W253" i="85"/>
  <c r="AA253" s="1"/>
  <c r="AA248"/>
  <c r="D149" i="65"/>
  <c r="D94" s="1"/>
  <c r="C149"/>
  <c r="E215"/>
  <c r="E176"/>
  <c r="C50"/>
  <c r="D50"/>
  <c r="D110"/>
  <c r="D109" s="1"/>
  <c r="C110"/>
  <c r="C109" s="1"/>
  <c r="D25"/>
  <c r="D10" s="1"/>
  <c r="C25"/>
  <c r="C10" s="1"/>
  <c r="E70"/>
  <c r="E214"/>
  <c r="D242"/>
  <c r="C242"/>
  <c r="E227"/>
  <c r="E225" s="1"/>
  <c r="E178"/>
  <c r="E177" s="1"/>
  <c r="E207" s="1"/>
  <c r="D223"/>
  <c r="C223"/>
  <c r="J111" i="84"/>
  <c r="Y103" i="85" s="1"/>
  <c r="T237"/>
  <c r="W237" s="1"/>
  <c r="J243"/>
  <c r="Y243" s="1"/>
  <c r="T241"/>
  <c r="W241" s="1"/>
  <c r="I220" i="65"/>
  <c r="I73"/>
  <c r="I72" s="1"/>
  <c r="I71" s="1"/>
  <c r="I101" s="1"/>
  <c r="I102" s="1"/>
  <c r="K225"/>
  <c r="G213"/>
  <c r="G224"/>
  <c r="G222" s="1"/>
  <c r="G221" s="1"/>
  <c r="G73"/>
  <c r="G72" s="1"/>
  <c r="G71" s="1"/>
  <c r="K178"/>
  <c r="K110"/>
  <c r="K215"/>
  <c r="G88"/>
  <c r="G87" s="1"/>
  <c r="G86" s="1"/>
  <c r="G231"/>
  <c r="G229" s="1"/>
  <c r="G228" s="1"/>
  <c r="S243" i="85"/>
  <c r="Z243" s="1"/>
  <c r="K11" i="65"/>
  <c r="T236" i="85"/>
  <c r="W236"/>
  <c r="AA236" s="1"/>
  <c r="C94" i="65" l="1"/>
  <c r="W240" i="85"/>
  <c r="AA240" s="1"/>
  <c r="AA237"/>
  <c r="W242"/>
  <c r="AA242" s="1"/>
  <c r="AA241"/>
  <c r="E79" i="65"/>
  <c r="C215"/>
  <c r="D215"/>
  <c r="E213"/>
  <c r="C176"/>
  <c r="E208"/>
  <c r="D176"/>
  <c r="D70"/>
  <c r="D214"/>
  <c r="D213" s="1"/>
  <c r="C214"/>
  <c r="C70"/>
  <c r="D227"/>
  <c r="D225" s="1"/>
  <c r="D178"/>
  <c r="D177" s="1"/>
  <c r="D207" s="1"/>
  <c r="T240" i="85"/>
  <c r="T242"/>
  <c r="G220" i="65"/>
  <c r="G101"/>
  <c r="G102" s="1"/>
  <c r="K109"/>
  <c r="K79"/>
  <c r="K10"/>
  <c r="K94"/>
  <c r="K177"/>
  <c r="D208" l="1"/>
  <c r="W243" i="85"/>
  <c r="AA243" s="1"/>
  <c r="D79" i="65"/>
  <c r="C213"/>
  <c r="C227"/>
  <c r="C225" s="1"/>
  <c r="C178"/>
  <c r="E73"/>
  <c r="E72" s="1"/>
  <c r="E71" s="1"/>
  <c r="E224"/>
  <c r="E222" s="1"/>
  <c r="E221" s="1"/>
  <c r="E231"/>
  <c r="E229" s="1"/>
  <c r="E228" s="1"/>
  <c r="E88"/>
  <c r="E87" s="1"/>
  <c r="E86" s="1"/>
  <c r="T243" i="85"/>
  <c r="K176" i="65"/>
  <c r="K208"/>
  <c r="K207"/>
  <c r="K70"/>
  <c r="K73"/>
  <c r="K231"/>
  <c r="K88"/>
  <c r="K213"/>
  <c r="K214"/>
  <c r="K224"/>
  <c r="C177" l="1"/>
  <c r="C207" s="1"/>
  <c r="C208" s="1"/>
  <c r="C79"/>
  <c r="E101"/>
  <c r="E102" s="1"/>
  <c r="E220"/>
  <c r="D88"/>
  <c r="D87" s="1"/>
  <c r="D86" s="1"/>
  <c r="D231"/>
  <c r="D229" s="1"/>
  <c r="D228" s="1"/>
  <c r="D73"/>
  <c r="D72" s="1"/>
  <c r="D71" s="1"/>
  <c r="D224"/>
  <c r="D222" s="1"/>
  <c r="D221" s="1"/>
  <c r="K222"/>
  <c r="K228"/>
  <c r="K229"/>
  <c r="K87"/>
  <c r="K86"/>
  <c r="K72"/>
  <c r="D220" l="1"/>
  <c r="C88"/>
  <c r="C87" s="1"/>
  <c r="C86" s="1"/>
  <c r="C231"/>
  <c r="C229" s="1"/>
  <c r="C228" s="1"/>
  <c r="C73"/>
  <c r="C72" s="1"/>
  <c r="C71" s="1"/>
  <c r="C224"/>
  <c r="C222" s="1"/>
  <c r="C221" s="1"/>
  <c r="D101"/>
  <c r="D102" s="1"/>
  <c r="K221"/>
  <c r="K220"/>
  <c r="K71"/>
  <c r="C101" l="1"/>
  <c r="C102" s="1"/>
  <c r="C220"/>
  <c r="K101"/>
  <c r="K102"/>
  <c r="H74" i="70" l="1"/>
  <c r="I74" s="1"/>
  <c r="K74" s="1"/>
  <c r="H75" l="1"/>
  <c r="I75" s="1"/>
  <c r="K75" s="1"/>
  <c r="L218" i="85" l="1"/>
  <c r="L220"/>
  <c r="L219"/>
  <c r="E72" i="70"/>
  <c r="E76" s="1"/>
  <c r="E78" s="1"/>
  <c r="H73"/>
  <c r="L221" i="85" l="1"/>
  <c r="L224"/>
  <c r="L223"/>
  <c r="L227"/>
  <c r="L222"/>
  <c r="R220"/>
  <c r="O218"/>
  <c r="I219"/>
  <c r="H218"/>
  <c r="H219"/>
  <c r="N218"/>
  <c r="I220"/>
  <c r="N219"/>
  <c r="H220"/>
  <c r="F218"/>
  <c r="I218"/>
  <c r="Q218"/>
  <c r="F220"/>
  <c r="N220"/>
  <c r="L257"/>
  <c r="Q219"/>
  <c r="O219"/>
  <c r="R218"/>
  <c r="R219"/>
  <c r="Q220"/>
  <c r="F219"/>
  <c r="O220"/>
  <c r="H241" i="61"/>
  <c r="G9" i="72"/>
  <c r="G41" i="70"/>
  <c r="I41" s="1"/>
  <c r="K41" s="1"/>
  <c r="H72"/>
  <c r="H76" s="1"/>
  <c r="I73"/>
  <c r="I241" i="61"/>
  <c r="E16" i="70"/>
  <c r="AH44" i="84"/>
  <c r="G40" i="70"/>
  <c r="I40" s="1"/>
  <c r="K40" s="1"/>
  <c r="K241" i="67"/>
  <c r="C13" i="90"/>
  <c r="O221" i="85" l="1"/>
  <c r="AH23" i="84"/>
  <c r="AL237"/>
  <c r="AH18"/>
  <c r="AL213"/>
  <c r="AL242"/>
  <c r="AH26"/>
  <c r="AH64"/>
  <c r="AL201"/>
  <c r="AL186"/>
  <c r="AH16"/>
  <c r="AL180"/>
  <c r="L226" i="85"/>
  <c r="L228" s="1"/>
  <c r="AL229" i="84"/>
  <c r="AH77"/>
  <c r="AL248"/>
  <c r="I175" i="61"/>
  <c r="AL188" i="84"/>
  <c r="AL231"/>
  <c r="AH78"/>
  <c r="AL179"/>
  <c r="AH39"/>
  <c r="AL212"/>
  <c r="AH70"/>
  <c r="Q227" i="85"/>
  <c r="AL176" i="84"/>
  <c r="F221" i="85"/>
  <c r="AL184" i="84"/>
  <c r="AH71"/>
  <c r="AL202"/>
  <c r="AL178"/>
  <c r="AL210"/>
  <c r="AH66"/>
  <c r="AL246"/>
  <c r="AH14"/>
  <c r="AL194"/>
  <c r="H142" i="61"/>
  <c r="AH11" i="84"/>
  <c r="AL222"/>
  <c r="AL204"/>
  <c r="AL216"/>
  <c r="AH50"/>
  <c r="AH15"/>
  <c r="AH73"/>
  <c r="AH33"/>
  <c r="AH36"/>
  <c r="AH48"/>
  <c r="AH47"/>
  <c r="AH24"/>
  <c r="AH12"/>
  <c r="AL187"/>
  <c r="AH59"/>
  <c r="AL226"/>
  <c r="AH32"/>
  <c r="AL223"/>
  <c r="AH75"/>
  <c r="AL208"/>
  <c r="AH62"/>
  <c r="AH20"/>
  <c r="AH80"/>
  <c r="AL239"/>
  <c r="AH87"/>
  <c r="AL193"/>
  <c r="F227" i="85"/>
  <c r="AH56" i="84"/>
  <c r="AL189"/>
  <c r="AH51"/>
  <c r="AH63"/>
  <c r="AH67"/>
  <c r="AL230"/>
  <c r="AL203"/>
  <c r="AH52"/>
  <c r="AL217"/>
  <c r="AL173"/>
  <c r="AH40"/>
  <c r="AL225"/>
  <c r="AL205"/>
  <c r="AL181"/>
  <c r="H227" i="85"/>
  <c r="AL247" i="84"/>
  <c r="AH49"/>
  <c r="AH46"/>
  <c r="AH42"/>
  <c r="AH84"/>
  <c r="AH54"/>
  <c r="AH76"/>
  <c r="AH65"/>
  <c r="AH31"/>
  <c r="AH21"/>
  <c r="N221" i="85"/>
  <c r="AL241" i="84"/>
  <c r="H223" i="85"/>
  <c r="N222"/>
  <c r="AH69" i="84"/>
  <c r="AL198"/>
  <c r="H222" i="85"/>
  <c r="O227"/>
  <c r="I227"/>
  <c r="R222"/>
  <c r="F222"/>
  <c r="AH55" i="84"/>
  <c r="AH86"/>
  <c r="AL228"/>
  <c r="AL238"/>
  <c r="AH79"/>
  <c r="AH19"/>
  <c r="AL209"/>
  <c r="AL224"/>
  <c r="I163" i="61"/>
  <c r="AH27" i="84"/>
  <c r="AL182"/>
  <c r="AL174"/>
  <c r="AH58"/>
  <c r="L229" i="85"/>
  <c r="L230" s="1"/>
  <c r="AL206" i="84"/>
  <c r="AL227"/>
  <c r="AL218"/>
  <c r="AH30"/>
  <c r="AL211"/>
  <c r="AL220"/>
  <c r="AL195"/>
  <c r="AH22"/>
  <c r="AH38"/>
  <c r="AH41"/>
  <c r="AL240"/>
  <c r="AH45"/>
  <c r="AH72"/>
  <c r="R221" i="85"/>
  <c r="H221"/>
  <c r="R227"/>
  <c r="O222"/>
  <c r="L256"/>
  <c r="Q221"/>
  <c r="N224"/>
  <c r="R223"/>
  <c r="I224"/>
  <c r="I222"/>
  <c r="Q224"/>
  <c r="R224"/>
  <c r="O223"/>
  <c r="I221"/>
  <c r="F223"/>
  <c r="H224"/>
  <c r="N227"/>
  <c r="Q223"/>
  <c r="O224"/>
  <c r="Q222"/>
  <c r="I223"/>
  <c r="F224"/>
  <c r="N223"/>
  <c r="AL234" i="84"/>
  <c r="AL177"/>
  <c r="AL183"/>
  <c r="AL185"/>
  <c r="AL236"/>
  <c r="AH25"/>
  <c r="AH74"/>
  <c r="AH60"/>
  <c r="AL232"/>
  <c r="AH53"/>
  <c r="AH43"/>
  <c r="AH68"/>
  <c r="AH85"/>
  <c r="AL199"/>
  <c r="AH29"/>
  <c r="AL215"/>
  <c r="AL214"/>
  <c r="AL191"/>
  <c r="AL221"/>
  <c r="AH17"/>
  <c r="AL207"/>
  <c r="AL235"/>
  <c r="AL233"/>
  <c r="H173" i="61"/>
  <c r="AL192" i="84"/>
  <c r="AH37"/>
  <c r="AL200"/>
  <c r="AL249"/>
  <c r="AH61"/>
  <c r="Q257" i="85"/>
  <c r="I257"/>
  <c r="M218"/>
  <c r="E220"/>
  <c r="D219"/>
  <c r="E219"/>
  <c r="L261"/>
  <c r="L262" s="1"/>
  <c r="E218"/>
  <c r="N178" i="84"/>
  <c r="H257" i="85"/>
  <c r="R226"/>
  <c r="L259"/>
  <c r="L260" s="1"/>
  <c r="N56" i="84"/>
  <c r="N50"/>
  <c r="D218" i="85"/>
  <c r="R257"/>
  <c r="N257"/>
  <c r="M220"/>
  <c r="M219"/>
  <c r="N49" i="84"/>
  <c r="O257" i="85"/>
  <c r="N226"/>
  <c r="D220"/>
  <c r="F257"/>
  <c r="Q229"/>
  <c r="Q230" s="1"/>
  <c r="H140" i="61"/>
  <c r="H145"/>
  <c r="H182"/>
  <c r="P23" i="68" s="1"/>
  <c r="H138" i="61"/>
  <c r="I125"/>
  <c r="I172"/>
  <c r="I158"/>
  <c r="H134"/>
  <c r="C10" i="90"/>
  <c r="I186" i="61"/>
  <c r="Q27" i="68" s="1"/>
  <c r="H171" i="61"/>
  <c r="H164"/>
  <c r="I191"/>
  <c r="Q32" i="68" s="1"/>
  <c r="H175" i="61"/>
  <c r="I154"/>
  <c r="I162"/>
  <c r="H131"/>
  <c r="I144"/>
  <c r="H167"/>
  <c r="H168"/>
  <c r="I143"/>
  <c r="I153"/>
  <c r="H137"/>
  <c r="F14" i="72"/>
  <c r="F15" s="1"/>
  <c r="F37" s="1"/>
  <c r="C40" i="90" s="1"/>
  <c r="H157" i="61"/>
  <c r="I134"/>
  <c r="I183"/>
  <c r="Q24" i="68" s="1"/>
  <c r="I173" i="61"/>
  <c r="I129"/>
  <c r="H158"/>
  <c r="H125"/>
  <c r="K155" i="64"/>
  <c r="K168"/>
  <c r="C11" i="90"/>
  <c r="X10" i="72"/>
  <c r="H226" i="67"/>
  <c r="K127"/>
  <c r="K129"/>
  <c r="K114" i="64"/>
  <c r="K114" i="67"/>
  <c r="K142"/>
  <c r="K157"/>
  <c r="K131" i="64"/>
  <c r="H163" i="61"/>
  <c r="I136"/>
  <c r="I126"/>
  <c r="I15"/>
  <c r="I155"/>
  <c r="H141"/>
  <c r="I140"/>
  <c r="K187" i="67"/>
  <c r="K175" i="64"/>
  <c r="AL172" i="84"/>
  <c r="P223" i="85"/>
  <c r="K137" i="67"/>
  <c r="I226"/>
  <c r="K190" i="64"/>
  <c r="K164" i="67"/>
  <c r="K126"/>
  <c r="K162" i="64"/>
  <c r="K173" i="67"/>
  <c r="AH13" i="84"/>
  <c r="G218" i="85"/>
  <c r="K191" i="67"/>
  <c r="K137" i="64"/>
  <c r="K162" i="67"/>
  <c r="K163"/>
  <c r="K156"/>
  <c r="K15"/>
  <c r="K183"/>
  <c r="I128" i="61"/>
  <c r="I137"/>
  <c r="H126"/>
  <c r="I157"/>
  <c r="H156"/>
  <c r="H172"/>
  <c r="I142"/>
  <c r="I130"/>
  <c r="I187"/>
  <c r="Q28" i="68" s="1"/>
  <c r="K183" i="64"/>
  <c r="K145" i="67"/>
  <c r="K184"/>
  <c r="K136" i="64"/>
  <c r="K15"/>
  <c r="K154" i="67"/>
  <c r="G227" i="85"/>
  <c r="AH83" i="84"/>
  <c r="K153" i="64"/>
  <c r="K140"/>
  <c r="K140" i="67"/>
  <c r="P220" i="85"/>
  <c r="AL197" i="84"/>
  <c r="K145" i="64"/>
  <c r="K163"/>
  <c r="K142"/>
  <c r="K138" i="67"/>
  <c r="K172"/>
  <c r="K153"/>
  <c r="K130"/>
  <c r="K167" i="64"/>
  <c r="P221" i="85"/>
  <c r="AL190" i="84"/>
  <c r="K190" i="67"/>
  <c r="H128" i="61"/>
  <c r="I145"/>
  <c r="I174"/>
  <c r="I171"/>
  <c r="I141"/>
  <c r="H186"/>
  <c r="P27" i="68" s="1"/>
  <c r="I127" i="61"/>
  <c r="I167"/>
  <c r="I135"/>
  <c r="P224" i="85"/>
  <c r="AL171" i="84"/>
  <c r="K135" i="67"/>
  <c r="K73" i="70"/>
  <c r="I72"/>
  <c r="K172" i="64"/>
  <c r="K169" i="67"/>
  <c r="AL175" i="84"/>
  <c r="P218" i="85"/>
  <c r="AH35" i="84"/>
  <c r="G220" i="85"/>
  <c r="K127" i="64"/>
  <c r="C220" i="85"/>
  <c r="C223"/>
  <c r="K156" i="64"/>
  <c r="K135"/>
  <c r="K182"/>
  <c r="K186"/>
  <c r="H191" i="61"/>
  <c r="P32" i="68" s="1"/>
  <c r="H129" i="61"/>
  <c r="H190"/>
  <c r="P31" i="68" s="1"/>
  <c r="H155" i="61"/>
  <c r="I182"/>
  <c r="Q23" i="68" s="1"/>
  <c r="I169" i="61"/>
  <c r="H114"/>
  <c r="P11" i="68" s="1"/>
  <c r="I138" i="61"/>
  <c r="I131"/>
  <c r="H187"/>
  <c r="P28" i="68" s="1"/>
  <c r="H127" i="61"/>
  <c r="H144"/>
  <c r="G223" i="85"/>
  <c r="AH10" i="84"/>
  <c r="K128" i="64"/>
  <c r="K187"/>
  <c r="K134" i="67"/>
  <c r="K125"/>
  <c r="K131"/>
  <c r="I11" i="70"/>
  <c r="I9" s="1"/>
  <c r="F16"/>
  <c r="K126" i="64"/>
  <c r="P227" i="85"/>
  <c r="AL245" i="84"/>
  <c r="K154" i="64"/>
  <c r="K144" i="67"/>
  <c r="C219" i="85"/>
  <c r="H174" i="61"/>
  <c r="H135"/>
  <c r="H154"/>
  <c r="H169"/>
  <c r="I114"/>
  <c r="Q11" i="68" s="1"/>
  <c r="G221" i="85"/>
  <c r="AH28" i="84"/>
  <c r="K134" i="64"/>
  <c r="K174" i="67"/>
  <c r="K158"/>
  <c r="K241" i="64"/>
  <c r="L76" i="70"/>
  <c r="M76" s="1"/>
  <c r="K157" i="64"/>
  <c r="K129"/>
  <c r="K182" i="67"/>
  <c r="K155"/>
  <c r="C227" i="85"/>
  <c r="K175" i="67"/>
  <c r="G39" i="70"/>
  <c r="E38"/>
  <c r="E46" s="1"/>
  <c r="K125" i="64"/>
  <c r="K141" i="67"/>
  <c r="H12" i="72"/>
  <c r="D13" i="90"/>
  <c r="K167" i="67"/>
  <c r="AL196" i="84"/>
  <c r="P219" i="85"/>
  <c r="K171" i="67"/>
  <c r="K171" i="64"/>
  <c r="K186" i="67"/>
  <c r="K141" i="64"/>
  <c r="K168" i="67"/>
  <c r="K143" i="64"/>
  <c r="K158"/>
  <c r="P222" i="85"/>
  <c r="AL219" i="84"/>
  <c r="H183" i="61"/>
  <c r="P24" i="68" s="1"/>
  <c r="I164" i="61"/>
  <c r="H143"/>
  <c r="I156"/>
  <c r="I168"/>
  <c r="H136"/>
  <c r="H162"/>
  <c r="H153"/>
  <c r="H130"/>
  <c r="K191" i="64"/>
  <c r="G224" i="85"/>
  <c r="AH9" i="84"/>
  <c r="K136" i="67"/>
  <c r="K143"/>
  <c r="K128"/>
  <c r="K138" i="64"/>
  <c r="K164"/>
  <c r="K174"/>
  <c r="K169"/>
  <c r="K173"/>
  <c r="C224" i="85"/>
  <c r="L217"/>
  <c r="L225" s="1"/>
  <c r="C222"/>
  <c r="AH34" i="84"/>
  <c r="G219" i="85"/>
  <c r="C221"/>
  <c r="C218"/>
  <c r="K130" i="64"/>
  <c r="AH57" i="84"/>
  <c r="G222" i="85"/>
  <c r="H78" i="70"/>
  <c r="G14" i="72"/>
  <c r="G15" s="1"/>
  <c r="G37" s="1"/>
  <c r="D40" i="90" s="1"/>
  <c r="H9" i="72"/>
  <c r="D10" i="90"/>
  <c r="I113" i="61"/>
  <c r="I190"/>
  <c r="Q31" i="68" s="1"/>
  <c r="H15" i="61"/>
  <c r="G241"/>
  <c r="N182" i="84" l="1"/>
  <c r="J182" s="1"/>
  <c r="N172"/>
  <c r="J172" s="1"/>
  <c r="N215"/>
  <c r="J215" s="1"/>
  <c r="N229"/>
  <c r="J229" s="1"/>
  <c r="N229" i="85"/>
  <c r="N230" s="1"/>
  <c r="N85" i="84"/>
  <c r="J85" s="1"/>
  <c r="N57"/>
  <c r="J57" s="1"/>
  <c r="N219"/>
  <c r="J219" s="1"/>
  <c r="N222"/>
  <c r="J222" s="1"/>
  <c r="N188"/>
  <c r="J188" s="1"/>
  <c r="N238"/>
  <c r="J238" s="1"/>
  <c r="AH130"/>
  <c r="N225"/>
  <c r="J225" s="1"/>
  <c r="N60"/>
  <c r="J60" s="1"/>
  <c r="N33"/>
  <c r="J33" s="1"/>
  <c r="N217"/>
  <c r="J217" s="1"/>
  <c r="N236"/>
  <c r="J236" s="1"/>
  <c r="N192"/>
  <c r="J192" s="1"/>
  <c r="N185"/>
  <c r="J185" s="1"/>
  <c r="N35"/>
  <c r="J35" s="1"/>
  <c r="N28"/>
  <c r="J28" s="1"/>
  <c r="N179"/>
  <c r="J179" s="1"/>
  <c r="N234"/>
  <c r="J234" s="1"/>
  <c r="N174"/>
  <c r="J174" s="1"/>
  <c r="N216"/>
  <c r="J216" s="1"/>
  <c r="N207"/>
  <c r="J207" s="1"/>
  <c r="N237"/>
  <c r="J237" s="1"/>
  <c r="N211"/>
  <c r="J211" s="1"/>
  <c r="N247"/>
  <c r="J247" s="1"/>
  <c r="N210"/>
  <c r="J210" s="1"/>
  <c r="N240"/>
  <c r="J240" s="1"/>
  <c r="N209"/>
  <c r="J209" s="1"/>
  <c r="N203"/>
  <c r="J203" s="1"/>
  <c r="N15"/>
  <c r="J15" s="1"/>
  <c r="N21"/>
  <c r="J21" s="1"/>
  <c r="N41"/>
  <c r="J41" s="1"/>
  <c r="N213"/>
  <c r="J213" s="1"/>
  <c r="N87"/>
  <c r="J87" s="1"/>
  <c r="R229" i="85"/>
  <c r="R230" s="1"/>
  <c r="N239" i="84"/>
  <c r="J239" s="1"/>
  <c r="N42"/>
  <c r="J42" s="1"/>
  <c r="N204"/>
  <c r="J204" s="1"/>
  <c r="N206"/>
  <c r="J206" s="1"/>
  <c r="N62"/>
  <c r="J62" s="1"/>
  <c r="J178"/>
  <c r="N10"/>
  <c r="J10" s="1"/>
  <c r="N191"/>
  <c r="J191" s="1"/>
  <c r="J50"/>
  <c r="F256" i="85"/>
  <c r="N76" i="84"/>
  <c r="J76" s="1"/>
  <c r="N26"/>
  <c r="J26" s="1"/>
  <c r="N232"/>
  <c r="J232" s="1"/>
  <c r="N53"/>
  <c r="J53" s="1"/>
  <c r="N20"/>
  <c r="J20" s="1"/>
  <c r="I256" i="85"/>
  <c r="N231" i="84"/>
  <c r="J231" s="1"/>
  <c r="N13"/>
  <c r="J13" s="1"/>
  <c r="N212"/>
  <c r="J212" s="1"/>
  <c r="N242"/>
  <c r="J242" s="1"/>
  <c r="N214"/>
  <c r="J214" s="1"/>
  <c r="N202"/>
  <c r="J202" s="1"/>
  <c r="N40"/>
  <c r="J40" s="1"/>
  <c r="N198"/>
  <c r="J198" s="1"/>
  <c r="N58"/>
  <c r="J58" s="1"/>
  <c r="N65"/>
  <c r="J65" s="1"/>
  <c r="N199"/>
  <c r="J199" s="1"/>
  <c r="N180"/>
  <c r="J180" s="1"/>
  <c r="N177"/>
  <c r="J177" s="1"/>
  <c r="L255" i="85"/>
  <c r="L258" s="1"/>
  <c r="L263" s="1"/>
  <c r="N193" i="84"/>
  <c r="J193" s="1"/>
  <c r="N246"/>
  <c r="J246" s="1"/>
  <c r="N176"/>
  <c r="J176" s="1"/>
  <c r="N73"/>
  <c r="J73" s="1"/>
  <c r="N30"/>
  <c r="J30" s="1"/>
  <c r="N22"/>
  <c r="J22" s="1"/>
  <c r="N66"/>
  <c r="J66" s="1"/>
  <c r="R256" i="85"/>
  <c r="N11" i="84"/>
  <c r="J11" s="1"/>
  <c r="N31"/>
  <c r="J31" s="1"/>
  <c r="N29"/>
  <c r="J29" s="1"/>
  <c r="N19"/>
  <c r="J19" s="1"/>
  <c r="N69"/>
  <c r="J69" s="1"/>
  <c r="N54"/>
  <c r="J54" s="1"/>
  <c r="N23"/>
  <c r="J23" s="1"/>
  <c r="N27"/>
  <c r="J27" s="1"/>
  <c r="N32"/>
  <c r="J32" s="1"/>
  <c r="N235"/>
  <c r="J235" s="1"/>
  <c r="J49"/>
  <c r="N52"/>
  <c r="J52" s="1"/>
  <c r="N59"/>
  <c r="J59" s="1"/>
  <c r="N67"/>
  <c r="J67" s="1"/>
  <c r="N63"/>
  <c r="J63" s="1"/>
  <c r="J56"/>
  <c r="R228" i="85"/>
  <c r="AL292" i="84"/>
  <c r="N12"/>
  <c r="J12" s="1"/>
  <c r="N256" i="85"/>
  <c r="N86" i="84"/>
  <c r="J86" s="1"/>
  <c r="N46"/>
  <c r="J46" s="1"/>
  <c r="N61"/>
  <c r="J61" s="1"/>
  <c r="N36"/>
  <c r="J36" s="1"/>
  <c r="Q256" i="85"/>
  <c r="AL291" i="84"/>
  <c r="N227"/>
  <c r="J227" s="1"/>
  <c r="N183"/>
  <c r="J183" s="1"/>
  <c r="N34"/>
  <c r="J34" s="1"/>
  <c r="N189"/>
  <c r="J189" s="1"/>
  <c r="Q226" i="85"/>
  <c r="Q228" s="1"/>
  <c r="N186" i="84"/>
  <c r="J186" s="1"/>
  <c r="N194"/>
  <c r="J194" s="1"/>
  <c r="N17"/>
  <c r="J17" s="1"/>
  <c r="N9"/>
  <c r="J9" s="1"/>
  <c r="N51"/>
  <c r="J51" s="1"/>
  <c r="O256" i="85"/>
  <c r="N43" i="84"/>
  <c r="J43" s="1"/>
  <c r="N72"/>
  <c r="J72" s="1"/>
  <c r="N228" i="85"/>
  <c r="N70" i="84"/>
  <c r="J70" s="1"/>
  <c r="N75"/>
  <c r="J75" s="1"/>
  <c r="N25"/>
  <c r="J25" s="1"/>
  <c r="I77" i="61"/>
  <c r="I24" i="68" s="1"/>
  <c r="I21" i="61"/>
  <c r="N223" i="84"/>
  <c r="J223" s="1"/>
  <c r="N230"/>
  <c r="J230" s="1"/>
  <c r="J218" i="85"/>
  <c r="N205" i="84"/>
  <c r="J205" s="1"/>
  <c r="N201"/>
  <c r="J201" s="1"/>
  <c r="I68" i="61"/>
  <c r="N187" i="84"/>
  <c r="J187" s="1"/>
  <c r="N184"/>
  <c r="J184" s="1"/>
  <c r="N24"/>
  <c r="J24" s="1"/>
  <c r="N68"/>
  <c r="J68" s="1"/>
  <c r="M223" i="85"/>
  <c r="N47" i="84"/>
  <c r="J47" s="1"/>
  <c r="E223" i="85"/>
  <c r="D227"/>
  <c r="N224" i="84"/>
  <c r="J224" s="1"/>
  <c r="N208"/>
  <c r="J208" s="1"/>
  <c r="L231" i="85"/>
  <c r="N218" i="84"/>
  <c r="J218" s="1"/>
  <c r="N248"/>
  <c r="J248" s="1"/>
  <c r="H31" i="61"/>
  <c r="N200" i="84"/>
  <c r="J200" s="1"/>
  <c r="N233"/>
  <c r="J233" s="1"/>
  <c r="N221"/>
  <c r="J221" s="1"/>
  <c r="N241"/>
  <c r="J241" s="1"/>
  <c r="M227" i="85"/>
  <c r="N55" i="84"/>
  <c r="J55" s="1"/>
  <c r="N84"/>
  <c r="J84" s="1"/>
  <c r="N14"/>
  <c r="J14" s="1"/>
  <c r="N77"/>
  <c r="J77" s="1"/>
  <c r="N16"/>
  <c r="J16" s="1"/>
  <c r="N74"/>
  <c r="J74" s="1"/>
  <c r="D221" i="85"/>
  <c r="N79" i="84"/>
  <c r="J79" s="1"/>
  <c r="E221" i="85"/>
  <c r="N45" i="84"/>
  <c r="J45" s="1"/>
  <c r="N44"/>
  <c r="J44" s="1"/>
  <c r="M221" i="85"/>
  <c r="N249" i="84"/>
  <c r="J249" s="1"/>
  <c r="N181"/>
  <c r="J181" s="1"/>
  <c r="N228"/>
  <c r="J228" s="1"/>
  <c r="N48"/>
  <c r="J48" s="1"/>
  <c r="H256" i="85"/>
  <c r="N71" i="84"/>
  <c r="J71" s="1"/>
  <c r="M222" i="85"/>
  <c r="N37" i="84"/>
  <c r="J37" s="1"/>
  <c r="AH129"/>
  <c r="E224" i="85"/>
  <c r="E222"/>
  <c r="N39" i="84"/>
  <c r="J39" s="1"/>
  <c r="N226"/>
  <c r="J226" s="1"/>
  <c r="E227" i="85"/>
  <c r="M224"/>
  <c r="N38" i="84"/>
  <c r="J38" s="1"/>
  <c r="D223" i="85"/>
  <c r="N195" i="84"/>
  <c r="J195" s="1"/>
  <c r="N173"/>
  <c r="J173" s="1"/>
  <c r="N220"/>
  <c r="J220" s="1"/>
  <c r="D224" i="85"/>
  <c r="G164" i="61"/>
  <c r="N83" i="84"/>
  <c r="J83" s="1"/>
  <c r="G126" i="61"/>
  <c r="N80" i="84"/>
  <c r="J80" s="1"/>
  <c r="N64"/>
  <c r="J64" s="1"/>
  <c r="N78"/>
  <c r="J78" s="1"/>
  <c r="F229" i="85"/>
  <c r="F230" s="1"/>
  <c r="H217"/>
  <c r="H225" s="1"/>
  <c r="R261"/>
  <c r="R262" s="1"/>
  <c r="E257"/>
  <c r="O229"/>
  <c r="O230" s="1"/>
  <c r="F226"/>
  <c r="F228" s="1"/>
  <c r="M226"/>
  <c r="Q259"/>
  <c r="Q260" s="1"/>
  <c r="M257"/>
  <c r="R255"/>
  <c r="N127" i="84"/>
  <c r="D257" i="85"/>
  <c r="I217"/>
  <c r="I225" s="1"/>
  <c r="Q261"/>
  <c r="Q262" s="1"/>
  <c r="M229"/>
  <c r="M230" s="1"/>
  <c r="I226"/>
  <c r="I228" s="1"/>
  <c r="N217"/>
  <c r="N225" s="1"/>
  <c r="N255"/>
  <c r="N261"/>
  <c r="N262" s="1"/>
  <c r="I121" i="61"/>
  <c r="I37"/>
  <c r="G173"/>
  <c r="I47"/>
  <c r="I181"/>
  <c r="Q22" i="68" s="1"/>
  <c r="H43" i="61"/>
  <c r="I119"/>
  <c r="H122"/>
  <c r="H36"/>
  <c r="I42"/>
  <c r="H119"/>
  <c r="G129"/>
  <c r="I19"/>
  <c r="H21"/>
  <c r="H23"/>
  <c r="K188" i="67"/>
  <c r="G154" i="61"/>
  <c r="D222" i="85"/>
  <c r="H120" i="61"/>
  <c r="G157"/>
  <c r="I36"/>
  <c r="H27"/>
  <c r="H19"/>
  <c r="I38"/>
  <c r="G137"/>
  <c r="D15" i="90"/>
  <c r="D16" s="1"/>
  <c r="D38" s="1"/>
  <c r="D41" s="1"/>
  <c r="G127" i="61"/>
  <c r="H54"/>
  <c r="H17"/>
  <c r="I80"/>
  <c r="I27" i="68" s="1"/>
  <c r="X11" i="72"/>
  <c r="H20" i="61"/>
  <c r="H188"/>
  <c r="P29" i="68" s="1"/>
  <c r="I62" i="61"/>
  <c r="I54"/>
  <c r="H16"/>
  <c r="C12" i="90"/>
  <c r="C15" s="1"/>
  <c r="C16" s="1"/>
  <c r="C38" s="1"/>
  <c r="C41" s="1"/>
  <c r="H48" i="61"/>
  <c r="H69"/>
  <c r="G142"/>
  <c r="I31"/>
  <c r="G191"/>
  <c r="G15"/>
  <c r="G156"/>
  <c r="G187"/>
  <c r="I85"/>
  <c r="I32" i="68" s="1"/>
  <c r="G158" i="61"/>
  <c r="G174"/>
  <c r="H68"/>
  <c r="G169"/>
  <c r="G138"/>
  <c r="J220" i="85"/>
  <c r="I35" i="61"/>
  <c r="G172"/>
  <c r="I53"/>
  <c r="N18" i="84"/>
  <c r="J18" s="1"/>
  <c r="H113" i="61"/>
  <c r="I60"/>
  <c r="H67"/>
  <c r="I48"/>
  <c r="H14"/>
  <c r="H53"/>
  <c r="I16"/>
  <c r="K119" i="67"/>
  <c r="G182" i="61"/>
  <c r="G162"/>
  <c r="H39"/>
  <c r="I28"/>
  <c r="G171"/>
  <c r="H55"/>
  <c r="K122" i="64"/>
  <c r="I122" i="61"/>
  <c r="G145"/>
  <c r="G183"/>
  <c r="I188"/>
  <c r="Q29" i="68" s="1"/>
  <c r="H22" i="61"/>
  <c r="E65" i="70"/>
  <c r="E80" s="1"/>
  <c r="I55" i="61"/>
  <c r="H84"/>
  <c r="H31" i="68" s="1"/>
  <c r="H81" i="61"/>
  <c r="H28" i="68" s="1"/>
  <c r="H80" i="61"/>
  <c r="H27" i="68" s="1"/>
  <c r="H34" i="61"/>
  <c r="K222" i="85"/>
  <c r="G125" i="61"/>
  <c r="G114"/>
  <c r="O11" i="68" s="1"/>
  <c r="H29" i="61"/>
  <c r="I56"/>
  <c r="G153"/>
  <c r="K119" i="64"/>
  <c r="K18"/>
  <c r="K67" i="67"/>
  <c r="K48" i="64"/>
  <c r="I58" i="67"/>
  <c r="K56"/>
  <c r="G256" i="85"/>
  <c r="AH127" i="84"/>
  <c r="K39" i="64"/>
  <c r="K80" i="67"/>
  <c r="K113" i="64"/>
  <c r="K60"/>
  <c r="K77"/>
  <c r="K84" i="67"/>
  <c r="I150"/>
  <c r="K39"/>
  <c r="K69"/>
  <c r="K37"/>
  <c r="N197" i="84"/>
  <c r="J197" s="1"/>
  <c r="K220" i="85"/>
  <c r="S220" s="1"/>
  <c r="I123" i="67"/>
  <c r="AH128" i="84"/>
  <c r="G257" i="85"/>
  <c r="G130" i="61"/>
  <c r="H61"/>
  <c r="G163"/>
  <c r="G168"/>
  <c r="H46"/>
  <c r="I12" i="67"/>
  <c r="I11" s="1"/>
  <c r="AL289" i="84"/>
  <c r="P256" i="85"/>
  <c r="K55" i="67"/>
  <c r="G148" i="61"/>
  <c r="K227" i="85"/>
  <c r="N245" i="84"/>
  <c r="J245" s="1"/>
  <c r="K47" i="64"/>
  <c r="K27" i="67"/>
  <c r="K81"/>
  <c r="G239" i="61"/>
  <c r="K16" i="67"/>
  <c r="K85" i="64"/>
  <c r="K224" i="85"/>
  <c r="N171" i="84"/>
  <c r="J171" s="1"/>
  <c r="I64" i="67"/>
  <c r="I67" i="61"/>
  <c r="I81"/>
  <c r="I28" i="68" s="1"/>
  <c r="G136" i="61"/>
  <c r="H42"/>
  <c r="H38"/>
  <c r="H181"/>
  <c r="P22" i="68" s="1"/>
  <c r="H18" i="61"/>
  <c r="K31" i="64"/>
  <c r="K69"/>
  <c r="H80" i="70"/>
  <c r="I242" i="64"/>
  <c r="P226" i="85"/>
  <c r="P228" s="1"/>
  <c r="AL244" i="84"/>
  <c r="AL250" s="1"/>
  <c r="K34" i="67"/>
  <c r="K54" i="64"/>
  <c r="K38" i="67"/>
  <c r="K181" i="64"/>
  <c r="H150" i="67"/>
  <c r="K61" i="64"/>
  <c r="K80"/>
  <c r="K17" i="67"/>
  <c r="K14" i="64"/>
  <c r="G242"/>
  <c r="K68" i="67"/>
  <c r="K120" i="64"/>
  <c r="AL290" i="84"/>
  <c r="P257" i="85"/>
  <c r="K35" i="64"/>
  <c r="H64" i="67"/>
  <c r="K21" i="64"/>
  <c r="K28"/>
  <c r="G185" i="61"/>
  <c r="H58" i="67"/>
  <c r="K42" i="64"/>
  <c r="K62"/>
  <c r="G131" i="61"/>
  <c r="H189"/>
  <c r="P30" i="68" s="1"/>
  <c r="I20" i="61"/>
  <c r="H121"/>
  <c r="G167"/>
  <c r="I49"/>
  <c r="H35"/>
  <c r="K34" i="64"/>
  <c r="H51" i="67"/>
  <c r="H241" i="76"/>
  <c r="L78" i="70"/>
  <c r="M78" s="1"/>
  <c r="K241" i="61"/>
  <c r="K35" i="67"/>
  <c r="K62"/>
  <c r="K68" i="64"/>
  <c r="H44" i="67"/>
  <c r="G226" i="64"/>
  <c r="I39" i="70"/>
  <c r="G38"/>
  <c r="G46" s="1"/>
  <c r="K11"/>
  <c r="K66" i="64"/>
  <c r="K43" i="67"/>
  <c r="K20"/>
  <c r="K31"/>
  <c r="K38" i="64"/>
  <c r="K78"/>
  <c r="H12" i="67"/>
  <c r="H11" s="1"/>
  <c r="I146" i="64"/>
  <c r="K63"/>
  <c r="K189"/>
  <c r="K22"/>
  <c r="AL251" i="84"/>
  <c r="AL252" s="1"/>
  <c r="P229" i="85"/>
  <c r="P230" s="1"/>
  <c r="K43" i="64"/>
  <c r="K42" i="67"/>
  <c r="C256" i="85"/>
  <c r="H56" i="61"/>
  <c r="H62"/>
  <c r="I14"/>
  <c r="H78"/>
  <c r="H25" i="68" s="1"/>
  <c r="G128" i="61"/>
  <c r="I18"/>
  <c r="I17"/>
  <c r="H85"/>
  <c r="H32" i="68" s="1"/>
  <c r="H37" i="61"/>
  <c r="K121" i="64"/>
  <c r="K113" i="67"/>
  <c r="I78" i="61"/>
  <c r="I25" i="68" s="1"/>
  <c r="I66" i="61"/>
  <c r="G175"/>
  <c r="K20" i="64"/>
  <c r="K29" i="67"/>
  <c r="K56" i="64"/>
  <c r="K61" i="67"/>
  <c r="E13" i="90"/>
  <c r="I12" i="72"/>
  <c r="K22" i="67"/>
  <c r="N196" i="84"/>
  <c r="J196" s="1"/>
  <c r="K219" i="85"/>
  <c r="S219" s="1"/>
  <c r="I185" i="61"/>
  <c r="I226" i="64"/>
  <c r="K54" i="67"/>
  <c r="K77"/>
  <c r="K36" i="64"/>
  <c r="K46"/>
  <c r="K23" i="67"/>
  <c r="H226" i="64"/>
  <c r="H185" i="61"/>
  <c r="I76" i="70"/>
  <c r="K72"/>
  <c r="K27" i="64"/>
  <c r="I165" i="67"/>
  <c r="K46"/>
  <c r="K23" i="64"/>
  <c r="I44" i="67"/>
  <c r="K67" i="64"/>
  <c r="K223" i="85"/>
  <c r="K120" i="67"/>
  <c r="K79" i="64"/>
  <c r="I84" i="61"/>
  <c r="I31" i="68" s="1"/>
  <c r="G134" i="61"/>
  <c r="K181" i="67"/>
  <c r="I22" i="61"/>
  <c r="I61"/>
  <c r="I39"/>
  <c r="H28"/>
  <c r="K55" i="64"/>
  <c r="C257" i="85"/>
  <c r="K49" i="67"/>
  <c r="K49" i="64"/>
  <c r="K63" i="67"/>
  <c r="H123"/>
  <c r="K36"/>
  <c r="E10" i="90"/>
  <c r="H14" i="72"/>
  <c r="H15" s="1"/>
  <c r="H37" s="1"/>
  <c r="E40" i="90" s="1"/>
  <c r="I9" i="72"/>
  <c r="I146" i="67"/>
  <c r="I132" s="1"/>
  <c r="K19" i="64"/>
  <c r="K188"/>
  <c r="I242" i="67"/>
  <c r="H146" i="64"/>
  <c r="H242" i="67"/>
  <c r="H159"/>
  <c r="K48"/>
  <c r="F65" i="70"/>
  <c r="F80" s="1"/>
  <c r="K53" i="67"/>
  <c r="K37" i="64"/>
  <c r="K19" i="67"/>
  <c r="H165"/>
  <c r="K17" i="64"/>
  <c r="I51" i="67"/>
  <c r="G146" i="64"/>
  <c r="K47" i="67"/>
  <c r="H242" i="64"/>
  <c r="K16"/>
  <c r="K28" i="67"/>
  <c r="I46" i="61"/>
  <c r="I43"/>
  <c r="I63"/>
  <c r="G143"/>
  <c r="G141"/>
  <c r="H60"/>
  <c r="H63"/>
  <c r="I69"/>
  <c r="G190"/>
  <c r="H49"/>
  <c r="K21" i="67"/>
  <c r="K66"/>
  <c r="K85"/>
  <c r="K60"/>
  <c r="K29" i="64"/>
  <c r="K78" i="67"/>
  <c r="I159"/>
  <c r="K84" i="64"/>
  <c r="K144"/>
  <c r="G144" i="61"/>
  <c r="K53" i="64"/>
  <c r="K18" i="67"/>
  <c r="K81" i="64"/>
  <c r="N190" i="84"/>
  <c r="J190" s="1"/>
  <c r="K221" i="85"/>
  <c r="H146" i="67"/>
  <c r="H132" s="1"/>
  <c r="K14"/>
  <c r="N175" i="84"/>
  <c r="J175" s="1"/>
  <c r="K218" i="85"/>
  <c r="S218" s="1"/>
  <c r="J219"/>
  <c r="I23" i="61"/>
  <c r="K189" i="67"/>
  <c r="H66" i="61"/>
  <c r="H47"/>
  <c r="I27"/>
  <c r="I34"/>
  <c r="G186"/>
  <c r="G135"/>
  <c r="H77"/>
  <c r="H24" i="68" s="1"/>
  <c r="I120" i="61"/>
  <c r="G140"/>
  <c r="I29"/>
  <c r="I189"/>
  <c r="Q30" i="68" s="1"/>
  <c r="G155" i="61"/>
  <c r="O217" i="85" l="1"/>
  <c r="O225" s="1"/>
  <c r="T218"/>
  <c r="W218" s="1"/>
  <c r="AA218" s="1"/>
  <c r="N258"/>
  <c r="Q255"/>
  <c r="Q258" s="1"/>
  <c r="Q263" s="1"/>
  <c r="G188" i="61"/>
  <c r="O29" i="68" s="1"/>
  <c r="Q217" i="85"/>
  <c r="Q225" s="1"/>
  <c r="Q231" s="1"/>
  <c r="K125" i="61"/>
  <c r="K169"/>
  <c r="I62" i="77"/>
  <c r="J62" s="1"/>
  <c r="H142" i="76"/>
  <c r="H129"/>
  <c r="H173"/>
  <c r="H126"/>
  <c r="K164" i="61"/>
  <c r="R217" i="85"/>
  <c r="R225" s="1"/>
  <c r="R231" s="1"/>
  <c r="H229"/>
  <c r="H230" s="1"/>
  <c r="S222"/>
  <c r="R258"/>
  <c r="J222"/>
  <c r="F217"/>
  <c r="F225" s="1"/>
  <c r="F231" s="1"/>
  <c r="L281"/>
  <c r="L283" s="1"/>
  <c r="N231"/>
  <c r="N291" i="84"/>
  <c r="J291" s="1"/>
  <c r="J224" i="85"/>
  <c r="J227"/>
  <c r="H226"/>
  <c r="H228" s="1"/>
  <c r="S223"/>
  <c r="G84" i="61"/>
  <c r="G31" i="68" s="1"/>
  <c r="J223" i="85"/>
  <c r="J221"/>
  <c r="N292" i="84"/>
  <c r="J292" s="1"/>
  <c r="M228" i="85"/>
  <c r="S227"/>
  <c r="N259"/>
  <c r="N260" s="1"/>
  <c r="S224"/>
  <c r="R259"/>
  <c r="R260" s="1"/>
  <c r="S221"/>
  <c r="M256"/>
  <c r="N128" i="84"/>
  <c r="J128" s="1"/>
  <c r="N130"/>
  <c r="J130" s="1"/>
  <c r="I229" i="85"/>
  <c r="I230" s="1"/>
  <c r="I231" s="1"/>
  <c r="E256"/>
  <c r="D217"/>
  <c r="D225" s="1"/>
  <c r="M261"/>
  <c r="M262" s="1"/>
  <c r="N129" i="84"/>
  <c r="J129" s="1"/>
  <c r="H255" i="85"/>
  <c r="H258" s="1"/>
  <c r="F255"/>
  <c r="F258" s="1"/>
  <c r="D256"/>
  <c r="M255"/>
  <c r="O226"/>
  <c r="O228" s="1"/>
  <c r="I259"/>
  <c r="I260" s="1"/>
  <c r="D229"/>
  <c r="D230" s="1"/>
  <c r="H259"/>
  <c r="H260" s="1"/>
  <c r="K126" i="61"/>
  <c r="O28" i="68"/>
  <c r="K173" i="61"/>
  <c r="H32" i="67"/>
  <c r="G81" i="61"/>
  <c r="H41"/>
  <c r="G27"/>
  <c r="G55"/>
  <c r="T220" i="85"/>
  <c r="W220" s="1"/>
  <c r="AA220" s="1"/>
  <c r="I50" i="67"/>
  <c r="J257" i="85"/>
  <c r="K129" i="61"/>
  <c r="G80"/>
  <c r="G27" i="68" s="1"/>
  <c r="K157" i="61"/>
  <c r="H157" i="76"/>
  <c r="H158"/>
  <c r="K158" i="61"/>
  <c r="G119"/>
  <c r="G20"/>
  <c r="G38"/>
  <c r="H137" i="76"/>
  <c r="K137" i="61"/>
  <c r="I32" i="67"/>
  <c r="H169" i="76"/>
  <c r="G56" i="61"/>
  <c r="I31" i="79"/>
  <c r="J31" s="1"/>
  <c r="H164" i="76"/>
  <c r="G37" i="61"/>
  <c r="G69"/>
  <c r="H125" i="76"/>
  <c r="I10" i="79"/>
  <c r="H138" i="76"/>
  <c r="K138" i="61"/>
  <c r="K153"/>
  <c r="K172"/>
  <c r="H153" i="76"/>
  <c r="G67" i="61"/>
  <c r="O24" i="68"/>
  <c r="K174" i="61"/>
  <c r="H174" i="76"/>
  <c r="O23" i="68"/>
  <c r="K142" i="61"/>
  <c r="O32" i="68"/>
  <c r="I75" i="61"/>
  <c r="I22" i="68" s="1"/>
  <c r="H40" i="61"/>
  <c r="I83"/>
  <c r="I30" i="68" s="1"/>
  <c r="G17" i="61"/>
  <c r="H172" i="76"/>
  <c r="G16" i="61"/>
  <c r="G36"/>
  <c r="H15" i="76"/>
  <c r="G29" i="61"/>
  <c r="K15"/>
  <c r="G49"/>
  <c r="I40"/>
  <c r="G34"/>
  <c r="J127" i="84"/>
  <c r="H50" i="67"/>
  <c r="G62" i="61"/>
  <c r="H239"/>
  <c r="H242" s="1"/>
  <c r="G78"/>
  <c r="G35"/>
  <c r="H148"/>
  <c r="H146" s="1"/>
  <c r="G23"/>
  <c r="G43"/>
  <c r="H171" i="76"/>
  <c r="K171" i="61"/>
  <c r="G60"/>
  <c r="G14"/>
  <c r="G85"/>
  <c r="G32" i="68" s="1"/>
  <c r="G59" i="61"/>
  <c r="H116" i="67"/>
  <c r="G65" i="70"/>
  <c r="G80" s="1"/>
  <c r="G152" i="61"/>
  <c r="H58" i="64"/>
  <c r="H59" i="61"/>
  <c r="H58" s="1"/>
  <c r="H11" i="69" s="1"/>
  <c r="K191" i="61"/>
  <c r="H191" i="76"/>
  <c r="AL170" i="84"/>
  <c r="AL243" s="1"/>
  <c r="AL253" s="1"/>
  <c r="P217" i="85"/>
  <c r="P225" s="1"/>
  <c r="P231" s="1"/>
  <c r="K127" i="61"/>
  <c r="H127" i="76"/>
  <c r="G32" i="64"/>
  <c r="K130" i="61"/>
  <c r="H130" i="76"/>
  <c r="K82" i="67"/>
  <c r="I45" i="61"/>
  <c r="I44" s="1"/>
  <c r="I15" i="68" s="1"/>
  <c r="I44" i="64"/>
  <c r="I82" i="61"/>
  <c r="I29" i="68" s="1"/>
  <c r="G120" i="61"/>
  <c r="G31"/>
  <c r="G47"/>
  <c r="G52"/>
  <c r="G13"/>
  <c r="H33"/>
  <c r="H32" i="64"/>
  <c r="H51"/>
  <c r="H52" i="61"/>
  <c r="H51" s="1"/>
  <c r="K146" i="64"/>
  <c r="K148"/>
  <c r="K229" i="85"/>
  <c r="N251" i="84"/>
  <c r="I25" i="67"/>
  <c r="K40" i="64"/>
  <c r="J12" i="72"/>
  <c r="K12" s="1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F13" i="90"/>
  <c r="K41" i="67"/>
  <c r="AH89" i="84"/>
  <c r="AH90" s="1"/>
  <c r="G229" i="85"/>
  <c r="G230" s="1"/>
  <c r="I124" i="61"/>
  <c r="I123" s="1"/>
  <c r="Q15" i="68" s="1"/>
  <c r="I123" i="64"/>
  <c r="G58"/>
  <c r="G51"/>
  <c r="K40" i="67"/>
  <c r="L16" i="70"/>
  <c r="M16" s="1"/>
  <c r="K242" i="64"/>
  <c r="K239"/>
  <c r="G159"/>
  <c r="H154" i="76"/>
  <c r="K154" i="61"/>
  <c r="K182"/>
  <c r="H182" i="76"/>
  <c r="I150" i="64"/>
  <c r="I152" i="61"/>
  <c r="I150" s="1"/>
  <c r="G54"/>
  <c r="I41"/>
  <c r="G48"/>
  <c r="I110" i="67"/>
  <c r="H123" i="64"/>
  <c r="H124" i="61"/>
  <c r="H123" s="1"/>
  <c r="P15" i="68" s="1"/>
  <c r="G124" i="61"/>
  <c r="K122" i="67"/>
  <c r="G122" i="61"/>
  <c r="G226" i="85"/>
  <c r="G228" s="1"/>
  <c r="AH82" i="84"/>
  <c r="AH88" s="1"/>
  <c r="H143" i="76"/>
  <c r="K143" i="61"/>
  <c r="G44" i="64"/>
  <c r="H150"/>
  <c r="H152" i="61"/>
  <c r="H150" s="1"/>
  <c r="G165" i="64"/>
  <c r="G146" i="61"/>
  <c r="G133"/>
  <c r="K82" i="64"/>
  <c r="R90" i="84"/>
  <c r="C229" i="85"/>
  <c r="I58" i="64"/>
  <c r="I59" i="61"/>
  <c r="I58" s="1"/>
  <c r="I11" i="69" s="1"/>
  <c r="G116" i="64"/>
  <c r="K75"/>
  <c r="H163" i="76"/>
  <c r="K163" i="61"/>
  <c r="H116" i="64"/>
  <c r="H82" i="61"/>
  <c r="H29" i="68" s="1"/>
  <c r="G19" i="61"/>
  <c r="G46"/>
  <c r="G77"/>
  <c r="G242"/>
  <c r="H161"/>
  <c r="H159" s="1"/>
  <c r="P11" i="69" s="1"/>
  <c r="H159" i="64"/>
  <c r="P259" i="85"/>
  <c r="P260" s="1"/>
  <c r="AL294" i="84"/>
  <c r="AL295" s="1"/>
  <c r="AL288"/>
  <c r="AL293" s="1"/>
  <c r="P255" i="85"/>
  <c r="P258" s="1"/>
  <c r="K83" i="64"/>
  <c r="N290" i="84"/>
  <c r="J290" s="1"/>
  <c r="K257" i="85"/>
  <c r="S257" s="1"/>
  <c r="G123" i="64"/>
  <c r="K128" i="61"/>
  <c r="H128" i="76"/>
  <c r="O26" i="68"/>
  <c r="G226" i="61"/>
  <c r="K183"/>
  <c r="H183" i="76"/>
  <c r="G161" i="61"/>
  <c r="H12" i="64"/>
  <c r="H11" s="1"/>
  <c r="H13" i="61"/>
  <c r="H12" s="1"/>
  <c r="H11" s="1"/>
  <c r="G64" i="64"/>
  <c r="G33" i="61"/>
  <c r="G242" i="67"/>
  <c r="G146"/>
  <c r="I27" i="79"/>
  <c r="J27" s="1"/>
  <c r="K145" i="61"/>
  <c r="H145" i="76"/>
  <c r="E15" i="90"/>
  <c r="E16" s="1"/>
  <c r="E38" s="1"/>
  <c r="E41" s="1"/>
  <c r="T219" i="85"/>
  <c r="W219" s="1"/>
  <c r="AA219" s="1"/>
  <c r="G66" i="61"/>
  <c r="H144" i="76"/>
  <c r="K144" i="61"/>
  <c r="K155"/>
  <c r="H155" i="76"/>
  <c r="O27" i="68"/>
  <c r="H223" i="67"/>
  <c r="K41" i="64"/>
  <c r="K134" i="61"/>
  <c r="H134" i="76"/>
  <c r="I226" i="61"/>
  <c r="Q26" i="68"/>
  <c r="K30" i="64"/>
  <c r="K162" i="61"/>
  <c r="H162" i="76"/>
  <c r="H131"/>
  <c r="K131" i="61"/>
  <c r="G226" i="67"/>
  <c r="I52" i="61"/>
  <c r="I51" s="1"/>
  <c r="I51" i="64"/>
  <c r="K136" i="61"/>
  <c r="H136" i="76"/>
  <c r="K75" i="67"/>
  <c r="G53" i="61"/>
  <c r="G189"/>
  <c r="I148"/>
  <c r="I146" s="1"/>
  <c r="G21"/>
  <c r="H149" i="67"/>
  <c r="I239" i="61"/>
  <c r="I242" s="1"/>
  <c r="G39"/>
  <c r="G18"/>
  <c r="I12" i="64"/>
  <c r="I11" s="1"/>
  <c r="I13" i="61"/>
  <c r="I12" s="1"/>
  <c r="I11" s="1"/>
  <c r="H132" i="64"/>
  <c r="H133" i="61"/>
  <c r="O31" i="68"/>
  <c r="K141" i="61"/>
  <c r="H141" i="76"/>
  <c r="K135" i="61"/>
  <c r="H135" i="76"/>
  <c r="G12" i="64"/>
  <c r="G11" s="1"/>
  <c r="H25" i="67"/>
  <c r="N244" i="84"/>
  <c r="K226" i="85"/>
  <c r="I159" i="64"/>
  <c r="I161" i="61"/>
  <c r="I159" s="1"/>
  <c r="Q11" i="69" s="1"/>
  <c r="I165" i="64"/>
  <c r="I166" i="61"/>
  <c r="I165" s="1"/>
  <c r="Q13" i="69" s="1"/>
  <c r="F10" i="90"/>
  <c r="I14" i="72"/>
  <c r="I15" s="1"/>
  <c r="I37" s="1"/>
  <c r="F40" i="90" s="1"/>
  <c r="J9" i="72"/>
  <c r="R88" i="84"/>
  <c r="C226" i="85"/>
  <c r="G45" i="61"/>
  <c r="H226"/>
  <c r="P26" i="68"/>
  <c r="P261" i="85"/>
  <c r="P262" s="1"/>
  <c r="AL296" i="84"/>
  <c r="AL297" s="1"/>
  <c r="I16" i="70"/>
  <c r="K9"/>
  <c r="K185" i="64"/>
  <c r="K226"/>
  <c r="H110" i="67"/>
  <c r="I65" i="61"/>
  <c r="I64" s="1"/>
  <c r="I13" i="69" s="1"/>
  <c r="I64" i="64"/>
  <c r="H165"/>
  <c r="H166" i="61"/>
  <c r="H165" s="1"/>
  <c r="P13" i="69" s="1"/>
  <c r="H75" i="61"/>
  <c r="H22" i="68" s="1"/>
  <c r="I30" i="61"/>
  <c r="G42"/>
  <c r="G28"/>
  <c r="H44" i="64"/>
  <c r="H45" i="61"/>
  <c r="H44" s="1"/>
  <c r="H15" i="68" s="1"/>
  <c r="K83" i="67"/>
  <c r="I33" i="61"/>
  <c r="I32" i="64"/>
  <c r="K140" i="61"/>
  <c r="H140" i="76"/>
  <c r="G150" i="64"/>
  <c r="H64"/>
  <c r="H65" i="61"/>
  <c r="H64" s="1"/>
  <c r="H13" i="69" s="1"/>
  <c r="I223" i="67"/>
  <c r="K30"/>
  <c r="I133" i="61"/>
  <c r="I132" i="64"/>
  <c r="K187" i="61"/>
  <c r="H187" i="76"/>
  <c r="AH8" i="84"/>
  <c r="AH81" s="1"/>
  <c r="G217" i="85"/>
  <c r="G225" s="1"/>
  <c r="H156" i="76"/>
  <c r="K156" i="61"/>
  <c r="I78" i="70"/>
  <c r="K78" s="1"/>
  <c r="K76"/>
  <c r="N289" i="84"/>
  <c r="J289" s="1"/>
  <c r="K256" i="85"/>
  <c r="R81" i="84"/>
  <c r="C217" i="85"/>
  <c r="K39" i="70"/>
  <c r="I38"/>
  <c r="K167" i="61"/>
  <c r="H167" i="76"/>
  <c r="G65" i="61"/>
  <c r="K121" i="67"/>
  <c r="G121" i="61"/>
  <c r="I116" i="67"/>
  <c r="H168" i="76"/>
  <c r="K168" i="61"/>
  <c r="G132" i="64"/>
  <c r="H83" i="61"/>
  <c r="H30" i="68" s="1"/>
  <c r="G22" i="61"/>
  <c r="G63"/>
  <c r="G68"/>
  <c r="G61"/>
  <c r="G181"/>
  <c r="H30"/>
  <c r="I149" i="67"/>
  <c r="G113" i="61"/>
  <c r="E226" l="1"/>
  <c r="T221" i="85"/>
  <c r="W221" s="1"/>
  <c r="AA221" s="1"/>
  <c r="O231"/>
  <c r="N263"/>
  <c r="N281" s="1"/>
  <c r="N283" s="1"/>
  <c r="Q281"/>
  <c r="Q283" s="1"/>
  <c r="H35" i="76"/>
  <c r="K36" i="61"/>
  <c r="H16" i="76"/>
  <c r="K37" i="61"/>
  <c r="H27" i="76"/>
  <c r="H231" i="85"/>
  <c r="T222"/>
  <c r="W222" s="1"/>
  <c r="D226"/>
  <c r="D228" s="1"/>
  <c r="D231" s="1"/>
  <c r="R263"/>
  <c r="R281" s="1"/>
  <c r="R283" s="1"/>
  <c r="T227"/>
  <c r="W227" s="1"/>
  <c r="AA227" s="1"/>
  <c r="M259"/>
  <c r="M260" s="1"/>
  <c r="I261"/>
  <c r="I262" s="1"/>
  <c r="O259"/>
  <c r="O260" s="1"/>
  <c r="F259"/>
  <c r="F260" s="1"/>
  <c r="T223"/>
  <c r="W223" s="1"/>
  <c r="AA223" s="1"/>
  <c r="F261"/>
  <c r="F262" s="1"/>
  <c r="T224"/>
  <c r="W224" s="1"/>
  <c r="AA224" s="1"/>
  <c r="E217"/>
  <c r="E225" s="1"/>
  <c r="I94" i="67"/>
  <c r="M258" i="85"/>
  <c r="S256"/>
  <c r="H10" i="67"/>
  <c r="H70" s="1"/>
  <c r="I255" i="85"/>
  <c r="I258" s="1"/>
  <c r="O255"/>
  <c r="O258" s="1"/>
  <c r="J256"/>
  <c r="N8" i="84"/>
  <c r="J8" s="1"/>
  <c r="J81" s="1"/>
  <c r="O261" i="85"/>
  <c r="O262" s="1"/>
  <c r="M217"/>
  <c r="M225" s="1"/>
  <c r="M231" s="1"/>
  <c r="N89" i="84"/>
  <c r="J89" s="1"/>
  <c r="J90" s="1"/>
  <c r="H261" i="85"/>
  <c r="H262" s="1"/>
  <c r="H263" s="1"/>
  <c r="N82" i="84"/>
  <c r="N88" s="1"/>
  <c r="E226" i="85"/>
  <c r="E228" s="1"/>
  <c r="K114" i="61"/>
  <c r="E229" i="85"/>
  <c r="E230" s="1"/>
  <c r="F19" i="75"/>
  <c r="V19" s="1"/>
  <c r="K119" i="61"/>
  <c r="H119" i="76"/>
  <c r="T257" i="85"/>
  <c r="W257" s="1"/>
  <c r="AA257" s="1"/>
  <c r="I10" i="67"/>
  <c r="I70" s="1"/>
  <c r="G28" i="68"/>
  <c r="H55" i="76"/>
  <c r="K55" i="61"/>
  <c r="H132"/>
  <c r="P16" i="68" s="1"/>
  <c r="G82" i="61"/>
  <c r="H37" i="76"/>
  <c r="H20"/>
  <c r="K20" i="61"/>
  <c r="K56"/>
  <c r="H56" i="76"/>
  <c r="H114"/>
  <c r="V326" i="84"/>
  <c r="V327" s="1"/>
  <c r="K60" i="61"/>
  <c r="H94" i="67"/>
  <c r="G231" i="85"/>
  <c r="H60" i="76"/>
  <c r="H109" i="67"/>
  <c r="K27" i="61"/>
  <c r="H32"/>
  <c r="H13" i="68" s="1"/>
  <c r="K38" i="61"/>
  <c r="H36" i="76"/>
  <c r="I68" i="77"/>
  <c r="J68" s="1"/>
  <c r="K16" i="61"/>
  <c r="H67" i="76"/>
  <c r="I132" i="61"/>
  <c r="Q16" i="68" s="1"/>
  <c r="G41" i="61"/>
  <c r="H14" i="76"/>
  <c r="H118" i="61"/>
  <c r="H116" s="1"/>
  <c r="P13" i="68" s="1"/>
  <c r="G25"/>
  <c r="AH91" i="84"/>
  <c r="H38" i="76"/>
  <c r="K35" i="61"/>
  <c r="I32" i="77"/>
  <c r="J32" s="1"/>
  <c r="K14" i="61"/>
  <c r="K67"/>
  <c r="I32"/>
  <c r="I13" i="68" s="1"/>
  <c r="K49" i="61"/>
  <c r="H49" i="76"/>
  <c r="R91" i="84"/>
  <c r="H215" i="67"/>
  <c r="G40" i="61"/>
  <c r="G64"/>
  <c r="G13" i="69" s="1"/>
  <c r="G159" i="61"/>
  <c r="O11" i="69" s="1"/>
  <c r="K53" i="61"/>
  <c r="H53" i="76"/>
  <c r="S229" i="85"/>
  <c r="K230"/>
  <c r="G165" i="67"/>
  <c r="H120" i="76"/>
  <c r="K120" i="61"/>
  <c r="K17"/>
  <c r="H17" i="76"/>
  <c r="I94" i="77"/>
  <c r="J94" s="1"/>
  <c r="H121" i="76"/>
  <c r="K121" i="61"/>
  <c r="I76"/>
  <c r="I223" i="64"/>
  <c r="K152"/>
  <c r="N296" i="84"/>
  <c r="K261" i="85"/>
  <c r="R135" i="84"/>
  <c r="C261" i="85"/>
  <c r="G12" i="61"/>
  <c r="G11" s="1"/>
  <c r="K239" i="67"/>
  <c r="K242"/>
  <c r="L46" i="70"/>
  <c r="M46" s="1"/>
  <c r="F226" i="61"/>
  <c r="K185"/>
  <c r="H185" i="76"/>
  <c r="H226" s="1"/>
  <c r="G123" i="61"/>
  <c r="O15" i="68" s="1"/>
  <c r="G110" i="64"/>
  <c r="G109" s="1"/>
  <c r="K45"/>
  <c r="K44"/>
  <c r="H122" i="76"/>
  <c r="K122" i="61"/>
  <c r="K59" i="64"/>
  <c r="K58"/>
  <c r="G83" i="61"/>
  <c r="G132"/>
  <c r="O16" i="68" s="1"/>
  <c r="I46" i="70"/>
  <c r="K46" s="1"/>
  <c r="K38"/>
  <c r="G24" i="68"/>
  <c r="G44" i="61"/>
  <c r="G15" i="68" s="1"/>
  <c r="K22" i="61"/>
  <c r="H22" i="76"/>
  <c r="K132" i="64"/>
  <c r="K133"/>
  <c r="G150" i="61"/>
  <c r="I9" i="68"/>
  <c r="K226" i="67"/>
  <c r="K185"/>
  <c r="K66" i="61"/>
  <c r="H66" i="76"/>
  <c r="K123" i="64"/>
  <c r="K124"/>
  <c r="G132" i="67"/>
  <c r="H179"/>
  <c r="H178" s="1"/>
  <c r="H177" s="1"/>
  <c r="H207" s="1"/>
  <c r="H227"/>
  <c r="H225" s="1"/>
  <c r="G73" i="64"/>
  <c r="G72" s="1"/>
  <c r="G71" s="1"/>
  <c r="G101" s="1"/>
  <c r="G224"/>
  <c r="G58" i="61"/>
  <c r="G11" i="69" s="1"/>
  <c r="J251" i="84"/>
  <c r="J252" s="1"/>
  <c r="N252"/>
  <c r="H78" i="76"/>
  <c r="K78" i="61"/>
  <c r="P263" i="85"/>
  <c r="P281" s="1"/>
  <c r="P283" s="1"/>
  <c r="F15" i="90"/>
  <c r="F16" s="1"/>
  <c r="F38" s="1"/>
  <c r="F41" s="1"/>
  <c r="H50" i="64"/>
  <c r="I215" i="67"/>
  <c r="K61" i="61"/>
  <c r="H61" i="76"/>
  <c r="H63"/>
  <c r="K63" i="61"/>
  <c r="K42"/>
  <c r="H42" i="76"/>
  <c r="H26" i="61"/>
  <c r="H25" s="1"/>
  <c r="H11" i="68" s="1"/>
  <c r="H25" i="64"/>
  <c r="H10" s="1"/>
  <c r="G112" i="61"/>
  <c r="G44" i="67"/>
  <c r="K13" i="64"/>
  <c r="I9" i="69"/>
  <c r="I8" s="1"/>
  <c r="I50" i="61"/>
  <c r="H223" i="64"/>
  <c r="H76" i="61"/>
  <c r="I112"/>
  <c r="I110" s="1"/>
  <c r="I110" i="64"/>
  <c r="I73"/>
  <c r="I72" s="1"/>
  <c r="I71" s="1"/>
  <c r="I101" s="1"/>
  <c r="I74" i="61"/>
  <c r="I224" i="64"/>
  <c r="N170" i="84"/>
  <c r="K217" i="85"/>
  <c r="I180" i="61"/>
  <c r="K159" i="64"/>
  <c r="K161"/>
  <c r="G51" i="61"/>
  <c r="I118"/>
  <c r="I116" s="1"/>
  <c r="Q13" i="68" s="1"/>
  <c r="I116" i="64"/>
  <c r="G76" i="61"/>
  <c r="H9" i="69"/>
  <c r="H8" s="1"/>
  <c r="H50" i="61"/>
  <c r="G51" i="67"/>
  <c r="H31" i="76"/>
  <c r="K31" i="61"/>
  <c r="G149" i="64"/>
  <c r="G75" i="61"/>
  <c r="H149" i="64"/>
  <c r="H113" i="76"/>
  <c r="K113" i="61"/>
  <c r="R133" i="84"/>
  <c r="C259" i="85"/>
  <c r="H9" i="68"/>
  <c r="I227" i="67"/>
  <c r="I225" s="1"/>
  <c r="I179"/>
  <c r="I178" s="1"/>
  <c r="I177" s="1"/>
  <c r="I207" s="1"/>
  <c r="H28" i="76"/>
  <c r="K28" i="61"/>
  <c r="K9" i="72"/>
  <c r="J14"/>
  <c r="J15" s="1"/>
  <c r="J37" s="1"/>
  <c r="J244" i="84"/>
  <c r="J250" s="1"/>
  <c r="N250"/>
  <c r="AH134"/>
  <c r="AH135" s="1"/>
  <c r="G261" i="85"/>
  <c r="G262" s="1"/>
  <c r="K34" i="61"/>
  <c r="H34" i="76"/>
  <c r="G159" i="67"/>
  <c r="H149" i="61"/>
  <c r="P9" i="69"/>
  <c r="P8" s="1"/>
  <c r="G25" i="64"/>
  <c r="G10" s="1"/>
  <c r="H54" i="76"/>
  <c r="K54" i="61"/>
  <c r="H110" i="64"/>
  <c r="H109" s="1"/>
  <c r="H112" i="61"/>
  <c r="H110" s="1"/>
  <c r="G12" i="67"/>
  <c r="G11" s="1"/>
  <c r="G150"/>
  <c r="I50" i="64"/>
  <c r="I149"/>
  <c r="G50"/>
  <c r="K259" i="85"/>
  <c r="N294" i="84"/>
  <c r="O22" i="68"/>
  <c r="G74" i="61"/>
  <c r="C225" i="85"/>
  <c r="G223" i="64"/>
  <c r="K190" i="61"/>
  <c r="H190" i="76"/>
  <c r="H62"/>
  <c r="K62" i="61"/>
  <c r="K29"/>
  <c r="H29" i="76"/>
  <c r="G123" i="67"/>
  <c r="K48" i="61"/>
  <c r="H48" i="76"/>
  <c r="Q9" i="69"/>
  <c r="Q8" s="1"/>
  <c r="I149" i="61"/>
  <c r="K52" i="64"/>
  <c r="H180" i="61"/>
  <c r="K16" i="70"/>
  <c r="G259" i="85"/>
  <c r="G260" s="1"/>
  <c r="AH132" i="84"/>
  <c r="AH133" s="1"/>
  <c r="C228" i="85"/>
  <c r="K228"/>
  <c r="S226"/>
  <c r="K81" i="61"/>
  <c r="H81" i="76"/>
  <c r="K39" i="61"/>
  <c r="H39" i="76"/>
  <c r="H21"/>
  <c r="K21" i="61"/>
  <c r="O30" i="68"/>
  <c r="I26" i="61"/>
  <c r="I25" s="1"/>
  <c r="I11" i="68" s="1"/>
  <c r="I25" i="64"/>
  <c r="I10" s="1"/>
  <c r="H186" i="76"/>
  <c r="K186" i="61"/>
  <c r="H23" i="76"/>
  <c r="K23" i="61"/>
  <c r="K146" i="67"/>
  <c r="K148"/>
  <c r="K64" i="64"/>
  <c r="K65"/>
  <c r="H19" i="76"/>
  <c r="K19" i="61"/>
  <c r="K165" i="64"/>
  <c r="K166"/>
  <c r="C255" i="85"/>
  <c r="R131" i="84"/>
  <c r="K32" i="64"/>
  <c r="K33"/>
  <c r="G58" i="67"/>
  <c r="AL298" i="84"/>
  <c r="AL321" s="1"/>
  <c r="I109" i="67"/>
  <c r="H69" i="76"/>
  <c r="K69" i="61"/>
  <c r="H68" i="76"/>
  <c r="K68" i="61"/>
  <c r="G64" i="67"/>
  <c r="K18" i="61"/>
  <c r="H18" i="76"/>
  <c r="AH126" i="84"/>
  <c r="AH131" s="1"/>
  <c r="G255" i="85"/>
  <c r="G258" s="1"/>
  <c r="K255"/>
  <c r="N288" i="84"/>
  <c r="G26" i="61"/>
  <c r="G32" i="67"/>
  <c r="H46" i="76"/>
  <c r="K46" i="61"/>
  <c r="H73" i="64"/>
  <c r="H72" s="1"/>
  <c r="H71" s="1"/>
  <c r="H101" s="1"/>
  <c r="H74" i="61"/>
  <c r="H224" i="64"/>
  <c r="K118"/>
  <c r="C230" i="85"/>
  <c r="H47" i="76"/>
  <c r="K47" i="61"/>
  <c r="G30"/>
  <c r="G166"/>
  <c r="H88" i="67" l="1"/>
  <c r="H87" s="1"/>
  <c r="H86" s="1"/>
  <c r="H199" i="64"/>
  <c r="I231" i="67"/>
  <c r="I229" s="1"/>
  <c r="I228" s="1"/>
  <c r="I199" i="64"/>
  <c r="AA222" i="85"/>
  <c r="D226" i="61"/>
  <c r="C226"/>
  <c r="H188" i="76"/>
  <c r="K188" i="61"/>
  <c r="K226"/>
  <c r="K40"/>
  <c r="K85"/>
  <c r="H84" i="76"/>
  <c r="H281" i="85"/>
  <c r="H283" s="1"/>
  <c r="H214" i="67"/>
  <c r="H213" s="1"/>
  <c r="I263" i="85"/>
  <c r="I281" s="1"/>
  <c r="I283" s="1"/>
  <c r="M263"/>
  <c r="M281" s="1"/>
  <c r="M283" s="1"/>
  <c r="F263"/>
  <c r="F281" s="1"/>
  <c r="I194" i="64"/>
  <c r="I193" s="1"/>
  <c r="I192" s="1"/>
  <c r="K84" i="61"/>
  <c r="I88" i="67"/>
  <c r="I87" s="1"/>
  <c r="I86" s="1"/>
  <c r="J217" i="85"/>
  <c r="J225" s="1"/>
  <c r="E255"/>
  <c r="E258" s="1"/>
  <c r="J229"/>
  <c r="J230" s="1"/>
  <c r="J226"/>
  <c r="J228" s="1"/>
  <c r="T256"/>
  <c r="W256" s="1"/>
  <c r="AA256" s="1"/>
  <c r="J82" i="84"/>
  <c r="J88" s="1"/>
  <c r="J91" s="1"/>
  <c r="Y91" i="85" s="1"/>
  <c r="H80" i="76"/>
  <c r="K80" i="61"/>
  <c r="O263" i="85"/>
  <c r="O281" s="1"/>
  <c r="D255"/>
  <c r="D258" s="1"/>
  <c r="N81" i="84"/>
  <c r="N132"/>
  <c r="J132" s="1"/>
  <c r="J133" s="1"/>
  <c r="E259" i="85"/>
  <c r="E260" s="1"/>
  <c r="N126" i="84"/>
  <c r="J126" s="1"/>
  <c r="J131" s="1"/>
  <c r="N90"/>
  <c r="D261" i="85"/>
  <c r="D262" s="1"/>
  <c r="E231"/>
  <c r="E261"/>
  <c r="E262" s="1"/>
  <c r="N134" i="84"/>
  <c r="J134" s="1"/>
  <c r="J135" s="1"/>
  <c r="D259" i="85"/>
  <c r="D260" s="1"/>
  <c r="U19" i="75"/>
  <c r="W19" s="1"/>
  <c r="I214" i="67"/>
  <c r="I213" s="1"/>
  <c r="G29" i="68"/>
  <c r="H231" i="67"/>
  <c r="H229" s="1"/>
  <c r="H228" s="1"/>
  <c r="H194" i="64"/>
  <c r="H193" s="1"/>
  <c r="H192" s="1"/>
  <c r="H176" i="67"/>
  <c r="H208" s="1"/>
  <c r="H40" i="76"/>
  <c r="H85"/>
  <c r="K116" i="64"/>
  <c r="I65" i="70"/>
  <c r="K65" s="1"/>
  <c r="I8" i="68"/>
  <c r="G222" i="64"/>
  <c r="G32" i="61"/>
  <c r="G13" i="68" s="1"/>
  <c r="AH136" i="84"/>
  <c r="AH159" s="1"/>
  <c r="I215" i="64"/>
  <c r="G149" i="67"/>
  <c r="G215" i="64"/>
  <c r="R136" i="84"/>
  <c r="R159" s="1"/>
  <c r="H10" i="61"/>
  <c r="H70" s="1"/>
  <c r="H215" i="64"/>
  <c r="C231" i="85"/>
  <c r="H41" i="76"/>
  <c r="H222" i="64"/>
  <c r="K41" i="61"/>
  <c r="H176" i="64"/>
  <c r="H8" i="68"/>
  <c r="G110" i="61"/>
  <c r="G224"/>
  <c r="G21" i="68"/>
  <c r="G73" i="61"/>
  <c r="G72" s="1"/>
  <c r="G71" s="1"/>
  <c r="G101" s="1"/>
  <c r="G23" i="68"/>
  <c r="G223" i="61"/>
  <c r="G25"/>
  <c r="G11" i="68" s="1"/>
  <c r="I223" i="61"/>
  <c r="I23" i="68"/>
  <c r="H21"/>
  <c r="H73" i="61"/>
  <c r="H72" s="1"/>
  <c r="H71" s="1"/>
  <c r="H101" s="1"/>
  <c r="H224"/>
  <c r="H161" i="76"/>
  <c r="H159" s="1"/>
  <c r="K161" i="61"/>
  <c r="K59" i="67"/>
  <c r="K58"/>
  <c r="P33" i="69"/>
  <c r="H34"/>
  <c r="Q21" i="68"/>
  <c r="Q20" s="1"/>
  <c r="Q19" s="1"/>
  <c r="Q18" s="1"/>
  <c r="I179" i="61"/>
  <c r="I178" s="1"/>
  <c r="I177" s="1"/>
  <c r="I207" s="1"/>
  <c r="I227"/>
  <c r="I225" s="1"/>
  <c r="H23" i="68"/>
  <c r="H223" i="61"/>
  <c r="K45" i="67"/>
  <c r="K44"/>
  <c r="G165" i="61"/>
  <c r="O13" i="69" s="1"/>
  <c r="K32" i="67"/>
  <c r="K33"/>
  <c r="I176"/>
  <c r="I208" s="1"/>
  <c r="I79"/>
  <c r="K189" i="61"/>
  <c r="H189" i="76"/>
  <c r="K51" i="64"/>
  <c r="K124" i="67"/>
  <c r="K123"/>
  <c r="G227"/>
  <c r="G225" s="1"/>
  <c r="G179"/>
  <c r="G178" s="1"/>
  <c r="G177" s="1"/>
  <c r="G207" s="1"/>
  <c r="K181" i="61"/>
  <c r="H181" i="76"/>
  <c r="K13" i="67"/>
  <c r="K25" i="64"/>
  <c r="K26"/>
  <c r="H33" i="69"/>
  <c r="P34"/>
  <c r="H52" i="76"/>
  <c r="H51" s="1"/>
  <c r="I134" i="77"/>
  <c r="J134" s="1"/>
  <c r="K52" i="61"/>
  <c r="I73"/>
  <c r="I72" s="1"/>
  <c r="I71" s="1"/>
  <c r="I101" s="1"/>
  <c r="I224"/>
  <c r="I21" i="68"/>
  <c r="Q34" i="69"/>
  <c r="I33"/>
  <c r="K239" i="61"/>
  <c r="H239" i="76"/>
  <c r="H242" s="1"/>
  <c r="L65" i="70"/>
  <c r="M65" s="1"/>
  <c r="K45" i="61"/>
  <c r="H45" i="76"/>
  <c r="H44" s="1"/>
  <c r="G30" i="68"/>
  <c r="G263" i="85"/>
  <c r="G281" s="1"/>
  <c r="G283" s="1"/>
  <c r="H79" i="67"/>
  <c r="I222" i="64"/>
  <c r="K225" i="85"/>
  <c r="K231" s="1"/>
  <c r="S217"/>
  <c r="H109" i="61"/>
  <c r="H176" s="1"/>
  <c r="P9" i="68"/>
  <c r="P8" s="1"/>
  <c r="H227" i="61"/>
  <c r="H225" s="1"/>
  <c r="H179"/>
  <c r="H178" s="1"/>
  <c r="H177" s="1"/>
  <c r="H207" s="1"/>
  <c r="P21" i="68"/>
  <c r="P20" s="1"/>
  <c r="P19" s="1"/>
  <c r="P18" s="1"/>
  <c r="G70" i="64"/>
  <c r="G102" s="1"/>
  <c r="G214"/>
  <c r="G9" i="69"/>
  <c r="G50" i="61"/>
  <c r="K12" i="64"/>
  <c r="C262" i="85"/>
  <c r="H215" i="61"/>
  <c r="I215"/>
  <c r="I10"/>
  <c r="I70" i="64"/>
  <c r="I102" s="1"/>
  <c r="C260" i="85"/>
  <c r="H82" i="76"/>
  <c r="K82" i="61"/>
  <c r="K74" i="64"/>
  <c r="K224"/>
  <c r="O9" i="69"/>
  <c r="H124" i="76"/>
  <c r="H123" s="1"/>
  <c r="K124" i="61"/>
  <c r="K150" i="64"/>
  <c r="K149"/>
  <c r="S230" i="85"/>
  <c r="G50" i="67"/>
  <c r="G180" i="61"/>
  <c r="K64" i="67"/>
  <c r="K65"/>
  <c r="N293" i="84"/>
  <c r="J288"/>
  <c r="J293" s="1"/>
  <c r="K76" i="64"/>
  <c r="S259" i="85"/>
  <c r="K260"/>
  <c r="K52" i="67"/>
  <c r="G116"/>
  <c r="G118" i="61"/>
  <c r="Q9" i="68"/>
  <c r="Q8" s="1"/>
  <c r="I109" i="61"/>
  <c r="I176" s="1"/>
  <c r="K180" i="64"/>
  <c r="H70"/>
  <c r="H102" s="1"/>
  <c r="H214"/>
  <c r="K152" i="61"/>
  <c r="H152" i="76"/>
  <c r="H150" s="1"/>
  <c r="K77" i="61"/>
  <c r="H77" i="76"/>
  <c r="H133"/>
  <c r="K133" i="61"/>
  <c r="K13"/>
  <c r="H13" i="76"/>
  <c r="H12" s="1"/>
  <c r="H11" s="1"/>
  <c r="I26" i="77"/>
  <c r="J26" s="1"/>
  <c r="N297" i="84"/>
  <c r="J296"/>
  <c r="J297" s="1"/>
  <c r="K33" i="61"/>
  <c r="H33" i="76"/>
  <c r="H30"/>
  <c r="K30" i="61"/>
  <c r="I34" i="69"/>
  <c r="Q33"/>
  <c r="K152" i="67"/>
  <c r="G223"/>
  <c r="K59" i="61"/>
  <c r="H59" i="76"/>
  <c r="H58" s="1"/>
  <c r="C258" i="85"/>
  <c r="N295" i="84"/>
  <c r="J294"/>
  <c r="J295" s="1"/>
  <c r="K159" i="67"/>
  <c r="K161"/>
  <c r="N243" i="84"/>
  <c r="N253" s="1"/>
  <c r="J170"/>
  <c r="J243" s="1"/>
  <c r="J253" s="1"/>
  <c r="Z91" i="85" s="1"/>
  <c r="G110" i="67"/>
  <c r="G9" i="68"/>
  <c r="I109" i="64"/>
  <c r="I176" s="1"/>
  <c r="H148" i="76"/>
  <c r="H146" s="1"/>
  <c r="K148" i="61"/>
  <c r="K112" i="64"/>
  <c r="K65" i="61"/>
  <c r="H65" i="76"/>
  <c r="H64" s="1"/>
  <c r="K258" i="85"/>
  <c r="S255"/>
  <c r="G25" i="67"/>
  <c r="G10" s="1"/>
  <c r="S228" i="85"/>
  <c r="L9" i="72"/>
  <c r="K14"/>
  <c r="K15" s="1"/>
  <c r="K37" s="1"/>
  <c r="G22" i="68"/>
  <c r="K132" i="67"/>
  <c r="K133"/>
  <c r="K262" i="85"/>
  <c r="S261"/>
  <c r="K166" i="67"/>
  <c r="K165"/>
  <c r="G176" i="64"/>
  <c r="C224" i="61" l="1"/>
  <c r="D224"/>
  <c r="E223"/>
  <c r="E224"/>
  <c r="I234" i="64"/>
  <c r="I232" s="1"/>
  <c r="I228" s="1"/>
  <c r="J231" i="85"/>
  <c r="Y231" s="1"/>
  <c r="T229"/>
  <c r="W229" s="1"/>
  <c r="T226"/>
  <c r="T228" s="1"/>
  <c r="N133" i="84"/>
  <c r="N135"/>
  <c r="N91"/>
  <c r="N131"/>
  <c r="E263" i="85"/>
  <c r="E281" s="1"/>
  <c r="E283" s="1"/>
  <c r="J255"/>
  <c r="J258" s="1"/>
  <c r="J259"/>
  <c r="J260" s="1"/>
  <c r="D263"/>
  <c r="D281" s="1"/>
  <c r="D283" s="1"/>
  <c r="J261"/>
  <c r="J262" s="1"/>
  <c r="I208" i="61"/>
  <c r="Q38" i="69" s="1"/>
  <c r="Q34" i="68"/>
  <c r="H234" i="64"/>
  <c r="H232" s="1"/>
  <c r="H228" s="1"/>
  <c r="G213"/>
  <c r="P34" i="68"/>
  <c r="I20"/>
  <c r="I19" s="1"/>
  <c r="I18" s="1"/>
  <c r="G94" i="67"/>
  <c r="G199" i="64" s="1"/>
  <c r="I80" i="70"/>
  <c r="K80" s="1"/>
  <c r="G10" i="61"/>
  <c r="G70" s="1"/>
  <c r="G102" s="1"/>
  <c r="G38" i="69" s="1"/>
  <c r="G222" i="61"/>
  <c r="H222"/>
  <c r="H221" s="1"/>
  <c r="H220" s="1"/>
  <c r="H213" i="64"/>
  <c r="H102" i="61"/>
  <c r="H38" i="69" s="1"/>
  <c r="G215" i="67"/>
  <c r="G109"/>
  <c r="G214" s="1"/>
  <c r="H214" i="61"/>
  <c r="H213" s="1"/>
  <c r="K263" i="85"/>
  <c r="K281" s="1"/>
  <c r="K283" s="1"/>
  <c r="N298" i="84"/>
  <c r="N321" s="1"/>
  <c r="G149" i="61"/>
  <c r="G215" s="1"/>
  <c r="O21" i="68"/>
  <c r="G179" i="61"/>
  <c r="G178" s="1"/>
  <c r="G177" s="1"/>
  <c r="G207" s="1"/>
  <c r="G227"/>
  <c r="G225" s="1"/>
  <c r="G20" i="68"/>
  <c r="G19" s="1"/>
  <c r="G18" s="1"/>
  <c r="K112" i="61"/>
  <c r="H112" i="76"/>
  <c r="H110" s="1"/>
  <c r="J136" i="84"/>
  <c r="Y123" i="85" s="1"/>
  <c r="F24" i="75"/>
  <c r="L72" i="78"/>
  <c r="M72" s="1"/>
  <c r="K159" i="61"/>
  <c r="AT326" i="84"/>
  <c r="AT327" s="1"/>
  <c r="K74" i="61"/>
  <c r="H74" i="76"/>
  <c r="F224" i="61"/>
  <c r="O9" i="68"/>
  <c r="S225" i="85"/>
  <c r="S231" s="1"/>
  <c r="Z231" s="1"/>
  <c r="T217"/>
  <c r="H184" i="64"/>
  <c r="H73" i="67"/>
  <c r="H72" s="1"/>
  <c r="H71" s="1"/>
  <c r="H101" s="1"/>
  <c r="H102" s="1"/>
  <c r="H224"/>
  <c r="H222" s="1"/>
  <c r="H221" s="1"/>
  <c r="H220" s="1"/>
  <c r="K215" i="64"/>
  <c r="K50"/>
  <c r="H166" i="76"/>
  <c r="K166" i="61"/>
  <c r="H50" i="76"/>
  <c r="I222" i="61"/>
  <c r="I221" s="1"/>
  <c r="I220" s="1"/>
  <c r="K12"/>
  <c r="I137" i="77"/>
  <c r="J137" s="1"/>
  <c r="K110" i="64"/>
  <c r="K51" i="67"/>
  <c r="F21" i="75"/>
  <c r="K123" i="61"/>
  <c r="AD326" i="84"/>
  <c r="AD327" s="1"/>
  <c r="AD323"/>
  <c r="AD324" s="1"/>
  <c r="F10" i="75"/>
  <c r="K44" i="61"/>
  <c r="K76"/>
  <c r="H76" i="76"/>
  <c r="F223" i="61"/>
  <c r="C263" i="85"/>
  <c r="C281" s="1"/>
  <c r="C283" s="1"/>
  <c r="J298" i="84"/>
  <c r="I70" i="61"/>
  <c r="I102" s="1"/>
  <c r="I38" i="69" s="1"/>
  <c r="I214" i="61"/>
  <c r="I213" s="1"/>
  <c r="L14" i="72"/>
  <c r="L15" s="1"/>
  <c r="L37" s="1"/>
  <c r="M9"/>
  <c r="S258" i="85"/>
  <c r="K112" i="67"/>
  <c r="K116"/>
  <c r="K118"/>
  <c r="K223" i="64"/>
  <c r="G8" i="69"/>
  <c r="K242" i="61"/>
  <c r="L80" i="70"/>
  <c r="M80" s="1"/>
  <c r="K74" i="67"/>
  <c r="K150"/>
  <c r="K149"/>
  <c r="O8" i="69"/>
  <c r="S262" i="85"/>
  <c r="K26" i="67"/>
  <c r="K25"/>
  <c r="K76"/>
  <c r="H83" i="76"/>
  <c r="K83" i="61"/>
  <c r="AL323" i="84"/>
  <c r="AL324" s="1"/>
  <c r="F11" i="75"/>
  <c r="K51" i="61"/>
  <c r="K12" i="67"/>
  <c r="I214" i="64"/>
  <c r="I213" s="1"/>
  <c r="H208" i="61"/>
  <c r="P38" i="69" s="1"/>
  <c r="H20" i="68"/>
  <c r="H19" s="1"/>
  <c r="H18" s="1"/>
  <c r="G70" i="67"/>
  <c r="G8" i="68"/>
  <c r="G116" i="61"/>
  <c r="O13" i="68" s="1"/>
  <c r="S260" i="85"/>
  <c r="H34" i="68"/>
  <c r="P33"/>
  <c r="P37" i="69" s="1"/>
  <c r="I184" i="64"/>
  <c r="I224" i="67"/>
  <c r="I222" s="1"/>
  <c r="I221" s="1"/>
  <c r="I220" s="1"/>
  <c r="I73"/>
  <c r="I72" s="1"/>
  <c r="I71" s="1"/>
  <c r="I101" s="1"/>
  <c r="I102" s="1"/>
  <c r="H26" i="76"/>
  <c r="H25" s="1"/>
  <c r="K26" i="61"/>
  <c r="H132" i="76"/>
  <c r="H75"/>
  <c r="K75" i="61"/>
  <c r="K64"/>
  <c r="F13" i="75"/>
  <c r="AT323" i="84"/>
  <c r="AT324" s="1"/>
  <c r="K146" i="61"/>
  <c r="AP323" i="84"/>
  <c r="AP324" s="1"/>
  <c r="F12" i="75"/>
  <c r="K58" i="61"/>
  <c r="K150"/>
  <c r="F23" i="75"/>
  <c r="L45" i="78"/>
  <c r="M45" s="1"/>
  <c r="AP326" i="84"/>
  <c r="AP327" s="1"/>
  <c r="Q33" i="68"/>
  <c r="Q37" i="69" s="1"/>
  <c r="I34" i="68"/>
  <c r="K73" i="64"/>
  <c r="K11"/>
  <c r="K180" i="67"/>
  <c r="J321" i="84" l="1"/>
  <c r="Z123" i="85"/>
  <c r="E222" i="61"/>
  <c r="W230" i="85"/>
  <c r="AA230" s="1"/>
  <c r="AA229"/>
  <c r="Q35" i="68"/>
  <c r="C227" i="61"/>
  <c r="C225" s="1"/>
  <c r="D223"/>
  <c r="D222" s="1"/>
  <c r="D215"/>
  <c r="E215"/>
  <c r="D227"/>
  <c r="D225" s="1"/>
  <c r="E214"/>
  <c r="E227"/>
  <c r="E225" s="1"/>
  <c r="K224"/>
  <c r="W226" i="85"/>
  <c r="Y222" s="1"/>
  <c r="T230"/>
  <c r="N136" i="84"/>
  <c r="N159" s="1"/>
  <c r="T255" i="85"/>
  <c r="W255" s="1"/>
  <c r="J263"/>
  <c r="T259"/>
  <c r="W259" s="1"/>
  <c r="T261"/>
  <c r="T262" s="1"/>
  <c r="G79" i="67"/>
  <c r="G224" s="1"/>
  <c r="G222" s="1"/>
  <c r="G221" s="1"/>
  <c r="Q39" i="69"/>
  <c r="I35" i="68"/>
  <c r="I33"/>
  <c r="I37" i="69" s="1"/>
  <c r="I39" s="1"/>
  <c r="G221" i="61"/>
  <c r="G220" s="1"/>
  <c r="G176" i="67"/>
  <c r="G208" s="1"/>
  <c r="G88"/>
  <c r="G87" s="1"/>
  <c r="G86" s="1"/>
  <c r="G231"/>
  <c r="G229" s="1"/>
  <c r="G228" s="1"/>
  <c r="G213"/>
  <c r="P39" i="69"/>
  <c r="I179" i="64"/>
  <c r="I178" s="1"/>
  <c r="I177" s="1"/>
  <c r="I207" s="1"/>
  <c r="I208" s="1"/>
  <c r="I227"/>
  <c r="I225" s="1"/>
  <c r="I221" s="1"/>
  <c r="I220" s="1"/>
  <c r="K104" i="76"/>
  <c r="H223"/>
  <c r="K109" i="64"/>
  <c r="O20" i="68"/>
  <c r="O19" s="1"/>
  <c r="O18" s="1"/>
  <c r="G35" s="1"/>
  <c r="K10" i="64"/>
  <c r="G33" i="68"/>
  <c r="H35"/>
  <c r="P35"/>
  <c r="H33"/>
  <c r="H37" i="69" s="1"/>
  <c r="H39" s="1"/>
  <c r="N9" i="72"/>
  <c r="M14"/>
  <c r="M15" s="1"/>
  <c r="M37" s="1"/>
  <c r="G234" i="64"/>
  <c r="G232" s="1"/>
  <c r="G228" s="1"/>
  <c r="G194"/>
  <c r="G193" s="1"/>
  <c r="G192" s="1"/>
  <c r="O8" i="68"/>
  <c r="O34" s="1"/>
  <c r="F227" i="61"/>
  <c r="H180" i="76"/>
  <c r="K180" i="61"/>
  <c r="K179" i="67"/>
  <c r="K11"/>
  <c r="F222" i="61"/>
  <c r="K223"/>
  <c r="G109"/>
  <c r="U12" i="75"/>
  <c r="W12" s="1"/>
  <c r="V12"/>
  <c r="K118" i="61"/>
  <c r="H118" i="76"/>
  <c r="H116" s="1"/>
  <c r="H109" s="1"/>
  <c r="U13" i="75"/>
  <c r="W13" s="1"/>
  <c r="V13"/>
  <c r="F8"/>
  <c r="V323" i="84"/>
  <c r="V324" s="1"/>
  <c r="K25" i="61"/>
  <c r="V10" i="75"/>
  <c r="U10"/>
  <c r="K215" i="67"/>
  <c r="K50"/>
  <c r="R326" i="84"/>
  <c r="R327" s="1"/>
  <c r="F18" i="75"/>
  <c r="K110" i="61"/>
  <c r="V11" i="75"/>
  <c r="U11"/>
  <c r="V21"/>
  <c r="U21"/>
  <c r="W21" s="1"/>
  <c r="J159" i="84"/>
  <c r="S263" i="85"/>
  <c r="Z263" s="1"/>
  <c r="V23" i="75"/>
  <c r="U23"/>
  <c r="W23" s="1"/>
  <c r="K132" i="61"/>
  <c r="F22" i="75"/>
  <c r="AH326" i="84"/>
  <c r="AH327" s="1"/>
  <c r="K72" i="64"/>
  <c r="K50" i="61"/>
  <c r="K223" i="67"/>
  <c r="K11" i="61"/>
  <c r="R323" i="84"/>
  <c r="R324" s="1"/>
  <c r="F7" i="75"/>
  <c r="T225" i="85"/>
  <c r="W217"/>
  <c r="K73" i="61"/>
  <c r="V24" i="75"/>
  <c r="U24"/>
  <c r="W24" s="1"/>
  <c r="K225" i="67"/>
  <c r="K227"/>
  <c r="K222" i="64"/>
  <c r="G34" i="69"/>
  <c r="O33"/>
  <c r="O34"/>
  <c r="G33"/>
  <c r="K110" i="67"/>
  <c r="H227" i="64"/>
  <c r="H225" s="1"/>
  <c r="H221" s="1"/>
  <c r="H220" s="1"/>
  <c r="H179"/>
  <c r="H178" s="1"/>
  <c r="H177" s="1"/>
  <c r="H207" s="1"/>
  <c r="H208" s="1"/>
  <c r="H73" i="76"/>
  <c r="H72" s="1"/>
  <c r="H71" s="1"/>
  <c r="H101" s="1"/>
  <c r="H224"/>
  <c r="D221" i="61" l="1"/>
  <c r="D220" s="1"/>
  <c r="E221"/>
  <c r="E220" s="1"/>
  <c r="W260" i="85"/>
  <c r="AA260" s="1"/>
  <c r="AA259"/>
  <c r="AA226"/>
  <c r="T260"/>
  <c r="W225"/>
  <c r="AA225" s="1"/>
  <c r="AA217"/>
  <c r="W258"/>
  <c r="AA258" s="1"/>
  <c r="AA255"/>
  <c r="J281"/>
  <c r="Y263"/>
  <c r="M37" i="69"/>
  <c r="M39" s="1"/>
  <c r="C223" i="61"/>
  <c r="C222" s="1"/>
  <c r="C221" s="1"/>
  <c r="C220" s="1"/>
  <c r="E213"/>
  <c r="C215"/>
  <c r="D214"/>
  <c r="D213" s="1"/>
  <c r="T231" i="85"/>
  <c r="W228"/>
  <c r="T258"/>
  <c r="W261"/>
  <c r="G73" i="67"/>
  <c r="G72" s="1"/>
  <c r="G71" s="1"/>
  <c r="G101" s="1"/>
  <c r="G102" s="1"/>
  <c r="G184" i="64"/>
  <c r="O35" i="68"/>
  <c r="G220" i="67"/>
  <c r="S281" i="85"/>
  <c r="H227" i="76"/>
  <c r="H225" s="1"/>
  <c r="H179"/>
  <c r="H178" s="1"/>
  <c r="H177" s="1"/>
  <c r="H207" s="1"/>
  <c r="K72" i="61"/>
  <c r="F14" i="75"/>
  <c r="K109" i="67"/>
  <c r="V18" i="75"/>
  <c r="U18"/>
  <c r="W18" s="1"/>
  <c r="V8"/>
  <c r="U8"/>
  <c r="W8" s="1"/>
  <c r="K178" i="67"/>
  <c r="V22" i="75"/>
  <c r="U22"/>
  <c r="F20"/>
  <c r="K116" i="61"/>
  <c r="Z326" i="84"/>
  <c r="Z327" s="1"/>
  <c r="G37" i="69"/>
  <c r="G39" s="1"/>
  <c r="K176" i="64"/>
  <c r="G34" i="68"/>
  <c r="O33"/>
  <c r="O37" i="69" s="1"/>
  <c r="V7" i="75"/>
  <c r="U7"/>
  <c r="W7" s="1"/>
  <c r="G176" i="61"/>
  <c r="G208" s="1"/>
  <c r="O38" i="69" s="1"/>
  <c r="G214" i="61"/>
  <c r="G213" s="1"/>
  <c r="K10" i="67"/>
  <c r="K214" i="64"/>
  <c r="K213"/>
  <c r="K179" i="61"/>
  <c r="K71" i="64"/>
  <c r="K222" i="61"/>
  <c r="K227"/>
  <c r="F225"/>
  <c r="O9" i="72"/>
  <c r="N14"/>
  <c r="N15" s="1"/>
  <c r="N37" s="1"/>
  <c r="K70" i="64"/>
  <c r="H222" i="76"/>
  <c r="T263" i="85" l="1"/>
  <c r="T281" s="1"/>
  <c r="W231"/>
  <c r="AA231" s="1"/>
  <c r="AA228"/>
  <c r="W262"/>
  <c r="AA261"/>
  <c r="L37" i="69"/>
  <c r="L39" s="1"/>
  <c r="K37"/>
  <c r="K39" s="1"/>
  <c r="E37"/>
  <c r="E39" s="1"/>
  <c r="F35" i="68"/>
  <c r="C214" i="61"/>
  <c r="C213" s="1"/>
  <c r="K225"/>
  <c r="K109"/>
  <c r="K73" i="67"/>
  <c r="K79"/>
  <c r="G227" i="64"/>
  <c r="G225" s="1"/>
  <c r="G221" s="1"/>
  <c r="G220" s="1"/>
  <c r="G179"/>
  <c r="G178" s="1"/>
  <c r="G177" s="1"/>
  <c r="G207" s="1"/>
  <c r="G208" s="1"/>
  <c r="H221" i="76"/>
  <c r="H220" s="1"/>
  <c r="F221" i="61"/>
  <c r="K176" i="67"/>
  <c r="K101" i="64"/>
  <c r="K71" i="61"/>
  <c r="F282" i="85"/>
  <c r="O39" i="69"/>
  <c r="U14" i="75"/>
  <c r="V14"/>
  <c r="K214" i="67"/>
  <c r="K213"/>
  <c r="K70"/>
  <c r="X22" i="75"/>
  <c r="W22"/>
  <c r="K102" i="64"/>
  <c r="P9" i="72"/>
  <c r="O14"/>
  <c r="O15" s="1"/>
  <c r="O37" s="1"/>
  <c r="K178" i="61"/>
  <c r="F26" i="75"/>
  <c r="U20"/>
  <c r="W20" s="1"/>
  <c r="V20"/>
  <c r="K208" i="67"/>
  <c r="K177"/>
  <c r="W263" i="85" l="1"/>
  <c r="AA263" s="1"/>
  <c r="AA262"/>
  <c r="D37" i="69"/>
  <c r="D39" s="1"/>
  <c r="C37"/>
  <c r="C39" s="1"/>
  <c r="E35" i="68"/>
  <c r="E34"/>
  <c r="C34"/>
  <c r="F220" i="61"/>
  <c r="K224" i="67"/>
  <c r="K221" i="61"/>
  <c r="K101"/>
  <c r="U26" i="75"/>
  <c r="V26"/>
  <c r="K222" i="67"/>
  <c r="J282" i="85"/>
  <c r="J283" s="1"/>
  <c r="F283"/>
  <c r="K207" i="67"/>
  <c r="Q9" i="72"/>
  <c r="P14"/>
  <c r="P15" s="1"/>
  <c r="P37" s="1"/>
  <c r="K177" i="61"/>
  <c r="O282" i="85"/>
  <c r="W281" l="1"/>
  <c r="AA281" s="1"/>
  <c r="D35" i="68"/>
  <c r="C35"/>
  <c r="D34"/>
  <c r="K220" i="61"/>
  <c r="K72" i="67"/>
  <c r="K71"/>
  <c r="S282" i="85"/>
  <c r="O283"/>
  <c r="K221" i="67"/>
  <c r="K207" i="61"/>
  <c r="R9" i="72"/>
  <c r="Q14"/>
  <c r="Q15" s="1"/>
  <c r="Q37" s="1"/>
  <c r="R14" l="1"/>
  <c r="R15" s="1"/>
  <c r="R37" s="1"/>
  <c r="S9"/>
  <c r="T282" i="85"/>
  <c r="S283"/>
  <c r="W282" l="1"/>
  <c r="T283"/>
  <c r="S14" i="72"/>
  <c r="S15" s="1"/>
  <c r="S37" s="1"/>
  <c r="T9"/>
  <c r="W283" i="85" l="1"/>
  <c r="AA283" s="1"/>
  <c r="AA282"/>
  <c r="U9" i="72"/>
  <c r="T14"/>
  <c r="T15" s="1"/>
  <c r="T37" s="1"/>
  <c r="U14" l="1"/>
  <c r="U15" s="1"/>
  <c r="U37" s="1"/>
  <c r="V9"/>
  <c r="W9" l="1"/>
  <c r="V14"/>
  <c r="V15" s="1"/>
  <c r="V37" s="1"/>
  <c r="W14" l="1"/>
  <c r="W15" s="1"/>
  <c r="W37" s="1"/>
  <c r="X9"/>
  <c r="X14" s="1"/>
  <c r="X15" s="1"/>
  <c r="X37" s="1"/>
  <c r="D231" i="67"/>
  <c r="K95"/>
  <c r="C231"/>
  <c r="K231"/>
  <c r="K94"/>
  <c r="D230"/>
  <c r="K88"/>
  <c r="E231"/>
  <c r="E229" s="1"/>
  <c r="E228" s="1"/>
  <c r="E220" s="1"/>
  <c r="E230"/>
  <c r="E88"/>
  <c r="E87" s="1"/>
  <c r="E86" s="1"/>
  <c r="E101" s="1"/>
  <c r="E102" s="1"/>
  <c r="K230"/>
  <c r="K229"/>
  <c r="C230"/>
  <c r="C88"/>
  <c r="C87" s="1"/>
  <c r="C86" s="1"/>
  <c r="C101" s="1"/>
  <c r="C102" s="1"/>
  <c r="D88"/>
  <c r="D87" s="1"/>
  <c r="D86" s="1"/>
  <c r="D101" s="1"/>
  <c r="D102" s="1"/>
  <c r="C229" l="1"/>
  <c r="C228" s="1"/>
  <c r="C220" s="1"/>
  <c r="K220"/>
  <c r="D229"/>
  <c r="D228" s="1"/>
  <c r="D220" s="1"/>
  <c r="K228" l="1"/>
  <c r="K87"/>
  <c r="K86" l="1"/>
  <c r="K102" l="1"/>
  <c r="K101"/>
  <c r="E32" i="97"/>
  <c r="E10" s="1"/>
  <c r="D32"/>
  <c r="D10" s="1"/>
  <c r="F43"/>
  <c r="C32"/>
  <c r="C10" s="1"/>
  <c r="F32" l="1"/>
  <c r="F43" i="61"/>
  <c r="D70" i="97"/>
  <c r="D214"/>
  <c r="D79"/>
  <c r="E70"/>
  <c r="E79"/>
  <c r="E214"/>
  <c r="K32"/>
  <c r="F10"/>
  <c r="C79"/>
  <c r="C214"/>
  <c r="C70"/>
  <c r="K43"/>
  <c r="F32" i="61" l="1"/>
  <c r="K43"/>
  <c r="H43" i="76"/>
  <c r="H32" s="1"/>
  <c r="H10" s="1"/>
  <c r="C73" i="97"/>
  <c r="C72" s="1"/>
  <c r="C71" s="1"/>
  <c r="C224"/>
  <c r="C222" s="1"/>
  <c r="C221" s="1"/>
  <c r="D73"/>
  <c r="D72" s="1"/>
  <c r="D71" s="1"/>
  <c r="D224"/>
  <c r="D222" s="1"/>
  <c r="D221" s="1"/>
  <c r="E224"/>
  <c r="E222" s="1"/>
  <c r="E221" s="1"/>
  <c r="E73"/>
  <c r="E72" s="1"/>
  <c r="E71" s="1"/>
  <c r="F214"/>
  <c r="K10"/>
  <c r="F70"/>
  <c r="F79"/>
  <c r="F184" i="64" s="1"/>
  <c r="H70" i="76" l="1"/>
  <c r="H102" s="1"/>
  <c r="H214"/>
  <c r="F13" i="68"/>
  <c r="F8" s="1"/>
  <c r="F10" i="61"/>
  <c r="F9" i="75"/>
  <c r="Z323" i="84"/>
  <c r="Z324" s="1"/>
  <c r="K32" i="61"/>
  <c r="F224" i="97"/>
  <c r="K79"/>
  <c r="F73"/>
  <c r="K214"/>
  <c r="K70"/>
  <c r="F70" i="61" l="1"/>
  <c r="K10"/>
  <c r="F214"/>
  <c r="F33" i="68"/>
  <c r="F37" i="69" s="1"/>
  <c r="N34" i="68"/>
  <c r="F34"/>
  <c r="H244" i="76"/>
  <c r="V9" i="75"/>
  <c r="U9"/>
  <c r="W9" s="1"/>
  <c r="F16"/>
  <c r="F222" i="97"/>
  <c r="K224"/>
  <c r="K73"/>
  <c r="F72"/>
  <c r="U16" i="75" l="1"/>
  <c r="K214" i="61"/>
  <c r="F102"/>
  <c r="K70"/>
  <c r="F221" i="97"/>
  <c r="K222"/>
  <c r="K72"/>
  <c r="F71"/>
  <c r="J17" i="61" l="1"/>
  <c r="J285" i="85"/>
  <c r="J286" s="1"/>
  <c r="J51" i="61"/>
  <c r="J71"/>
  <c r="J58"/>
  <c r="J11"/>
  <c r="J101"/>
  <c r="J72"/>
  <c r="J64"/>
  <c r="J44"/>
  <c r="J102"/>
  <c r="J25"/>
  <c r="J86"/>
  <c r="J50"/>
  <c r="F38" i="69"/>
  <c r="F39" s="1"/>
  <c r="J87" i="61"/>
  <c r="K102"/>
  <c r="J32"/>
  <c r="J10"/>
  <c r="J70"/>
  <c r="K221" i="97"/>
  <c r="K71"/>
  <c r="K36" i="109"/>
  <c r="K84"/>
  <c r="K12"/>
  <c r="K47"/>
  <c r="K31"/>
  <c r="K19"/>
  <c r="K49"/>
  <c r="K23"/>
  <c r="K87"/>
  <c r="K37"/>
  <c r="K98"/>
  <c r="K80"/>
  <c r="K60"/>
  <c r="K33"/>
  <c r="K16"/>
  <c r="K72"/>
  <c r="K81"/>
  <c r="K61"/>
  <c r="K42"/>
  <c r="K17"/>
  <c r="K97"/>
  <c r="K48"/>
  <c r="K44"/>
  <c r="K50"/>
  <c r="K88"/>
  <c r="K91"/>
  <c r="K214"/>
  <c r="K54"/>
  <c r="K215"/>
  <c r="K26"/>
  <c r="K45"/>
  <c r="K94"/>
  <c r="K57"/>
  <c r="K39"/>
  <c r="K70"/>
  <c r="K85"/>
  <c r="K90"/>
  <c r="K68"/>
  <c r="K41"/>
  <c r="K78"/>
  <c r="K69"/>
  <c r="K53"/>
  <c r="K34"/>
  <c r="K65"/>
  <c r="K51"/>
  <c r="K89"/>
  <c r="K231"/>
  <c r="K10"/>
  <c r="K76"/>
  <c r="K74"/>
  <c r="K13"/>
  <c r="K73"/>
  <c r="K82"/>
  <c r="K55"/>
  <c r="K20"/>
  <c r="K96"/>
  <c r="K93"/>
  <c r="K221"/>
  <c r="K30"/>
  <c r="K99"/>
  <c r="K100"/>
  <c r="K35"/>
  <c r="K18"/>
  <c r="K52"/>
  <c r="K32"/>
  <c r="K228"/>
  <c r="K102"/>
  <c r="K220"/>
  <c r="K101"/>
  <c r="K15"/>
  <c r="K24"/>
  <c r="K22"/>
  <c r="K213"/>
  <c r="K63"/>
  <c r="K29"/>
  <c r="K77"/>
  <c r="K28"/>
  <c r="K229"/>
  <c r="K46"/>
  <c r="K67"/>
  <c r="K92"/>
  <c r="K62"/>
  <c r="K43"/>
  <c r="K27"/>
  <c r="K58"/>
  <c r="K71"/>
  <c r="K75"/>
  <c r="K59"/>
  <c r="K11"/>
  <c r="K66"/>
  <c r="E44"/>
  <c r="K40"/>
  <c r="K95"/>
  <c r="K223"/>
  <c r="K14"/>
  <c r="K230"/>
  <c r="K222"/>
  <c r="E32"/>
  <c r="K83"/>
  <c r="K21"/>
  <c r="E230"/>
  <c r="K79"/>
  <c r="K56"/>
  <c r="K38"/>
  <c r="K64"/>
  <c r="K224"/>
  <c r="E51"/>
  <c r="E223"/>
  <c r="E25"/>
  <c r="K25"/>
  <c r="K86"/>
  <c r="E12"/>
  <c r="E11" s="1"/>
  <c r="K184" i="64"/>
  <c r="E10" i="109" l="1"/>
  <c r="E79" s="1"/>
  <c r="D44"/>
  <c r="D230"/>
  <c r="C230"/>
  <c r="C44"/>
  <c r="C64"/>
  <c r="D64"/>
  <c r="C58"/>
  <c r="D58"/>
  <c r="E58"/>
  <c r="E64"/>
  <c r="F227" i="64"/>
  <c r="F179"/>
  <c r="E224" i="109" l="1"/>
  <c r="E222" s="1"/>
  <c r="E221" s="1"/>
  <c r="E184" i="64"/>
  <c r="E214" i="109"/>
  <c r="E73"/>
  <c r="E72" s="1"/>
  <c r="E71" s="1"/>
  <c r="E50"/>
  <c r="E94" s="1"/>
  <c r="D32"/>
  <c r="C32"/>
  <c r="K227" i="64"/>
  <c r="F225"/>
  <c r="K179"/>
  <c r="F178"/>
  <c r="C223" i="109"/>
  <c r="D223"/>
  <c r="C12"/>
  <c r="C11" s="1"/>
  <c r="C10" s="1"/>
  <c r="C79" s="1"/>
  <c r="C184" i="64" s="1"/>
  <c r="D12" i="109"/>
  <c r="D11" s="1"/>
  <c r="D25"/>
  <c r="C25"/>
  <c r="D51"/>
  <c r="D50" s="1"/>
  <c r="C51"/>
  <c r="C50" s="1"/>
  <c r="C179" i="64" l="1"/>
  <c r="C178" s="1"/>
  <c r="C177" s="1"/>
  <c r="C227"/>
  <c r="C225" s="1"/>
  <c r="C221" s="1"/>
  <c r="E179"/>
  <c r="E178" s="1"/>
  <c r="E177" s="1"/>
  <c r="E227"/>
  <c r="E225" s="1"/>
  <c r="E221" s="1"/>
  <c r="D10" i="109"/>
  <c r="D79" s="1"/>
  <c r="D184" i="64" s="1"/>
  <c r="E215" i="109"/>
  <c r="E213" s="1"/>
  <c r="E70"/>
  <c r="E88"/>
  <c r="E87" s="1"/>
  <c r="E86" s="1"/>
  <c r="E101" s="1"/>
  <c r="E231"/>
  <c r="E229" s="1"/>
  <c r="E228" s="1"/>
  <c r="E220" s="1"/>
  <c r="C215"/>
  <c r="C94"/>
  <c r="C88" s="1"/>
  <c r="C87" s="1"/>
  <c r="C86" s="1"/>
  <c r="D215"/>
  <c r="D94"/>
  <c r="F221" i="64"/>
  <c r="K225"/>
  <c r="C224" i="109"/>
  <c r="C222" s="1"/>
  <c r="C221" s="1"/>
  <c r="C73"/>
  <c r="C72" s="1"/>
  <c r="C71" s="1"/>
  <c r="F177" i="64"/>
  <c r="K178"/>
  <c r="C214" i="109"/>
  <c r="C213" s="1"/>
  <c r="C70"/>
  <c r="C231" l="1"/>
  <c r="C229" s="1"/>
  <c r="C228" s="1"/>
  <c r="D227" i="64"/>
  <c r="D225" s="1"/>
  <c r="D221" s="1"/>
  <c r="D179"/>
  <c r="D178" s="1"/>
  <c r="D177" s="1"/>
  <c r="D224" i="109"/>
  <c r="D222" s="1"/>
  <c r="D221" s="1"/>
  <c r="D73"/>
  <c r="D72" s="1"/>
  <c r="D71" s="1"/>
  <c r="D214"/>
  <c r="D213" s="1"/>
  <c r="D70"/>
  <c r="E102"/>
  <c r="D231"/>
  <c r="D229" s="1"/>
  <c r="D228" s="1"/>
  <c r="D88"/>
  <c r="D87" s="1"/>
  <c r="D86" s="1"/>
  <c r="C220"/>
  <c r="K221" i="64"/>
  <c r="C101" i="109"/>
  <c r="C102" s="1"/>
  <c r="K177" i="64"/>
  <c r="D220" i="109" l="1"/>
  <c r="D101"/>
  <c r="D102" s="1"/>
  <c r="C165" i="97"/>
  <c r="C149" s="1"/>
  <c r="C215" l="1"/>
  <c r="C213" s="1"/>
  <c r="C176"/>
  <c r="C208" s="1"/>
  <c r="C94"/>
  <c r="C231" l="1"/>
  <c r="C229" s="1"/>
  <c r="C228" s="1"/>
  <c r="C220" s="1"/>
  <c r="C199" i="64"/>
  <c r="C88" i="97"/>
  <c r="C87" s="1"/>
  <c r="C86" s="1"/>
  <c r="C101" s="1"/>
  <c r="C102" s="1"/>
  <c r="C194" i="64" l="1"/>
  <c r="C193" s="1"/>
  <c r="C192" s="1"/>
  <c r="C207" s="1"/>
  <c r="C208" s="1"/>
  <c r="C234"/>
  <c r="C232" s="1"/>
  <c r="C228" s="1"/>
  <c r="C220" s="1"/>
  <c r="D165" i="97"/>
  <c r="D149" s="1"/>
  <c r="D94" l="1"/>
  <c r="D176"/>
  <c r="D208" s="1"/>
  <c r="D215"/>
  <c r="D213" s="1"/>
  <c r="D88" l="1"/>
  <c r="D87" s="1"/>
  <c r="D86" s="1"/>
  <c r="D101" s="1"/>
  <c r="D102" s="1"/>
  <c r="D231"/>
  <c r="D229" s="1"/>
  <c r="D228" s="1"/>
  <c r="D220" s="1"/>
  <c r="D199" i="64"/>
  <c r="D194" l="1"/>
  <c r="D193" s="1"/>
  <c r="D192" s="1"/>
  <c r="D207" s="1"/>
  <c r="D208" s="1"/>
  <c r="D234"/>
  <c r="D232" s="1"/>
  <c r="D228" s="1"/>
  <c r="D220" s="1"/>
  <c r="F175" i="97"/>
  <c r="E165"/>
  <c r="E149" s="1"/>
  <c r="F165" l="1"/>
  <c r="F175" i="61"/>
  <c r="F149" i="97"/>
  <c r="K165"/>
  <c r="E94"/>
  <c r="E215"/>
  <c r="E213" s="1"/>
  <c r="E176"/>
  <c r="E208" s="1"/>
  <c r="K175"/>
  <c r="F165" i="61" l="1"/>
  <c r="H175" i="76"/>
  <c r="H165" s="1"/>
  <c r="H149" s="1"/>
  <c r="K175" i="61"/>
  <c r="I35" i="79"/>
  <c r="J35" s="1"/>
  <c r="F215" i="97"/>
  <c r="F94"/>
  <c r="F176"/>
  <c r="K149"/>
  <c r="E88"/>
  <c r="E87" s="1"/>
  <c r="E86" s="1"/>
  <c r="E101" s="1"/>
  <c r="E102" s="1"/>
  <c r="E199" i="64"/>
  <c r="E231" i="97"/>
  <c r="E229" s="1"/>
  <c r="E228" s="1"/>
  <c r="E220" s="1"/>
  <c r="H215" i="76" l="1"/>
  <c r="H176"/>
  <c r="H208" s="1"/>
  <c r="L103" s="1"/>
  <c r="N13" i="69"/>
  <c r="N8" s="1"/>
  <c r="F149" i="61"/>
  <c r="F25" i="75"/>
  <c r="L96" i="78"/>
  <c r="M96" s="1"/>
  <c r="K165" i="61"/>
  <c r="AX326" i="84"/>
  <c r="AX327" s="1"/>
  <c r="F208" i="97"/>
  <c r="K208" s="1"/>
  <c r="K176"/>
  <c r="F213"/>
  <c r="K213" s="1"/>
  <c r="K215"/>
  <c r="K94"/>
  <c r="F231"/>
  <c r="F199" i="64"/>
  <c r="F88" i="97"/>
  <c r="E194" i="64"/>
  <c r="E193" s="1"/>
  <c r="E192" s="1"/>
  <c r="E207" s="1"/>
  <c r="E208" s="1"/>
  <c r="E234"/>
  <c r="E232" s="1"/>
  <c r="E228" s="1"/>
  <c r="E220" s="1"/>
  <c r="U25" i="75" l="1"/>
  <c r="V25"/>
  <c r="F28"/>
  <c r="F176" i="61"/>
  <c r="K149"/>
  <c r="F215"/>
  <c r="N33" i="69"/>
  <c r="N37" s="1"/>
  <c r="F34"/>
  <c r="N34"/>
  <c r="H245" i="76"/>
  <c r="H213"/>
  <c r="F229" i="97"/>
  <c r="K231"/>
  <c r="K199" i="64"/>
  <c r="F234"/>
  <c r="F194"/>
  <c r="F87" i="97"/>
  <c r="K88"/>
  <c r="K215" i="61" l="1"/>
  <c r="F213"/>
  <c r="K213" s="1"/>
  <c r="F208"/>
  <c r="K176"/>
  <c r="J176"/>
  <c r="U28" i="75"/>
  <c r="F29"/>
  <c r="F228" i="97"/>
  <c r="K229"/>
  <c r="K234" i="64"/>
  <c r="F232"/>
  <c r="F193"/>
  <c r="K194"/>
  <c r="F86" i="97"/>
  <c r="K87"/>
  <c r="U29" i="75" l="1"/>
  <c r="F30"/>
  <c r="U30" s="1"/>
  <c r="J192" i="61"/>
  <c r="J110"/>
  <c r="S285" i="85"/>
  <c r="S286" s="1"/>
  <c r="J207" i="61"/>
  <c r="N38" i="69"/>
  <c r="N39" s="1"/>
  <c r="J123" i="61"/>
  <c r="J208"/>
  <c r="J114"/>
  <c r="J116"/>
  <c r="J159"/>
  <c r="J150"/>
  <c r="J177"/>
  <c r="J132"/>
  <c r="J109"/>
  <c r="J193"/>
  <c r="J178"/>
  <c r="K208"/>
  <c r="K103"/>
  <c r="J165"/>
  <c r="J149"/>
  <c r="K232" i="64"/>
  <c r="F228"/>
  <c r="F192"/>
  <c r="K193"/>
  <c r="F101" i="97"/>
  <c r="K86"/>
  <c r="K228"/>
  <c r="F220"/>
  <c r="K220" s="1"/>
  <c r="K192" i="64" l="1"/>
  <c r="F207"/>
  <c r="K101" i="97"/>
  <c r="F102"/>
  <c r="K102" s="1"/>
  <c r="K228" i="64"/>
  <c r="F220"/>
  <c r="K220" s="1"/>
  <c r="F208" l="1"/>
  <c r="K208" s="1"/>
  <c r="K207"/>
  <c r="E10" i="79" l="1"/>
  <c r="G10"/>
  <c r="J10" s="1"/>
  <c r="F10"/>
  <c r="D10"/>
  <c r="F70" i="118"/>
  <c r="G71" s="1"/>
  <c r="D70"/>
  <c r="E71" s="1"/>
  <c r="D39"/>
  <c r="N41"/>
  <c r="N70" s="1"/>
  <c r="K39" l="1"/>
  <c r="K70" s="1"/>
  <c r="N71" s="1"/>
  <c r="I71"/>
</calcChain>
</file>

<file path=xl/comments1.xml><?xml version="1.0" encoding="utf-8"?>
<comments xmlns="http://schemas.openxmlformats.org/spreadsheetml/2006/main">
  <authors>
    <author>ecsegi</author>
  </authors>
  <commentList>
    <comment ref="AE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7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8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  <comment ref="AE14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5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13319-3355
szocból eu önerő tartalék 8300</t>
        </r>
      </text>
    </comment>
    <comment ref="AE21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22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</commentList>
</comments>
</file>

<file path=xl/sharedStrings.xml><?xml version="1.0" encoding="utf-8"?>
<sst xmlns="http://schemas.openxmlformats.org/spreadsheetml/2006/main" count="8185" uniqueCount="1665">
  <si>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</si>
  <si>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</si>
  <si>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</si>
  <si>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</si>
  <si>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</si>
  <si>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</si>
  <si>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</si>
  <si>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</si>
  <si>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</si>
  <si>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</si>
  <si>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</si>
  <si>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</si>
  <si>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</si>
  <si>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</si>
  <si>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</si>
  <si>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</si>
  <si>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</si>
  <si>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</si>
  <si>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</si>
  <si>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</si>
  <si>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</si>
  <si>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</si>
  <si>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</si>
  <si>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</si>
  <si>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</si>
  <si>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</si>
  <si>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</si>
  <si>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</si>
  <si>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</si>
  <si>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</si>
  <si>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</si>
  <si>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</si>
  <si>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</si>
  <si>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</si>
  <si>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</si>
  <si>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</si>
  <si>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</si>
  <si>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</si>
  <si>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</si>
  <si>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</si>
  <si>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</si>
  <si>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</si>
  <si>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</si>
  <si>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</si>
  <si>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</si>
  <si>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</si>
  <si>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</si>
  <si>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</si>
  <si>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</si>
  <si>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</si>
  <si>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</si>
  <si>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</si>
  <si>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</si>
  <si>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</si>
  <si>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</si>
  <si>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</si>
  <si>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</si>
  <si>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</si>
  <si>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</si>
  <si>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</si>
  <si>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</si>
  <si>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</si>
  <si>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</si>
  <si>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</si>
  <si>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</si>
  <si>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</si>
  <si>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</si>
  <si>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</si>
  <si>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</si>
  <si>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</si>
  <si>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</si>
  <si>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</si>
  <si>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</si>
  <si>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</si>
  <si>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</si>
  <si>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</si>
  <si>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</si>
  <si>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</si>
  <si>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</si>
  <si>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</si>
  <si>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</si>
  <si>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</si>
  <si>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</si>
  <si>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</si>
  <si>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</si>
  <si>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</si>
  <si>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</si>
  <si>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</si>
  <si>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</si>
  <si>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</si>
  <si>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</si>
  <si>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</si>
  <si>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</si>
  <si>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</si>
  <si>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</si>
  <si>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</si>
  <si>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</si>
  <si>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</si>
  <si>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</si>
  <si>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</si>
  <si>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</si>
  <si>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</si>
  <si>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</si>
  <si>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</si>
  <si>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</si>
  <si>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</si>
  <si>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</si>
  <si>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</si>
  <si>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</si>
  <si>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</si>
  <si>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</si>
  <si>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</si>
  <si>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</si>
  <si>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</si>
  <si>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</si>
  <si>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</si>
  <si>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</si>
  <si>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</si>
  <si>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</si>
  <si>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</si>
  <si>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</si>
  <si>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</si>
  <si>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</si>
  <si>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</si>
  <si>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</si>
  <si>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</si>
  <si>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</si>
  <si>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</si>
  <si>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</si>
  <si>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</si>
  <si>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</si>
  <si>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</si>
  <si>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</si>
  <si>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</si>
  <si>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</si>
  <si>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</si>
  <si>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</si>
  <si>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</si>
  <si>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</si>
  <si>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</si>
  <si>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</si>
  <si>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</si>
  <si>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</si>
  <si>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</si>
  <si>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</si>
  <si>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</si>
  <si>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</si>
  <si>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</si>
  <si>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</si>
  <si>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</si>
  <si>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</si>
  <si>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</si>
  <si>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</si>
  <si>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</si>
  <si>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</si>
  <si>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</si>
  <si>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</si>
  <si>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</si>
  <si>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</si>
  <si>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</si>
  <si>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</si>
  <si>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</si>
  <si>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</si>
  <si>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</si>
  <si>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</si>
  <si>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</si>
  <si>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</si>
  <si>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</si>
  <si>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</si>
  <si>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</si>
  <si>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</si>
  <si>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</si>
  <si>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</si>
  <si>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</si>
  <si>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</si>
  <si>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</si>
  <si>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</si>
  <si>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</si>
  <si>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</si>
  <si>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</si>
  <si>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</si>
  <si>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</si>
  <si>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</si>
  <si>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</si>
  <si>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</si>
  <si>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</si>
  <si>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</si>
  <si>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</si>
  <si>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</si>
  <si>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</si>
  <si>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</si>
  <si>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</si>
  <si>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</si>
  <si>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</si>
  <si>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</si>
  <si>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</si>
  <si>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</si>
  <si>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</si>
  <si>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</si>
  <si>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</si>
  <si>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</si>
  <si>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</si>
  <si>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</si>
  <si>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</si>
  <si>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</si>
  <si>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</si>
  <si>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</si>
  <si>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</si>
  <si>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</si>
  <si>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</si>
  <si>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</si>
  <si>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</si>
  <si>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</si>
  <si>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</si>
  <si>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</si>
  <si>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</si>
  <si>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</si>
  <si>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</si>
  <si>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</si>
  <si>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</si>
  <si>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</si>
  <si>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</si>
  <si>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</si>
  <si>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</si>
  <si>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</si>
  <si>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</si>
  <si>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</si>
  <si>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</si>
  <si>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</si>
  <si>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</si>
  <si>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</si>
  <si>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</si>
  <si>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</si>
  <si>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</si>
  <si>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</si>
  <si>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</si>
  <si>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</si>
  <si>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</si>
  <si>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</si>
  <si>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</si>
  <si>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</si>
  <si>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</si>
  <si>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</si>
  <si>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</si>
  <si>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</si>
  <si>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</si>
  <si>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</si>
  <si>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</si>
  <si>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</si>
  <si>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</si>
  <si>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</si>
  <si>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</si>
  <si>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</si>
  <si>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</si>
  <si>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</si>
  <si>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</si>
  <si>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</si>
  <si>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</si>
  <si>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</si>
  <si>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</si>
  <si>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</si>
  <si>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</si>
  <si>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</si>
  <si>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</si>
  <si>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</si>
  <si>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</si>
  <si>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</si>
  <si>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</si>
  <si>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</si>
  <si>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</si>
  <si>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</si>
  <si>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</si>
  <si>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</si>
  <si>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</si>
  <si>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</si>
  <si>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</si>
  <si>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</si>
  <si>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</si>
  <si>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</si>
  <si>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</si>
  <si>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</si>
  <si>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</si>
  <si>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</si>
  <si>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</si>
  <si>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</si>
  <si>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</si>
  <si>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</si>
  <si>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</si>
  <si>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</si>
  <si>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</si>
  <si>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</si>
  <si>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</si>
  <si>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</si>
  <si>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</si>
  <si>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</si>
  <si>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</si>
  <si>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</si>
  <si>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</si>
  <si>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</si>
  <si>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</si>
  <si>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</si>
  <si>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</si>
  <si>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</si>
  <si>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</si>
  <si>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</si>
  <si>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</si>
  <si>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</si>
  <si>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</si>
  <si>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</si>
  <si>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</si>
  <si>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</si>
  <si>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</si>
  <si>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</si>
  <si>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</si>
  <si>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</si>
  <si>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</si>
  <si>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</si>
  <si>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</si>
  <si>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</si>
  <si>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</si>
  <si>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</si>
  <si>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</si>
  <si>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</si>
  <si>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</si>
  <si>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</si>
  <si>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</si>
  <si>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</si>
  <si>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</si>
  <si>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</si>
  <si>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</si>
  <si>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</si>
  <si>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</si>
  <si>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</si>
  <si>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</si>
  <si>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</si>
  <si>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</si>
  <si>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</si>
  <si>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</si>
  <si>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</si>
  <si>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</si>
  <si>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</si>
  <si>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</si>
  <si>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</si>
  <si>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</si>
  <si>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</si>
  <si>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</si>
  <si>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</si>
  <si>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</si>
  <si>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</si>
  <si>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</si>
  <si>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</si>
  <si>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</si>
  <si>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</si>
  <si>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</si>
  <si>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</si>
  <si>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</si>
  <si>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</si>
  <si>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</si>
  <si>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</si>
  <si>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</si>
  <si>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</si>
  <si>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</si>
  <si>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</si>
  <si>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</si>
  <si>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</si>
  <si>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</si>
  <si>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</si>
  <si>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</si>
  <si>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</si>
  <si>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</si>
  <si>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</si>
  <si>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</si>
  <si>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</si>
  <si>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</si>
  <si>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</si>
  <si>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</si>
  <si>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</si>
  <si>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</si>
  <si>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</si>
  <si>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</si>
  <si>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</si>
  <si>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</si>
  <si>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</si>
  <si>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</si>
  <si>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</si>
  <si>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</si>
  <si>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</si>
  <si>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</si>
  <si>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</si>
  <si>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</si>
  <si>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</si>
  <si>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</si>
  <si>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</si>
  <si>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</si>
  <si>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</si>
  <si>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</si>
  <si>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</si>
  <si>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</si>
  <si>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</si>
  <si>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</si>
  <si>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</si>
  <si>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</si>
  <si>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</si>
  <si>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</si>
  <si>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</si>
  <si>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</si>
  <si>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</si>
  <si>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</si>
  <si>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</si>
  <si>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</si>
  <si>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</si>
  <si>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</si>
  <si>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</si>
  <si>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</si>
  <si>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</si>
  <si>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</si>
  <si>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</si>
  <si>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</si>
  <si>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</si>
  <si>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</si>
  <si>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</si>
  <si>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</si>
  <si>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</si>
  <si>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</si>
  <si>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</si>
  <si>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</si>
  <si>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</si>
  <si>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</si>
  <si>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</si>
  <si>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</si>
  <si>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</si>
  <si>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</si>
  <si>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</si>
  <si>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</si>
  <si>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</si>
  <si>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</si>
  <si>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</si>
  <si>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</si>
  <si>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</si>
  <si>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</si>
  <si>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</si>
  <si>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</si>
  <si>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</si>
  <si>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</si>
  <si>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</si>
  <si>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</si>
  <si>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</si>
  <si>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</si>
  <si>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</si>
  <si>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</si>
  <si>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</si>
  <si>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</si>
  <si>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</si>
  <si>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</si>
  <si>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</si>
  <si>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</si>
  <si>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</si>
  <si>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</si>
  <si>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</si>
  <si>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</si>
  <si>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</si>
  <si>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</si>
  <si>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</si>
  <si>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</si>
  <si>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</si>
  <si>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</si>
  <si>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</si>
  <si>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</si>
  <si>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</si>
  <si>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</si>
  <si>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</si>
  <si>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</si>
  <si>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</si>
  <si>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</si>
  <si>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</si>
  <si>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</si>
  <si>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</si>
  <si>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</si>
  <si>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</si>
  <si>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</si>
  <si>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</si>
  <si>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</si>
  <si>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</si>
  <si>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</si>
  <si>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</si>
  <si>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</si>
  <si>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</si>
  <si>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</si>
  <si>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</si>
  <si>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</si>
  <si>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</si>
  <si>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</si>
  <si>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</si>
  <si>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</si>
  <si>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</si>
  <si>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</si>
  <si>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</si>
  <si>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</si>
  <si>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</si>
  <si>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</si>
  <si>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</si>
  <si>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</si>
  <si>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</si>
  <si>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</si>
  <si>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</si>
  <si>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</si>
  <si>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</si>
  <si>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</si>
  <si>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</si>
  <si>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</si>
  <si>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</si>
  <si>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</si>
  <si>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</si>
  <si>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</si>
  <si>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</si>
  <si>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</si>
  <si>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</si>
  <si>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</si>
  <si>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</si>
  <si>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</si>
  <si>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</si>
  <si>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</si>
  <si>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</si>
  <si>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</si>
  <si>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</si>
  <si>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</si>
  <si>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</si>
  <si>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</si>
  <si>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</si>
  <si>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</si>
  <si>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</si>
  <si>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</si>
  <si>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</si>
  <si>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</si>
  <si>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</si>
  <si>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</si>
  <si>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</si>
  <si>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</si>
  <si>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</si>
  <si>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</si>
  <si>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</si>
  <si>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</si>
  <si>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</si>
  <si>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</si>
  <si>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</si>
  <si>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</si>
  <si>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</si>
  <si>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</si>
  <si>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</si>
  <si>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</si>
  <si>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</si>
  <si>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</si>
  <si>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</si>
  <si>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</si>
  <si>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</si>
  <si>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</si>
  <si>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</si>
  <si>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</si>
  <si>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</si>
  <si>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</si>
  <si>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</si>
  <si>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</si>
  <si>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</si>
  <si>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</si>
  <si>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</si>
  <si>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</si>
  <si>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</si>
  <si>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</si>
  <si>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</si>
  <si>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</si>
  <si>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</si>
  <si>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</si>
  <si>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</si>
  <si>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</si>
  <si>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</si>
  <si>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</si>
  <si>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</si>
  <si>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</si>
  <si>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</si>
  <si>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</si>
  <si>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</si>
  <si>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</si>
  <si>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</si>
  <si>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</si>
  <si>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</si>
  <si>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</si>
  <si>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</si>
  <si>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</si>
  <si>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</si>
  <si>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</si>
  <si>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</si>
  <si>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</si>
  <si>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</si>
  <si>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</si>
  <si>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</si>
  <si>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</si>
  <si>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</si>
  <si>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</si>
  <si>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</si>
  <si>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</si>
  <si>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</si>
  <si>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</si>
  <si>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</si>
  <si>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</si>
  <si>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</si>
  <si>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</si>
  <si>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</si>
  <si>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</si>
  <si>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</si>
  <si>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</si>
  <si>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</si>
  <si>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</si>
  <si>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</si>
  <si>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</si>
  <si>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</si>
  <si>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</si>
  <si>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</si>
  <si>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</si>
  <si>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</si>
  <si>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</si>
  <si>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</si>
  <si>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</si>
  <si>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</si>
  <si>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</si>
  <si>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</si>
  <si>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</si>
  <si>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</si>
  <si>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</si>
  <si>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</si>
  <si>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</si>
  <si>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</si>
  <si>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</si>
  <si>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</si>
  <si>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</si>
  <si>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</si>
  <si>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</si>
  <si>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</si>
  <si>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</si>
  <si>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</si>
  <si>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</si>
  <si>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</si>
  <si>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</si>
  <si>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</si>
  <si>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</si>
  <si>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</si>
  <si>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</si>
  <si>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</si>
  <si>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</si>
  <si>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</si>
  <si>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</si>
  <si>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</si>
  <si>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</si>
  <si>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</si>
  <si>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</si>
  <si>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</si>
  <si>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</si>
  <si>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</si>
  <si>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</si>
  <si>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</si>
  <si>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</si>
  <si>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</si>
  <si>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</si>
  <si>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</si>
  <si>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</si>
  <si>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</si>
  <si>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</si>
  <si>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</si>
  <si>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</si>
  <si>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</si>
  <si>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</si>
  <si>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</si>
  <si>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</si>
  <si>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</si>
  <si>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</si>
  <si>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</si>
  <si>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</si>
  <si>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</si>
  <si>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</si>
  <si>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</si>
  <si>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</si>
  <si>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</si>
  <si>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</si>
  <si>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</si>
  <si>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</si>
  <si>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</si>
  <si>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</si>
  <si>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</si>
  <si>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</si>
  <si>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</si>
  <si>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</si>
  <si>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</si>
  <si>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</si>
  <si>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</si>
  <si>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</si>
  <si>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</si>
  <si>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</si>
  <si>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</si>
  <si>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</si>
  <si>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</si>
  <si>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</si>
  <si>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</si>
  <si>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</si>
  <si>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</si>
  <si>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</si>
  <si>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</si>
  <si>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</si>
  <si>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</si>
  <si>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</si>
  <si>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</si>
  <si>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</si>
  <si>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</si>
  <si>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</si>
  <si>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</si>
  <si>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</si>
  <si>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</si>
  <si>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</si>
  <si>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</si>
  <si>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</si>
  <si>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</si>
  <si>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</si>
  <si>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</si>
  <si>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</si>
  <si>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</si>
  <si>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</si>
  <si>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</si>
  <si>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</si>
  <si>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</si>
  <si>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</si>
  <si>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</si>
  <si>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</si>
  <si>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</si>
  <si>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</si>
  <si>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</si>
  <si>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</si>
  <si>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</si>
  <si>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</si>
  <si>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</si>
  <si>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</si>
  <si>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</si>
  <si>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</si>
  <si>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</si>
  <si>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</si>
  <si>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</si>
  <si>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</si>
  <si>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</si>
  <si>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</si>
  <si>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</si>
  <si>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</si>
  <si>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</si>
  <si>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</si>
  <si>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</si>
  <si>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</si>
  <si>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</si>
  <si>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</si>
  <si>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</si>
  <si>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</si>
  <si>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</si>
  <si>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</si>
  <si>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</si>
  <si>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</si>
  <si>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</si>
  <si>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</si>
  <si>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</si>
  <si>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</si>
  <si>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</si>
  <si>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</si>
  <si>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</si>
  <si>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</si>
  <si>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</si>
  <si>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</si>
  <si>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</si>
  <si>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</si>
  <si>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</si>
  <si>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</si>
  <si>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</si>
  <si>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</si>
  <si>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</si>
  <si>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</si>
  <si>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</si>
  <si>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</si>
  <si>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</si>
  <si>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</si>
  <si>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</si>
  <si>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</si>
  <si>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</si>
  <si>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</si>
  <si>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</si>
  <si>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</si>
  <si>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</si>
  <si>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</si>
  <si>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</si>
  <si>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</si>
  <si>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</si>
  <si>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</si>
  <si>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</si>
  <si>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</si>
  <si>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</si>
  <si>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</si>
  <si>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</si>
  <si>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</si>
  <si>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</si>
  <si>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</si>
  <si>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</si>
  <si>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</si>
  <si>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</si>
  <si>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</si>
  <si>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</si>
  <si>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</si>
  <si>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</si>
  <si>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</si>
  <si>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</si>
  <si>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</si>
  <si>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</si>
  <si>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</si>
  <si>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</si>
  <si>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</si>
  <si>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</si>
  <si>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</si>
  <si>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</si>
  <si>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</si>
  <si>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</si>
  <si>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</si>
  <si>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</si>
  <si>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</si>
  <si>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</si>
  <si>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</si>
  <si>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</si>
  <si>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</si>
  <si>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</si>
  <si>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</si>
  <si>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</si>
  <si>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</si>
  <si>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</si>
  <si>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</si>
  <si>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</si>
  <si>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</si>
  <si>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</si>
  <si>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</si>
  <si>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</si>
  <si>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</si>
  <si>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</si>
  <si>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</si>
  <si>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</si>
  <si>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</si>
  <si>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</si>
  <si>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</si>
  <si>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</si>
  <si>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</si>
  <si>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</si>
  <si>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</si>
  <si>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</si>
  <si>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</si>
  <si>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</si>
  <si>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</si>
  <si>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</si>
  <si>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</si>
  <si>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</si>
  <si>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</si>
  <si>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</si>
  <si>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</si>
  <si>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</si>
  <si>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</si>
  <si>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</si>
  <si>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</si>
  <si>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</si>
  <si>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</si>
  <si>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</si>
  <si>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</si>
  <si>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</si>
  <si>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</si>
  <si>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</si>
  <si>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</si>
  <si>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</si>
  <si>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</si>
  <si>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</si>
  <si>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</si>
  <si>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</si>
  <si>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</si>
  <si>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</si>
  <si>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</si>
  <si>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</si>
  <si>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</si>
  <si>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</si>
  <si>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</si>
  <si>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</si>
  <si>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</si>
  <si>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</si>
  <si>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</si>
  <si>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</si>
  <si>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</si>
  <si>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</si>
  <si>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</si>
  <si>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</si>
  <si>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</si>
  <si>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</si>
  <si>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</si>
  <si>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</si>
  <si>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</si>
  <si>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</si>
  <si>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</si>
  <si>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</si>
  <si>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</si>
  <si>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</si>
  <si>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</si>
  <si>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</si>
  <si>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</si>
  <si>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</si>
  <si>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</si>
  <si>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</si>
  <si>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</si>
  <si>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</si>
  <si>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</si>
  <si>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</si>
  <si>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</si>
  <si>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</si>
  <si>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</si>
  <si>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</si>
  <si>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</si>
  <si>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</si>
  <si>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</si>
  <si>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</si>
  <si>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</si>
  <si>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</si>
  <si>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</si>
  <si>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</si>
  <si>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</si>
  <si>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</si>
  <si>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</si>
  <si>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</si>
  <si>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</si>
  <si>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</si>
  <si>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</si>
  <si>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</si>
  <si>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</si>
  <si>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</si>
  <si>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</si>
  <si>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</si>
  <si>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</si>
  <si>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</si>
  <si>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</si>
  <si>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</si>
  <si>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</si>
  <si>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</si>
  <si>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</si>
  <si>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</si>
  <si>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</si>
  <si>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</si>
  <si>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</si>
  <si>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</si>
  <si>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</si>
  <si>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</si>
  <si>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</si>
  <si>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</si>
  <si>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</si>
  <si>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</si>
  <si>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</si>
  <si>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</si>
  <si>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</si>
  <si>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</si>
  <si>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</si>
  <si>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</si>
  <si>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</si>
  <si>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</si>
  <si>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</si>
  <si>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</si>
  <si>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</si>
  <si>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</si>
  <si>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</si>
  <si>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</si>
  <si>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</si>
  <si>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</si>
  <si>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</si>
  <si>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</si>
  <si>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</si>
  <si>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</si>
  <si>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</si>
  <si>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</si>
  <si>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</si>
  <si>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</si>
  <si>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</si>
  <si>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</si>
  <si>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</si>
  <si>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</si>
  <si>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</si>
  <si>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</si>
  <si>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</si>
  <si>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</si>
  <si>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</si>
  <si>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</si>
  <si>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</si>
  <si>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</si>
  <si>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</si>
  <si>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</si>
  <si>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</si>
  <si>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</si>
  <si>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</si>
  <si>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</si>
  <si>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</si>
  <si>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</si>
  <si>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</si>
  <si>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</si>
  <si>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</si>
  <si>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</si>
  <si>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</si>
  <si>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</si>
  <si>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</si>
  <si>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</si>
  <si>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</si>
  <si>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</si>
  <si>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</si>
  <si>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</si>
  <si>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</si>
  <si>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</si>
  <si>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</si>
  <si>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</si>
  <si>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</si>
  <si>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</si>
  <si>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</si>
  <si>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</si>
  <si>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</si>
  <si>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</si>
  <si>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</si>
  <si>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</si>
  <si>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</si>
  <si>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</si>
  <si>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</si>
  <si>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</si>
  <si>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</si>
  <si>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</si>
  <si>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</si>
  <si>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</si>
  <si>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</si>
  <si>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</si>
  <si>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</si>
  <si>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</si>
  <si>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</si>
  <si>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</si>
  <si>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</si>
  <si>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</si>
  <si>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</si>
  <si>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</si>
  <si>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</si>
  <si>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</si>
  <si>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</si>
  <si>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</si>
  <si>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</si>
  <si>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</si>
  <si>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</si>
  <si>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</si>
  <si>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</si>
  <si>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</si>
  <si>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</si>
  <si>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</si>
  <si>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</si>
  <si>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</si>
  <si>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</si>
  <si>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</si>
  <si>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</si>
  <si>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</si>
  <si>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</si>
  <si>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</si>
  <si>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</si>
  <si>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</si>
  <si>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</si>
  <si>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</si>
  <si>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</si>
  <si>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</si>
  <si>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</si>
  <si>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</si>
  <si>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</si>
  <si>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</si>
  <si>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</si>
  <si>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</si>
  <si>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</si>
  <si>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</si>
  <si>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</si>
  <si>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</si>
  <si>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</si>
  <si>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</si>
  <si>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</si>
  <si>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</si>
  <si>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</si>
  <si>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</si>
  <si>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</si>
  <si>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</si>
  <si>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</si>
  <si>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</si>
  <si>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</si>
  <si>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</si>
  <si>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</si>
  <si>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</si>
  <si>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</si>
  <si>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</si>
  <si>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</si>
  <si>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</si>
  <si>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</si>
  <si>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</si>
  <si>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</si>
  <si>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</si>
  <si>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</si>
  <si>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</si>
  <si>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</si>
  <si>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</si>
  <si>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</si>
  <si>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</si>
  <si>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</si>
  <si>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</si>
  <si>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</si>
  <si>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</si>
  <si>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</si>
  <si>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</si>
  <si>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</si>
  <si>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</si>
  <si>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</si>
  <si>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</si>
  <si>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</si>
  <si>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</si>
  <si>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</si>
  <si>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</si>
  <si>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</si>
  <si>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</si>
  <si>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</si>
  <si>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</si>
  <si>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</si>
  <si>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</si>
  <si>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</si>
  <si>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</si>
  <si>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</si>
  <si>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</si>
  <si>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</si>
  <si>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</si>
  <si>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</si>
  <si>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</si>
  <si>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</si>
  <si>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</si>
  <si>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</si>
  <si>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</si>
  <si>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</si>
  <si>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</si>
  <si>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</si>
  <si>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</si>
  <si>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</si>
  <si>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</si>
  <si>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</si>
  <si>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</si>
  <si>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</si>
  <si>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</si>
  <si>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</si>
  <si>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</si>
  <si>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</si>
  <si>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</si>
  <si>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</si>
  <si>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</si>
  <si>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</si>
  <si>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</si>
  <si>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</si>
  <si>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</si>
  <si>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</si>
  <si>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</si>
  <si>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</si>
  <si>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</si>
  <si>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</si>
  <si>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</si>
  <si>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</si>
  <si>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</si>
  <si>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</si>
  <si>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</si>
  <si>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</si>
  <si>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</si>
  <si>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</si>
  <si>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</si>
  <si>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</si>
  <si>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</si>
  <si>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</si>
  <si>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</si>
  <si>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</si>
  <si>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</si>
  <si>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</si>
  <si>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</si>
  <si>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</si>
  <si>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</si>
  <si>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</si>
  <si>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</si>
  <si>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</si>
  <si>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</si>
  <si>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</si>
  <si>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</si>
  <si>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</si>
  <si>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</si>
  <si>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</si>
  <si>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</si>
  <si>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</si>
  <si>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</si>
  <si>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</si>
  <si>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</si>
  <si>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</si>
  <si>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</si>
  <si>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</si>
  <si>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</si>
  <si>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</si>
  <si>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</si>
  <si>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</si>
  <si>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</si>
  <si>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</si>
  <si>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</si>
  <si>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</si>
  <si>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</si>
  <si>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</si>
  <si>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</si>
  <si>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</si>
  <si>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</si>
  <si>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</si>
  <si>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</si>
  <si>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</si>
  <si>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</si>
  <si>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</si>
  <si>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</si>
  <si>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</si>
  <si>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</si>
  <si>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</si>
  <si>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</si>
  <si>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</si>
  <si>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</si>
  <si>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</si>
  <si>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</si>
  <si>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</si>
  <si>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</si>
  <si>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</si>
  <si>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</si>
  <si>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</si>
  <si>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</si>
  <si>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</si>
  <si>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</si>
  <si>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</si>
  <si>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</si>
  <si>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</si>
  <si>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</si>
  <si>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</si>
  <si>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</si>
  <si>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</si>
  <si>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</si>
  <si>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</si>
  <si>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</si>
  <si>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</si>
  <si>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</si>
  <si>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</si>
  <si>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</si>
  <si>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</si>
  <si>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</si>
  <si>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</si>
  <si>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</si>
  <si>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</si>
  <si>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</si>
  <si>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</si>
  <si>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</si>
  <si>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</si>
  <si>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</si>
  <si>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</si>
  <si>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</si>
  <si>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</si>
  <si>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</si>
  <si>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</si>
  <si>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</si>
  <si>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</si>
  <si>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</si>
  <si>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</si>
  <si>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</si>
  <si>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</si>
  <si>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</si>
  <si>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</si>
  <si>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</si>
  <si>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</si>
  <si>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</si>
  <si>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</si>
  <si>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</si>
  <si>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</si>
  <si>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</si>
  <si>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</si>
  <si>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</si>
  <si>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</si>
  <si>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</si>
  <si>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</si>
  <si>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</si>
  <si>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</si>
  <si>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</si>
  <si>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</si>
  <si>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</si>
  <si>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</si>
  <si>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</si>
  <si>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</si>
  <si>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</si>
  <si>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</si>
  <si>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</si>
  <si>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</si>
  <si>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</si>
  <si>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</si>
  <si>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</si>
  <si>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</si>
  <si>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</si>
  <si>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</si>
  <si>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</si>
  <si>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</si>
  <si>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</si>
  <si>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</si>
  <si>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</si>
  <si>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</si>
  <si>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</si>
  <si>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</si>
  <si>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</si>
  <si>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</si>
  <si>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</si>
  <si>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</si>
  <si>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</si>
  <si>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</si>
  <si>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</si>
  <si>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</si>
  <si>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</si>
  <si>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</si>
  <si>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</si>
  <si>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</si>
  <si>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</si>
  <si>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</si>
  <si>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</si>
  <si>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</si>
  <si>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</si>
  <si>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</si>
  <si>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</si>
  <si>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</si>
  <si>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</si>
  <si>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</si>
  <si>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</si>
  <si>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</si>
  <si>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</si>
  <si>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</si>
  <si>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</si>
  <si>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</si>
  <si>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</si>
  <si>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</si>
  <si>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</si>
  <si>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</si>
  <si>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</si>
  <si>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</si>
  <si>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</si>
  <si>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</si>
  <si>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</si>
  <si>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</si>
  <si>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</si>
  <si>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</si>
  <si>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</si>
  <si>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</si>
  <si>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</si>
  <si>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</si>
  <si>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</si>
  <si>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</si>
  <si>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</si>
  <si>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</si>
  <si>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</si>
  <si>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</si>
  <si>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</si>
  <si>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</si>
  <si>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</si>
  <si>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</si>
  <si>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</si>
  <si>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</si>
  <si>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</si>
  <si>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</si>
  <si>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</si>
  <si>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</si>
  <si>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</si>
  <si>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</si>
  <si>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</si>
  <si>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</si>
  <si>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</si>
  <si>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</si>
  <si>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</si>
  <si>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</si>
  <si>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</si>
  <si>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</si>
  <si>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</si>
  <si>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</si>
  <si>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</si>
  <si>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</si>
  <si>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</si>
  <si>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</si>
  <si>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</si>
  <si>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</si>
  <si>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</si>
  <si>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</si>
  <si>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</si>
  <si>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</si>
  <si>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</si>
  <si>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</si>
  <si>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</si>
  <si>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</si>
  <si>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</si>
  <si>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</si>
  <si>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</si>
  <si>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</si>
  <si>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</si>
  <si>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</si>
  <si>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</si>
  <si>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</si>
  <si>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</si>
  <si>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</si>
  <si>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</si>
  <si>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</si>
  <si>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</si>
  <si>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>Összesen (1.+3.+5.+7.+33.)</t>
  </si>
  <si>
    <t>Heves Város Önkormányzata 2020. évi költségvetésének mellékleteiről</t>
  </si>
  <si>
    <t xml:space="preserve">Heves Város Önkormányzata 2020. évi költségvetési rendelet tervezete 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</si>
  <si>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</si>
  <si>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</si>
  <si>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</si>
  <si>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</si>
  <si>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</si>
  <si>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</si>
  <si>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</si>
  <si>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</si>
  <si>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</si>
  <si>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Előirányzat-felhasználási ütemterv 2020. évre (tervezett adatok alapján)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</si>
  <si>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</si>
  <si>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</si>
  <si>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</si>
  <si>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</si>
  <si>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</si>
  <si>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Városüzemeltetési feladatok 2020. évi részletes költségvetése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</si>
  <si>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</si>
  <si>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</si>
  <si>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</si>
  <si>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</si>
  <si>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</si>
  <si>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</si>
  <si>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</si>
  <si>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</si>
  <si>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</si>
  <si>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</si>
  <si>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</si>
  <si>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</si>
  <si>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</si>
  <si>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</si>
  <si>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</si>
  <si>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2020. évi tervezett kedvezmény nélkül elérhető bevétel</t>
  </si>
  <si>
    <t>2020. évi tervezett kedvezmények összege</t>
  </si>
  <si>
    <t>2019. évi várható teljesítés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</si>
  <si>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</si>
  <si>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</si>
  <si>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</si>
  <si>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</si>
  <si>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</si>
  <si>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</si>
  <si>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</si>
  <si>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</si>
  <si>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</si>
  <si>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</si>
  <si>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</si>
  <si>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</si>
  <si>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</si>
  <si>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</si>
  <si>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</si>
  <si>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</si>
  <si>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</si>
  <si>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</si>
  <si>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</si>
  <si>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</si>
  <si>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</si>
  <si>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</si>
  <si>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</si>
  <si>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</si>
  <si>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</si>
  <si>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</si>
  <si>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</si>
  <si>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</si>
  <si>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</si>
  <si>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</si>
  <si>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</si>
  <si>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</si>
  <si>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</si>
  <si>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</si>
  <si>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</si>
  <si>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</si>
  <si>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</si>
  <si>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</si>
  <si>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</si>
  <si>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</si>
  <si>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</si>
  <si>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</si>
  <si>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</si>
  <si>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</si>
  <si>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</si>
  <si>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</si>
  <si>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</si>
  <si>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</si>
  <si>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</si>
  <si>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</si>
  <si>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</si>
  <si>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</si>
  <si>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</si>
  <si>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</si>
  <si>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</si>
  <si>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</si>
  <si>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</si>
  <si>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</si>
  <si>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</si>
  <si>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</si>
  <si>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</si>
  <si>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</si>
  <si>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</si>
  <si>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</si>
  <si>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</si>
  <si>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</si>
  <si>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</si>
  <si>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</si>
  <si>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</si>
  <si>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</si>
  <si>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</si>
  <si>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</si>
  <si>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</si>
  <si>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</si>
  <si>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</si>
  <si>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</si>
  <si>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</si>
  <si>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</si>
  <si>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</si>
  <si>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</si>
  <si>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</si>
  <si>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</si>
  <si>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</si>
  <si>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</si>
  <si>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</si>
  <si>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</si>
  <si>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</si>
  <si>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</si>
  <si>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</si>
  <si>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</si>
  <si>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</si>
  <si>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</si>
  <si>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</si>
  <si>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</si>
  <si>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</si>
  <si>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</si>
  <si>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</si>
  <si>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</si>
  <si>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</si>
  <si>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</si>
  <si>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</si>
  <si>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</si>
  <si>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</si>
  <si>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</si>
  <si>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</si>
  <si>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</si>
  <si>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Fejlesztési hitel felvétele - Szent István út és az Alkotmány út egy részének komplex felújítása önerő</t>
  </si>
  <si>
    <t>Egyéb bevételek, kiadások (rendezés)</t>
  </si>
  <si>
    <t>Támogatások (rendezés)</t>
  </si>
  <si>
    <t>Főnix Trampolin Sportegyesület</t>
  </si>
  <si>
    <t>Készletértékesítés ellenértéke (B401)</t>
  </si>
  <si>
    <t xml:space="preserve">K I M U T A T Á S </t>
  </si>
  <si>
    <t>Adatok Ft-ban</t>
  </si>
  <si>
    <t>A Képviselő-testület határozatai, rendeletei, egyéb döntései alapján történő előirányzat módosítások</t>
  </si>
  <si>
    <t>K.6.13.1.</t>
  </si>
  <si>
    <t>ÖNK - Önkormányzatok és önkormányzati hivatalok jogalkotó és általános igazgatási tevékenysége - Általános tartalék (K513)</t>
  </si>
  <si>
    <t>6.13.1. Általános tartalék (K513)</t>
  </si>
  <si>
    <t>2 Önkormányzatok és önkormányzati hivatalok jogalkotó és általános igazgatási tevékenysége-Önkormányzatok és társulások igazgatási tevékenysége</t>
  </si>
  <si>
    <t>Központi költségvetési szerv, valamely költségvetési fejezet, vagy elkülönített állami pénzalap, által biztosított források átvezetése, valamint államháztartáson kívülről érkező pénzeszközök</t>
  </si>
  <si>
    <t>11 Önkormányzatok elszámolásai a központi költségvetéssel-Önkormányzatok és társulások elszámolásai a központi költségvetéssel</t>
  </si>
  <si>
    <t>K.6.13.2.</t>
  </si>
  <si>
    <t>6.13.2. Céltartalék (K513)</t>
  </si>
  <si>
    <t>K.2.1.</t>
  </si>
  <si>
    <t>HVGYKCSSZ - Család- és gyermekjóléti szolgáltatások - Foglalkoztatottak személyi juttatásai (K11)</t>
  </si>
  <si>
    <t>2.1. Foglalkoztatottak személyi juttatásai (K11)</t>
  </si>
  <si>
    <t>116 Család- és gyermekjóléti szolgáltatások-Családsegítés</t>
  </si>
  <si>
    <t>K.3.</t>
  </si>
  <si>
    <t>HVGYKCSSZ - Család- és gyermekjóléti szolgáltatások - Munkaadókat terhelő járulékok és szociális hozzájárulási adó (K2)</t>
  </si>
  <si>
    <t>3. I/2. Munkaadókat terhelő járulékok és szociális hozzájárulási adó (K2)</t>
  </si>
  <si>
    <t>HKK - Könyvtári szolgáltatások - Foglalkoztatottak személyi juttatásai (K11)</t>
  </si>
  <si>
    <t>105 Könyvtári szolgáltatások-Könyvtári szolgáltatások</t>
  </si>
  <si>
    <t>HKK - Könyvtári szolgáltatások - Munkaadókat terhelő járulékok és szociális hozzájárulási adó (K2)</t>
  </si>
  <si>
    <t>HKÖH - Önkormányzatok és önkormányzati hivatalok jogalkotó és általános igazgatási tevékenysége - Foglalkoztatottak személyi juttatásai (K11)</t>
  </si>
  <si>
    <t>81 Önkormányzatok és önkormányzati hivatalok jogalkotó és általános igazgatási tevékenysége-Önkormányzatok és társulások igazgatási tevékenysége</t>
  </si>
  <si>
    <t>HKÖH - Önkormányzatok és önkormányzati hivatalok jogalkotó és általános igazgatási tevékenysége - Munkaadókat terhelő járulékok és szociális hozzájárulási adó (K2)</t>
  </si>
  <si>
    <t>B.2.6.</t>
  </si>
  <si>
    <t>ÖNK - Hosszabb időtartamú közfoglalkoztatás - Egyéb működési célú támogatások bevételei államháztartáson belülről (B16)</t>
  </si>
  <si>
    <t>2.6. Egyéb működési célú támogatások bevételei államháztartáson belülről (B16)</t>
  </si>
  <si>
    <t>17 Hosszabb időtartamú közfoglalkoztatás-Foglalkoztatást helyettesítő támogatásra jogosultak hosszabb időtartamú közfoglalkoztatása</t>
  </si>
  <si>
    <t>ÖNK - Hosszabb időtartamú közfoglalkoztatás - Foglalkoztatottak személyi juttatásai (K11)</t>
  </si>
  <si>
    <t>ÖNK - Hosszabb időtartamú közfoglalkoztatás - Munkaadókat terhelő járulékok és szociális hozzájárulási adó (K2)</t>
  </si>
  <si>
    <t>Saját hatáskörű előirányzat módosítások</t>
  </si>
  <si>
    <t>2020. évi eredeti előirányzat</t>
  </si>
  <si>
    <t>2020. évi módosított előirányzat</t>
  </si>
  <si>
    <t>2020. évi eredeti létszám előirányzat (fő)</t>
  </si>
  <si>
    <t>2020. évi módosított létszám előirányzat (fő)</t>
  </si>
  <si>
    <t>2019. évi eredeti tervezett kedvezmény nélkül elérhető bevétel</t>
  </si>
  <si>
    <t>2019. évi eredeti tervezett kedvezmények összege</t>
  </si>
  <si>
    <t>2020. évi módosított tervezett kedvezmény nélkül elérhető bevétel</t>
  </si>
  <si>
    <t>2020. évi módosított tervezett kedvezmények összege</t>
  </si>
  <si>
    <t>K.8.2.</t>
  </si>
  <si>
    <t>8.2. Ingatlanok beszerzése, létesítése (K62)</t>
  </si>
  <si>
    <t>HVÓBKI - Önkormányzatok és önkormányzati hivatalok jogalkotó és általános igazgatási tevékenysége - Foglalkoztatottak személyi juttatásai (K11)</t>
  </si>
  <si>
    <t>HVÓBKI - Önkormányzatok és önkormányzati hivatalok jogalkotó és általános igazgatási tevékenysége - Munkaadókat terhelő járulékok és szociális hozzájárulási adó (K2)</t>
  </si>
  <si>
    <t>96 Óvodai nevelés, ellátás szakmai feladatai-Óvodai nevelés</t>
  </si>
  <si>
    <t>2020. évi közfoglalkoztatás támogatása (újabb aláírt szerződések alapján)</t>
  </si>
  <si>
    <t>4.3. Szolgáltatási kiadások (K33)</t>
  </si>
  <si>
    <t>K.4.3.</t>
  </si>
  <si>
    <t>2.1.5. Működési célú költségvetési támogatások és kiegészítő támogatások (B115)</t>
  </si>
  <si>
    <t>ÖNK - Önkormányzatok elszámolásai a központi költségvetéssel - Működési célú költségvetési támogatások és kiegészítő támogatások (B115)</t>
  </si>
  <si>
    <t>Szociális célú ingatlan vásárlás</t>
  </si>
  <si>
    <t>Heves Termál Turisztikai Idegenforgalmi és Szolgáltató Kft. Alapítása</t>
  </si>
  <si>
    <t>Új Hevesi Média Kulturális és Szolgáltató Kft. Alapítása</t>
  </si>
  <si>
    <t>Albert Schweitzer Kórház Alapítvány</t>
  </si>
  <si>
    <t>Markhot Ferenc Kórház</t>
  </si>
  <si>
    <t>3.10.</t>
  </si>
  <si>
    <t>3.11</t>
  </si>
  <si>
    <t>Cégalapítások</t>
  </si>
  <si>
    <t>Szociális ingatlan vásárlás</t>
  </si>
  <si>
    <t>szocl</t>
  </si>
  <si>
    <t>B.2.1.5.</t>
  </si>
  <si>
    <t>Nyári diákmunka</t>
  </si>
  <si>
    <t>B.2.1.2.</t>
  </si>
  <si>
    <t>ÖNK - Önkormányzatok elszámolásai a központi költségvetéssel - Települési önkormányzatok egyes köznevelési feladatainak támogatása (B112)</t>
  </si>
  <si>
    <t>2.1.2. Települési önkormányzatok egyes köznevelési feladatainak támogatása (B112)</t>
  </si>
  <si>
    <t>B.2.1.3.</t>
  </si>
  <si>
    <t>ÖNK - Önkormányzatok elszámolásai a központi költségvetéssel - Települési önkormányzatok szociális és gyermekjóléti  feladatainak támogatása (B113)</t>
  </si>
  <si>
    <t>2.1.3. Települési önkormányzatok szociális és gyermekjóléti  feladatainak támogatása (B113)</t>
  </si>
  <si>
    <t>ÖNK - Önkormányzatok és önkormányzati hivatalok jogalkotó és általános igazgatási tevékenysége - Céltartalék (K513) (Fel nem használt szociális támogatásokra)</t>
  </si>
  <si>
    <t>Gyöngyösi úti temető urnafal építés</t>
  </si>
  <si>
    <t>Jégpálya betonozási munkák, kerítés (pályázatban önerő)</t>
  </si>
  <si>
    <t>Sakkmúzeum tető (pályázatban önerő)</t>
  </si>
  <si>
    <t>Hevesi Rendőrkapítányság</t>
  </si>
  <si>
    <t>2020. december …</t>
  </si>
  <si>
    <t>ÖNK - Lakóingatlan szociális célú bérbeadása, üzemeltetése - Ingatlanok beszerzése, létesítése (K62)</t>
  </si>
  <si>
    <t>58 Lakóingatlan szociális célú bérbeadása, üzemeltetése-Lakóingatlan szociális célú bérbeadása, üzemeltetése</t>
  </si>
  <si>
    <t>ÖNK - Önkormányzatok és önkormányzati hivatalok jogalkotó és általános igazgatási tevékenysége - Céltartalék (Fel nem használt szociális támogatásokra) (K513)</t>
  </si>
  <si>
    <t>104/2020. (X.22.) önkormányzati határozat - Heves Város Önkormányzat Képviselő-testülete megvitatta a Heves Város Önkormányzata által a Heves, 1993. hrsz. szám alatti, természetben 3360 Heves, Dankó Pista köz 18. szám alatti található lakóház, udvar megnevezésű ingatlan megvásárlása</t>
  </si>
  <si>
    <t>a 2020. évi költségvetési előirányzatok módosításáról</t>
  </si>
  <si>
    <t>70/2020. (XII. 4.) polgármesteri határozat - a HVGYKCSSZ valamint a hovány Kft. Közötti adásvételi szerződés (9 személyes kisbusz vásárlása)</t>
  </si>
  <si>
    <t>8.4. Egyéb tárgyi eszközök beszerzése, létesítése (K64)</t>
  </si>
  <si>
    <t>8.7. Beruházási célú előzetesen felszámított általános forgalmi adó (K67)</t>
  </si>
  <si>
    <t>HVGYKCSSZ - Család- és gyermekjóléti szolgáltatások - Egyéb tárgyi eszközök beszerzése, létesítése (K64)</t>
  </si>
  <si>
    <t>HVGYKCSSZ - Család- és gyermekjóléti szolgáltatások - Beruházási célú előzetesen felszámított általános forgalmi adó (K67)</t>
  </si>
  <si>
    <t>K.8.4.</t>
  </si>
  <si>
    <t>K.8.7.</t>
  </si>
  <si>
    <t>72/2020. (XII. 10.) polgármesteri határozat - Heves, belterület 1412. hrsz. szám alatti, természetben 3360 Heves, Fő út 25. szám alatti ingatlan árverési megvásárlása</t>
  </si>
  <si>
    <t>73/2020. (XII. 17.) polgármesteri határozat - a 16/2013.(XII.20.) önkormányzat tulajdonában lévő lakások és nem lakás céljára szolgáló helyiségek bérletéről és elidegenítéséről szóló rendelet módosítása keretében HEVA kompenzáció</t>
  </si>
  <si>
    <t>10.9. Egyéb felhalmozási célú támogatások államháztartáson kívülre  (K89)</t>
  </si>
  <si>
    <t>ÖNK - Lakóingatlan szociális célú bérbeadása, üzemeltetése - Egyéb felhalmozási célú támogatások államháztartáson kívülre  (K89)</t>
  </si>
  <si>
    <t>K.10.9.</t>
  </si>
  <si>
    <t>97 Gyermekétkeztetés köznevelési intézményben-Óvodai intézményi étkeztetés</t>
  </si>
  <si>
    <t>4.5. Különféle befizetések és egyéb dologi kiadások (K35)</t>
  </si>
  <si>
    <t>HVÓBKI - Gyermekétkeztetés köznevelési intézményben - Szolgáltatási kiadások (K33)</t>
  </si>
  <si>
    <t>HVÓBKI - Gyermekétkeztetés köznevelési intézményben - Különféle befizetések és egyéb dologi kiadások (K35)</t>
  </si>
  <si>
    <t>K.4.5.</t>
  </si>
  <si>
    <t>2020. évi kulturális illetménypótlék (2020.09-11.hó)</t>
  </si>
  <si>
    <t>2020. évi szociális ágazati összevont pótlék (2020.09-11.hó)</t>
  </si>
  <si>
    <t>A költségvetési szerveknél foglalkoztatottak 2020. évi kompenzációja (2020.08-10.hó)</t>
  </si>
  <si>
    <t>Évközi (május, október) támogatás előirányzat módosítások</t>
  </si>
  <si>
    <t>Tartalékok rendezése</t>
  </si>
  <si>
    <t>Gépjármű vásárlás</t>
  </si>
  <si>
    <t>HEVA Kft. Kompenzáció lakásrendelet módosítás miatt</t>
  </si>
  <si>
    <t>szociális lakások működtetése</t>
  </si>
  <si>
    <t>12. ..-i módosítás</t>
  </si>
  <si>
    <t>12. ..-i módosított előirányzat</t>
  </si>
  <si>
    <t>12. ..-i módosítás (fő)</t>
  </si>
  <si>
    <t>12. ..-i módosított létszám előirányzat (fő)</t>
  </si>
  <si>
    <t>12. ..-i módosítás tervezett kedvezmény nélkül elérhető bevétel</t>
  </si>
  <si>
    <t>12. ..-i módosítás tervezett kedvezmények összege</t>
  </si>
  <si>
    <t>84/2020. (XII. 29.) polgármesteri határozat - Juventus Panoráma Kft. kérelme alapján kompenzáció fizetése elmaradt adagszámok miatt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</si>
</sst>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b/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i/>
      <u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9"/>
      <color rgb="FFFFC000"/>
      <name val="Times New Roman CE"/>
      <charset val="238"/>
    </font>
    <font>
      <i/>
      <sz val="11"/>
      <name val="Times New Roman"/>
      <family val="1"/>
      <charset val="238"/>
    </font>
    <font>
      <b/>
      <sz val="10"/>
      <name val="Arial CE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1" fillId="0" borderId="0"/>
    <xf numFmtId="0" fontId="2" fillId="0" borderId="0"/>
    <xf numFmtId="0" fontId="52" fillId="0" borderId="0"/>
    <xf numFmtId="3" fontId="4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9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3" fontId="16" fillId="0" borderId="53" xfId="0" applyNumberFormat="1" applyFont="1" applyBorder="1"/>
    <xf numFmtId="3" fontId="15" fillId="0" borderId="91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95" xfId="0" applyNumberFormat="1" applyFont="1" applyBorder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7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3" fontId="11" fillId="0" borderId="30" xfId="11" applyNumberFormat="1" applyFont="1" applyFill="1" applyBorder="1" applyAlignment="1">
      <alignment vertical="center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4" fillId="0" borderId="95" xfId="26" applyNumberFormat="1" applyFont="1" applyBorder="1"/>
    <xf numFmtId="3" fontId="44" fillId="0" borderId="86" xfId="26" applyNumberFormat="1" applyFont="1" applyBorder="1"/>
    <xf numFmtId="3" fontId="44" fillId="0" borderId="51" xfId="26" applyNumberFormat="1" applyFont="1" applyBorder="1"/>
    <xf numFmtId="3" fontId="44" fillId="0" borderId="50" xfId="26" applyNumberFormat="1" applyFont="1" applyBorder="1"/>
    <xf numFmtId="3" fontId="44" fillId="0" borderId="100" xfId="26" applyNumberFormat="1" applyFont="1" applyBorder="1"/>
    <xf numFmtId="3" fontId="8" fillId="0" borderId="0" xfId="33" applyNumberFormat="1" applyFont="1" applyFill="1" applyProtection="1"/>
    <xf numFmtId="3" fontId="44" fillId="0" borderId="48" xfId="26" applyNumberFormat="1" applyFont="1" applyBorder="1"/>
    <xf numFmtId="3" fontId="44" fillId="0" borderId="61" xfId="26" applyNumberFormat="1" applyFont="1" applyBorder="1"/>
    <xf numFmtId="3" fontId="44" fillId="0" borderId="38" xfId="26" applyNumberFormat="1" applyFont="1" applyBorder="1"/>
    <xf numFmtId="3" fontId="44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4" fillId="0" borderId="49" xfId="26" applyNumberFormat="1" applyFont="1" applyBorder="1"/>
    <xf numFmtId="3" fontId="44" fillId="0" borderId="62" xfId="26" applyNumberFormat="1" applyFont="1" applyBorder="1"/>
    <xf numFmtId="3" fontId="44" fillId="0" borderId="2" xfId="26" applyNumberFormat="1" applyFont="1" applyBorder="1"/>
    <xf numFmtId="3" fontId="44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6" fillId="0" borderId="62" xfId="26" applyNumberFormat="1" applyFont="1" applyBorder="1"/>
    <xf numFmtId="3" fontId="46" fillId="0" borderId="2" xfId="26" applyNumberFormat="1" applyFont="1" applyBorder="1"/>
    <xf numFmtId="3" fontId="46" fillId="0" borderId="18" xfId="26" applyNumberFormat="1" applyFont="1" applyBorder="1"/>
    <xf numFmtId="3" fontId="44" fillId="0" borderId="91" xfId="26" applyNumberFormat="1" applyFont="1" applyBorder="1"/>
    <xf numFmtId="3" fontId="45" fillId="0" borderId="98" xfId="26" applyNumberFormat="1" applyFont="1" applyBorder="1"/>
    <xf numFmtId="3" fontId="45" fillId="0" borderId="28" xfId="26" applyNumberFormat="1" applyFont="1" applyBorder="1"/>
    <xf numFmtId="3" fontId="45" fillId="0" borderId="29" xfId="26" applyNumberFormat="1" applyFont="1" applyBorder="1"/>
    <xf numFmtId="3" fontId="45" fillId="0" borderId="92" xfId="26" applyNumberFormat="1" applyFont="1" applyBorder="1"/>
    <xf numFmtId="3" fontId="45" fillId="0" borderId="90" xfId="26" applyNumberFormat="1" applyFont="1" applyBorder="1"/>
    <xf numFmtId="3" fontId="45" fillId="0" borderId="93" xfId="26" applyNumberFormat="1" applyFont="1" applyBorder="1"/>
    <xf numFmtId="3" fontId="47" fillId="0" borderId="93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3" fontId="48" fillId="0" borderId="0" xfId="11" applyNumberFormat="1" applyFont="1" applyFill="1" applyBorder="1" applyAlignment="1">
      <alignment vertical="center" wrapText="1"/>
    </xf>
    <xf numFmtId="3" fontId="48" fillId="0" borderId="0" xfId="11" applyNumberFormat="1" applyFont="1" applyFill="1" applyBorder="1" applyAlignment="1">
      <alignment wrapText="1"/>
    </xf>
    <xf numFmtId="3" fontId="49" fillId="0" borderId="0" xfId="11" applyNumberFormat="1" applyFont="1" applyFill="1" applyBorder="1" applyAlignment="1">
      <alignment vertical="center" wrapText="1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3" fillId="0" borderId="0" xfId="11" applyNumberFormat="1" applyFont="1" applyFill="1" applyAlignment="1">
      <alignment vertical="center" wrapText="1"/>
    </xf>
    <xf numFmtId="3" fontId="54" fillId="0" borderId="0" xfId="11" applyNumberFormat="1" applyFont="1" applyFill="1" applyAlignment="1">
      <alignment horizontal="center" vertical="center" wrapText="1"/>
    </xf>
    <xf numFmtId="3" fontId="53" fillId="0" borderId="0" xfId="11" applyNumberFormat="1" applyFont="1" applyFill="1" applyAlignment="1">
      <alignment horizontal="center" vertical="center" wrapText="1"/>
    </xf>
    <xf numFmtId="3" fontId="53" fillId="0" borderId="55" xfId="11" applyNumberFormat="1" applyFont="1" applyFill="1" applyBorder="1" applyAlignment="1">
      <alignment horizontal="center" vertical="center" wrapText="1"/>
    </xf>
    <xf numFmtId="3" fontId="53" fillId="0" borderId="60" xfId="11" applyNumberFormat="1" applyFont="1" applyFill="1" applyBorder="1" applyAlignment="1">
      <alignment horizontal="center" vertical="center" wrapText="1"/>
    </xf>
    <xf numFmtId="3" fontId="53" fillId="0" borderId="62" xfId="11" applyNumberFormat="1" applyFont="1" applyFill="1" applyBorder="1" applyAlignment="1">
      <alignment horizontal="center" vertical="center" wrapText="1"/>
    </xf>
    <xf numFmtId="3" fontId="53" fillId="0" borderId="63" xfId="11" applyNumberFormat="1" applyFont="1" applyFill="1" applyBorder="1" applyAlignment="1">
      <alignment horizontal="center" vertical="center" wrapText="1"/>
    </xf>
    <xf numFmtId="3" fontId="55" fillId="0" borderId="47" xfId="11" applyNumberFormat="1" applyFont="1" applyFill="1" applyBorder="1" applyAlignment="1">
      <alignment horizontal="center" vertical="center" wrapText="1"/>
    </xf>
    <xf numFmtId="3" fontId="55" fillId="2" borderId="47" xfId="11" applyNumberFormat="1" applyFont="1" applyFill="1" applyBorder="1" applyAlignment="1">
      <alignment horizontal="center" vertical="center" wrapText="1"/>
    </xf>
    <xf numFmtId="3" fontId="53" fillId="0" borderId="86" xfId="11" applyNumberFormat="1" applyFont="1" applyFill="1" applyBorder="1" applyAlignment="1">
      <alignment horizontal="center" vertical="center" wrapText="1"/>
    </xf>
    <xf numFmtId="3" fontId="53" fillId="0" borderId="61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 wrapText="1"/>
    </xf>
    <xf numFmtId="3" fontId="55" fillId="0" borderId="95" xfId="11" applyNumberFormat="1" applyFont="1" applyFill="1" applyBorder="1" applyAlignment="1">
      <alignment horizontal="center" vertical="center" wrapText="1"/>
    </xf>
    <xf numFmtId="3" fontId="54" fillId="0" borderId="0" xfId="11" applyNumberFormat="1" applyFont="1" applyFill="1" applyAlignment="1">
      <alignment horizontal="center" vertical="center"/>
    </xf>
    <xf numFmtId="3" fontId="53" fillId="0" borderId="0" xfId="11" applyNumberFormat="1" applyFont="1" applyFill="1" applyAlignment="1">
      <alignment horizontal="center" vertical="center"/>
    </xf>
    <xf numFmtId="3" fontId="56" fillId="0" borderId="63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/>
    </xf>
    <xf numFmtId="3" fontId="56" fillId="0" borderId="62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/>
    </xf>
    <xf numFmtId="3" fontId="53" fillId="0" borderId="0" xfId="0" applyNumberFormat="1" applyFont="1" applyFill="1" applyAlignment="1">
      <alignment horizontal="center" vertical="center"/>
    </xf>
    <xf numFmtId="3" fontId="55" fillId="4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0" fontId="12" fillId="0" borderId="2" xfId="11" applyFont="1" applyFill="1" applyBorder="1" applyAlignment="1">
      <alignment horizontal="left" vertical="center" wrapText="1" indent="2"/>
    </xf>
    <xf numFmtId="3" fontId="53" fillId="4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5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3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9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53" fillId="0" borderId="62" xfId="11" applyNumberFormat="1" applyFont="1" applyFill="1" applyBorder="1" applyAlignment="1">
      <alignment horizontal="center" vertical="center"/>
    </xf>
    <xf numFmtId="0" fontId="57" fillId="0" borderId="8" xfId="11" applyFont="1" applyFill="1" applyBorder="1" applyAlignment="1" applyProtection="1">
      <alignment horizontal="left" vertical="center" wrapText="1" indent="2"/>
      <protection locked="0"/>
    </xf>
    <xf numFmtId="3" fontId="57" fillId="0" borderId="26" xfId="11" applyNumberFormat="1" applyFont="1" applyFill="1" applyBorder="1" applyAlignment="1">
      <alignment vertical="center" wrapText="1"/>
    </xf>
    <xf numFmtId="49" fontId="57" fillId="0" borderId="63" xfId="11" applyNumberFormat="1" applyFont="1" applyFill="1" applyBorder="1" applyAlignment="1">
      <alignment horizontal="center" vertical="center" wrapText="1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0" fontId="10" fillId="0" borderId="11" xfId="11" applyFont="1" applyFill="1" applyBorder="1" applyAlignment="1">
      <alignment horizontal="center" vertical="center"/>
    </xf>
    <xf numFmtId="3" fontId="58" fillId="0" borderId="11" xfId="11" applyNumberFormat="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55" fillId="0" borderId="0" xfId="11" applyNumberFormat="1" applyFont="1" applyAlignment="1">
      <alignment vertical="center"/>
    </xf>
    <xf numFmtId="3" fontId="59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165" fontId="9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164" fontId="12" fillId="0" borderId="55" xfId="11" applyNumberFormat="1" applyFont="1" applyFill="1" applyBorder="1" applyAlignment="1"/>
    <xf numFmtId="3" fontId="12" fillId="0" borderId="72" xfId="11" applyNumberFormat="1" applyFont="1" applyBorder="1" applyAlignment="1">
      <alignment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69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24" xfId="11" applyNumberFormat="1" applyFont="1" applyFill="1" applyBorder="1" applyAlignment="1">
      <alignment vertical="center" wrapText="1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17" fillId="0" borderId="59" xfId="0" applyNumberFormat="1" applyFont="1" applyFill="1" applyBorder="1"/>
    <xf numFmtId="3" fontId="17" fillId="0" borderId="26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3" fontId="18" fillId="0" borderId="39" xfId="0" applyNumberFormat="1" applyFont="1" applyFill="1" applyBorder="1"/>
    <xf numFmtId="164" fontId="15" fillId="0" borderId="48" xfId="0" applyNumberFormat="1" applyFont="1" applyFill="1" applyBorder="1"/>
    <xf numFmtId="164" fontId="15" fillId="0" borderId="39" xfId="0" applyNumberFormat="1" applyFont="1" applyFill="1" applyBorder="1"/>
    <xf numFmtId="164" fontId="17" fillId="0" borderId="59" xfId="0" applyNumberFormat="1" applyFont="1" applyFill="1" applyBorder="1"/>
    <xf numFmtId="164" fontId="17" fillId="0" borderId="26" xfId="0" applyNumberFormat="1" applyFont="1" applyFill="1" applyBorder="1"/>
    <xf numFmtId="164" fontId="15" fillId="0" borderId="59" xfId="0" applyNumberFormat="1" applyFont="1" applyFill="1" applyBorder="1"/>
    <xf numFmtId="164" fontId="15" fillId="0" borderId="26" xfId="0" applyNumberFormat="1" applyFont="1" applyFill="1" applyBorder="1"/>
    <xf numFmtId="164" fontId="15" fillId="0" borderId="47" xfId="0" applyNumberFormat="1" applyFont="1" applyFill="1" applyBorder="1"/>
    <xf numFmtId="164" fontId="15" fillId="0" borderId="9" xfId="0" applyNumberFormat="1" applyFont="1" applyFill="1" applyBorder="1"/>
    <xf numFmtId="165" fontId="11" fillId="0" borderId="13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12" fillId="0" borderId="0" xfId="11" applyFont="1" applyFill="1" applyBorder="1" applyAlignment="1">
      <alignment horizontal="center" wrapText="1"/>
    </xf>
    <xf numFmtId="0" fontId="11" fillId="0" borderId="13" xfId="11" applyFont="1" applyFill="1" applyBorder="1" applyAlignment="1">
      <alignment horizontal="center" vertical="center"/>
    </xf>
    <xf numFmtId="0" fontId="11" fillId="0" borderId="58" xfId="11" applyFont="1" applyFill="1" applyBorder="1" applyAlignment="1">
      <alignment horizontal="center" vertical="center"/>
    </xf>
    <xf numFmtId="0" fontId="11" fillId="0" borderId="97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/>
    </xf>
    <xf numFmtId="0" fontId="11" fillId="0" borderId="3" xfId="11" applyFont="1" applyFill="1" applyBorder="1" applyAlignment="1">
      <alignment vertical="center"/>
    </xf>
    <xf numFmtId="0" fontId="12" fillId="0" borderId="0" xfId="0" applyFont="1" applyFill="1" applyAlignment="1"/>
    <xf numFmtId="0" fontId="12" fillId="0" borderId="56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Fill="1" applyBorder="1" applyAlignment="1">
      <alignment horizontal="center"/>
    </xf>
    <xf numFmtId="0" fontId="11" fillId="0" borderId="10" xfId="11" applyFont="1" applyFill="1" applyBorder="1" applyAlignment="1">
      <alignment vertical="center"/>
    </xf>
    <xf numFmtId="0" fontId="11" fillId="0" borderId="41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38" xfId="11" applyFont="1" applyFill="1" applyBorder="1" applyAlignment="1">
      <alignment vertical="center"/>
    </xf>
    <xf numFmtId="0" fontId="11" fillId="0" borderId="15" xfId="11" applyFont="1" applyFill="1" applyBorder="1" applyAlignment="1">
      <alignment vertical="center"/>
    </xf>
    <xf numFmtId="0" fontId="11" fillId="0" borderId="60" xfId="11" applyFont="1" applyFill="1" applyBorder="1" applyAlignment="1">
      <alignment horizontal="center"/>
    </xf>
    <xf numFmtId="0" fontId="11" fillId="0" borderId="16" xfId="11" applyFont="1" applyFill="1" applyBorder="1" applyAlignment="1">
      <alignment vertical="center"/>
    </xf>
    <xf numFmtId="0" fontId="11" fillId="0" borderId="7" xfId="1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2" fillId="0" borderId="49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60" fillId="0" borderId="0" xfId="11" applyFont="1" applyBorder="1" applyAlignment="1">
      <alignment horizontal="right" vertical="center"/>
    </xf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1" fillId="0" borderId="41" xfId="11" applyNumberFormat="1" applyFont="1" applyBorder="1" applyAlignment="1">
      <alignment horizontal="center" vertical="center" wrapText="1"/>
    </xf>
    <xf numFmtId="3" fontId="12" fillId="0" borderId="7" xfId="11" applyNumberFormat="1" applyFont="1" applyBorder="1"/>
    <xf numFmtId="3" fontId="12" fillId="0" borderId="42" xfId="11" applyNumberFormat="1" applyFont="1" applyBorder="1"/>
    <xf numFmtId="3" fontId="11" fillId="0" borderId="41" xfId="11" applyNumberFormat="1" applyFont="1" applyBorder="1"/>
    <xf numFmtId="3" fontId="6" fillId="0" borderId="42" xfId="11" applyNumberFormat="1" applyFont="1" applyBorder="1"/>
    <xf numFmtId="3" fontId="11" fillId="2" borderId="41" xfId="11" applyNumberFormat="1" applyFont="1" applyFill="1" applyBorder="1"/>
    <xf numFmtId="3" fontId="12" fillId="0" borderId="15" xfId="11" applyNumberFormat="1" applyFont="1" applyBorder="1"/>
    <xf numFmtId="3" fontId="12" fillId="0" borderId="5" xfId="11" applyNumberFormat="1" applyFont="1" applyBorder="1"/>
    <xf numFmtId="3" fontId="12" fillId="0" borderId="0" xfId="11" applyNumberFormat="1" applyFont="1" applyBorder="1"/>
    <xf numFmtId="3" fontId="12" fillId="0" borderId="41" xfId="11" applyNumberFormat="1" applyFont="1" applyBorder="1"/>
    <xf numFmtId="3" fontId="11" fillId="0" borderId="43" xfId="11" applyNumberFormat="1" applyFont="1" applyBorder="1"/>
    <xf numFmtId="3" fontId="11" fillId="0" borderId="43" xfId="11" applyNumberFormat="1" applyFont="1" applyFill="1" applyBorder="1"/>
    <xf numFmtId="3" fontId="11" fillId="2" borderId="43" xfId="11" applyNumberFormat="1" applyFont="1" applyFill="1" applyBorder="1"/>
    <xf numFmtId="3" fontId="11" fillId="2" borderId="5" xfId="11" applyNumberFormat="1" applyFont="1" applyFill="1" applyBorder="1"/>
    <xf numFmtId="3" fontId="9" fillId="0" borderId="0" xfId="11" applyNumberFormat="1" applyFont="1" applyFill="1" applyAlignment="1" applyProtection="1">
      <alignment horizontal="left"/>
      <protection locked="0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49" fontId="33" fillId="0" borderId="0" xfId="11" applyNumberFormat="1" applyFont="1" applyFill="1" applyAlignment="1">
      <alignment horizontal="center"/>
    </xf>
    <xf numFmtId="3" fontId="33" fillId="0" borderId="0" xfId="11" applyNumberFormat="1" applyFont="1" applyFill="1"/>
    <xf numFmtId="0" fontId="1" fillId="0" borderId="0" xfId="0" applyFont="1"/>
    <xf numFmtId="49" fontId="35" fillId="0" borderId="0" xfId="11" applyNumberFormat="1" applyFont="1" applyFill="1" applyAlignment="1">
      <alignment vertical="center"/>
    </xf>
    <xf numFmtId="49" fontId="33" fillId="0" borderId="0" xfId="11" applyNumberFormat="1" applyFont="1" applyFill="1"/>
    <xf numFmtId="0" fontId="33" fillId="0" borderId="0" xfId="11" applyFont="1" applyFill="1"/>
    <xf numFmtId="0" fontId="19" fillId="0" borderId="0" xfId="11" applyFont="1" applyFill="1" applyAlignment="1">
      <alignment horizontal="center"/>
    </xf>
    <xf numFmtId="0" fontId="19" fillId="0" borderId="0" xfId="11" applyFont="1" applyFill="1"/>
    <xf numFmtId="3" fontId="19" fillId="0" borderId="0" xfId="11" applyNumberFormat="1" applyFont="1" applyFill="1"/>
    <xf numFmtId="49" fontId="20" fillId="0" borderId="0" xfId="11" applyNumberFormat="1" applyFont="1" applyFill="1" applyAlignment="1">
      <alignment vertical="center"/>
    </xf>
    <xf numFmtId="49" fontId="19" fillId="0" borderId="0" xfId="11" applyNumberFormat="1" applyFont="1" applyFill="1"/>
    <xf numFmtId="3" fontId="19" fillId="0" borderId="0" xfId="11" applyNumberFormat="1" applyFont="1" applyFill="1" applyAlignment="1">
      <alignment horizontal="right"/>
    </xf>
    <xf numFmtId="0" fontId="20" fillId="0" borderId="0" xfId="11" applyFont="1" applyFill="1" applyBorder="1" applyAlignment="1">
      <alignment horizontal="center"/>
    </xf>
    <xf numFmtId="49" fontId="35" fillId="0" borderId="97" xfId="11" applyNumberFormat="1" applyFont="1" applyFill="1" applyBorder="1" applyAlignment="1">
      <alignment vertical="center"/>
    </xf>
    <xf numFmtId="49" fontId="33" fillId="0" borderId="31" xfId="11" applyNumberFormat="1" applyFont="1" applyFill="1" applyBorder="1"/>
    <xf numFmtId="0" fontId="33" fillId="0" borderId="31" xfId="11" applyFont="1" applyFill="1" applyBorder="1" applyAlignment="1">
      <alignment horizontal="left" indent="5"/>
    </xf>
    <xf numFmtId="3" fontId="33" fillId="0" borderId="31" xfId="11" applyNumberFormat="1" applyFont="1" applyFill="1" applyBorder="1"/>
    <xf numFmtId="3" fontId="33" fillId="0" borderId="32" xfId="11" applyNumberFormat="1" applyFont="1" applyFill="1" applyBorder="1"/>
    <xf numFmtId="3" fontId="33" fillId="0" borderId="0" xfId="11" applyNumberFormat="1" applyFont="1" applyFill="1" applyBorder="1"/>
    <xf numFmtId="49" fontId="35" fillId="0" borderId="31" xfId="11" applyNumberFormat="1" applyFont="1" applyFill="1" applyBorder="1"/>
    <xf numFmtId="0" fontId="35" fillId="0" borderId="31" xfId="11" applyFont="1" applyFill="1" applyBorder="1" applyAlignment="1">
      <alignment horizontal="center" vertical="center" wrapText="1"/>
    </xf>
    <xf numFmtId="3" fontId="35" fillId="0" borderId="31" xfId="11" applyNumberFormat="1" applyFont="1" applyFill="1" applyBorder="1"/>
    <xf numFmtId="3" fontId="35" fillId="0" borderId="32" xfId="11" applyNumberFormat="1" applyFont="1" applyFill="1" applyBorder="1"/>
    <xf numFmtId="3" fontId="35" fillId="0" borderId="0" xfId="11" applyNumberFormat="1" applyFont="1" applyFill="1" applyBorder="1"/>
    <xf numFmtId="3" fontId="35" fillId="0" borderId="0" xfId="11" applyNumberFormat="1" applyFont="1" applyFill="1"/>
    <xf numFmtId="49" fontId="33" fillId="0" borderId="97" xfId="11" applyNumberFormat="1" applyFont="1" applyFill="1" applyBorder="1" applyAlignment="1">
      <alignment vertical="center"/>
    </xf>
    <xf numFmtId="0" fontId="33" fillId="0" borderId="31" xfId="11" applyFont="1" applyFill="1" applyBorder="1" applyAlignment="1"/>
    <xf numFmtId="0" fontId="33" fillId="0" borderId="31" xfId="11" applyFont="1" applyFill="1" applyBorder="1" applyAlignment="1">
      <alignment horizontal="left"/>
    </xf>
    <xf numFmtId="0" fontId="35" fillId="0" borderId="31" xfId="11" applyFont="1" applyFill="1" applyBorder="1" applyAlignment="1">
      <alignment horizontal="center" wrapText="1"/>
    </xf>
    <xf numFmtId="0" fontId="35" fillId="0" borderId="31" xfId="11" applyFont="1" applyFill="1" applyBorder="1" applyAlignment="1">
      <alignment horizontal="center"/>
    </xf>
    <xf numFmtId="0" fontId="1" fillId="0" borderId="0" xfId="0" applyFont="1" applyFill="1"/>
    <xf numFmtId="3" fontId="62" fillId="0" borderId="0" xfId="11" applyNumberFormat="1" applyFont="1" applyFill="1"/>
    <xf numFmtId="0" fontId="61" fillId="0" borderId="0" xfId="0" applyFont="1" applyFill="1"/>
    <xf numFmtId="49" fontId="35" fillId="0" borderId="98" xfId="11" applyNumberFormat="1" applyFont="1" applyFill="1" applyBorder="1" applyAlignment="1">
      <alignment vertical="center"/>
    </xf>
    <xf numFmtId="49" fontId="33" fillId="0" borderId="28" xfId="11" applyNumberFormat="1" applyFont="1" applyFill="1" applyBorder="1"/>
    <xf numFmtId="0" fontId="33" fillId="0" borderId="28" xfId="11" applyFont="1" applyFill="1" applyBorder="1" applyAlignment="1">
      <alignment horizontal="left" indent="8"/>
    </xf>
    <xf numFmtId="3" fontId="33" fillId="0" borderId="28" xfId="11" applyNumberFormat="1" applyFont="1" applyFill="1" applyBorder="1"/>
    <xf numFmtId="3" fontId="33" fillId="0" borderId="29" xfId="11" applyNumberFormat="1" applyFont="1" applyFill="1" applyBorder="1"/>
    <xf numFmtId="49" fontId="35" fillId="0" borderId="11" xfId="11" applyNumberFormat="1" applyFont="1" applyFill="1" applyBorder="1" applyAlignment="1">
      <alignment vertical="center"/>
    </xf>
    <xf numFmtId="49" fontId="35" fillId="0" borderId="10" xfId="11" applyNumberFormat="1" applyFont="1" applyFill="1" applyBorder="1"/>
    <xf numFmtId="0" fontId="35" fillId="0" borderId="10" xfId="11" applyFont="1" applyFill="1" applyBorder="1"/>
    <xf numFmtId="3" fontId="35" fillId="0" borderId="10" xfId="11" applyNumberFormat="1" applyFont="1" applyFill="1" applyBorder="1"/>
    <xf numFmtId="3" fontId="35" fillId="0" borderId="9" xfId="11" applyNumberFormat="1" applyFont="1" applyFill="1" applyBorder="1"/>
    <xf numFmtId="0" fontId="35" fillId="0" borderId="0" xfId="11" applyFont="1" applyFill="1"/>
    <xf numFmtId="49" fontId="35" fillId="0" borderId="0" xfId="11" applyNumberFormat="1" applyFont="1" applyFill="1" applyBorder="1" applyAlignment="1">
      <alignment vertical="center"/>
    </xf>
    <xf numFmtId="49" fontId="35" fillId="0" borderId="0" xfId="11" applyNumberFormat="1" applyFont="1" applyFill="1" applyBorder="1"/>
    <xf numFmtId="0" fontId="35" fillId="0" borderId="0" xfId="11" applyFont="1" applyFill="1" applyBorder="1"/>
    <xf numFmtId="0" fontId="35" fillId="0" borderId="0" xfId="11" applyFont="1" applyFill="1" applyAlignment="1">
      <alignment vertical="center"/>
    </xf>
    <xf numFmtId="0" fontId="33" fillId="0" borderId="0" xfId="11" applyFont="1" applyFill="1" applyAlignment="1">
      <alignment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3" fontId="16" fillId="0" borderId="99" xfId="0" applyNumberFormat="1" applyFont="1" applyBorder="1"/>
    <xf numFmtId="3" fontId="19" fillId="0" borderId="0" xfId="0" applyNumberFormat="1" applyFont="1" applyFill="1"/>
    <xf numFmtId="3" fontId="18" fillId="0" borderId="0" xfId="0" applyNumberFormat="1" applyFont="1" applyFill="1"/>
    <xf numFmtId="3" fontId="15" fillId="0" borderId="50" xfId="0" applyNumberFormat="1" applyFont="1" applyFill="1" applyBorder="1"/>
    <xf numFmtId="3" fontId="16" fillId="0" borderId="39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/>
    <xf numFmtId="3" fontId="16" fillId="0" borderId="36" xfId="0" applyNumberFormat="1" applyFont="1" applyFill="1" applyBorder="1"/>
    <xf numFmtId="3" fontId="17" fillId="0" borderId="36" xfId="0" applyNumberFormat="1" applyFont="1" applyFill="1" applyBorder="1"/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86" xfId="0" applyNumberFormat="1" applyFont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3" fontId="15" fillId="0" borderId="11" xfId="0" applyNumberFormat="1" applyFont="1" applyBorder="1"/>
    <xf numFmtId="49" fontId="16" fillId="0" borderId="30" xfId="0" applyNumberFormat="1" applyFont="1" applyFill="1" applyBorder="1" applyAlignment="1">
      <alignment horizontal="center"/>
    </xf>
    <xf numFmtId="3" fontId="16" fillId="0" borderId="60" xfId="0" applyNumberFormat="1" applyFont="1" applyBorder="1"/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63" xfId="0" applyNumberFormat="1" applyFont="1" applyBorder="1"/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98" xfId="0" applyNumberFormat="1" applyFont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61" xfId="0" applyNumberFormat="1" applyFont="1" applyBorder="1"/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6" fillId="0" borderId="60" xfId="0" applyNumberFormat="1" applyFont="1" applyFill="1" applyBorder="1"/>
    <xf numFmtId="3" fontId="16" fillId="0" borderId="62" xfId="0" applyNumberFormat="1" applyFont="1" applyFill="1" applyBorder="1"/>
    <xf numFmtId="3" fontId="16" fillId="0" borderId="89" xfId="0" applyNumberFormat="1" applyFont="1" applyFill="1" applyBorder="1"/>
    <xf numFmtId="3" fontId="16" fillId="0" borderId="37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19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89" xfId="0" applyNumberFormat="1" applyFont="1" applyBorder="1"/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61" xfId="0" applyNumberFormat="1" applyFont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63" xfId="0" applyNumberFormat="1" applyFont="1" applyBorder="1"/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63" xfId="0" applyNumberFormat="1" applyFont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11" xfId="0" applyNumberFormat="1" applyFont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3" fontId="17" fillId="0" borderId="99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7" fillId="2" borderId="56" xfId="0" applyNumberFormat="1" applyFont="1" applyFill="1" applyBorder="1"/>
    <xf numFmtId="3" fontId="16" fillId="0" borderId="54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5" fillId="0" borderId="58" xfId="0" applyNumberFormat="1" applyFont="1" applyBorder="1" applyAlignment="1">
      <alignment horizontal="right"/>
    </xf>
    <xf numFmtId="164" fontId="12" fillId="0" borderId="54" xfId="11" applyNumberFormat="1" applyFont="1" applyBorder="1" applyAlignment="1">
      <alignment horizontal="center" vertical="center"/>
    </xf>
    <xf numFmtId="164" fontId="12" fillId="0" borderId="39" xfId="11" applyNumberFormat="1" applyFont="1" applyBorder="1" applyAlignment="1">
      <alignment horizontal="center" vertical="center"/>
    </xf>
    <xf numFmtId="164" fontId="11" fillId="0" borderId="17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32" xfId="11" applyNumberFormat="1" applyFont="1" applyBorder="1" applyAlignment="1"/>
    <xf numFmtId="164" fontId="11" fillId="0" borderId="39" xfId="11" applyNumberFormat="1" applyFont="1" applyBorder="1" applyAlignment="1"/>
    <xf numFmtId="164" fontId="11" fillId="0" borderId="39" xfId="11" applyNumberFormat="1" applyFont="1" applyFill="1" applyBorder="1" applyAlignment="1"/>
    <xf numFmtId="164" fontId="12" fillId="0" borderId="17" xfId="11" applyNumberFormat="1" applyFont="1" applyBorder="1" applyAlignment="1"/>
    <xf numFmtId="4" fontId="12" fillId="0" borderId="39" xfId="11" applyNumberFormat="1" applyFont="1" applyBorder="1" applyAlignment="1">
      <alignment horizontal="center" vertical="center"/>
    </xf>
    <xf numFmtId="164" fontId="12" fillId="0" borderId="17" xfId="11" applyNumberFormat="1" applyFont="1" applyFill="1" applyBorder="1" applyAlignment="1"/>
    <xf numFmtId="164" fontId="12" fillId="0" borderId="26" xfId="11" applyNumberFormat="1" applyFont="1" applyBorder="1" applyAlignment="1"/>
    <xf numFmtId="166" fontId="11" fillId="0" borderId="47" xfId="0" applyNumberFormat="1" applyFont="1" applyBorder="1"/>
    <xf numFmtId="166" fontId="11" fillId="0" borderId="9" xfId="0" applyNumberFormat="1" applyFont="1" applyBorder="1"/>
    <xf numFmtId="4" fontId="12" fillId="0" borderId="54" xfId="11" applyNumberFormat="1" applyFont="1" applyBorder="1" applyAlignment="1">
      <alignment horizontal="center" vertical="center"/>
    </xf>
    <xf numFmtId="164" fontId="12" fillId="0" borderId="8" xfId="11" applyNumberFormat="1" applyFont="1" applyFill="1" applyBorder="1" applyAlignment="1"/>
    <xf numFmtId="166" fontId="11" fillId="0" borderId="58" xfId="0" applyNumberFormat="1" applyFont="1" applyBorder="1"/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21" fillId="0" borderId="49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>
      <alignment vertical="center"/>
    </xf>
    <xf numFmtId="3" fontId="12" fillId="0" borderId="39" xfId="11" applyNumberFormat="1" applyFont="1" applyFill="1" applyBorder="1" applyAlignment="1" applyProtection="1">
      <alignment vertical="center"/>
      <protection locked="0"/>
    </xf>
    <xf numFmtId="3" fontId="21" fillId="0" borderId="18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>
      <alignment vertical="center"/>
    </xf>
    <xf numFmtId="3" fontId="12" fillId="0" borderId="59" xfId="11" applyNumberFormat="1" applyFont="1" applyFill="1" applyBorder="1" applyAlignment="1" applyProtection="1">
      <alignment vertical="center"/>
      <protection locked="0"/>
    </xf>
    <xf numFmtId="3" fontId="12" fillId="0" borderId="26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21" fillId="0" borderId="59" xfId="11" applyNumberFormat="1" applyFont="1" applyFill="1" applyBorder="1" applyAlignment="1" applyProtection="1">
      <alignment vertical="center"/>
      <protection locked="0"/>
    </xf>
    <xf numFmtId="3" fontId="21" fillId="0" borderId="14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 applyProtection="1">
      <alignment vertical="center"/>
      <protection locked="0"/>
    </xf>
    <xf numFmtId="3" fontId="11" fillId="0" borderId="5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9" xfId="11" applyNumberFormat="1" applyFont="1" applyBorder="1" applyAlignment="1">
      <alignment wrapText="1"/>
    </xf>
    <xf numFmtId="3" fontId="11" fillId="0" borderId="29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09" xfId="11" applyNumberFormat="1" applyFont="1" applyFill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1" fillId="0" borderId="58" xfId="11" applyNumberFormat="1" applyFont="1" applyBorder="1" applyAlignment="1">
      <alignment wrapText="1"/>
    </xf>
    <xf numFmtId="3" fontId="11" fillId="0" borderId="87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9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26" xfId="1" applyNumberFormat="1" applyFont="1" applyFill="1" applyBorder="1" applyProtection="1">
      <protection locked="0"/>
    </xf>
    <xf numFmtId="167" fontId="11" fillId="0" borderId="9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0" fontId="12" fillId="0" borderId="54" xfId="31" applyFont="1" applyFill="1" applyBorder="1" applyAlignment="1" applyProtection="1">
      <alignment horizontal="left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Border="1"/>
    <xf numFmtId="3" fontId="16" fillId="0" borderId="7" xfId="0" applyNumberFormat="1" applyFont="1" applyBorder="1"/>
    <xf numFmtId="3" fontId="17" fillId="0" borderId="42" xfId="0" applyNumberFormat="1" applyFont="1" applyBorder="1"/>
    <xf numFmtId="3" fontId="16" fillId="0" borderId="42" xfId="0" applyNumberFormat="1" applyFont="1" applyBorder="1"/>
    <xf numFmtId="3" fontId="16" fillId="0" borderId="5" xfId="0" applyNumberFormat="1" applyFont="1" applyBorder="1"/>
    <xf numFmtId="3" fontId="17" fillId="0" borderId="5" xfId="0" applyNumberFormat="1" applyFont="1" applyBorder="1"/>
    <xf numFmtId="3" fontId="15" fillId="0" borderId="45" xfId="0" applyNumberFormat="1" applyFont="1" applyBorder="1"/>
    <xf numFmtId="3" fontId="16" fillId="0" borderId="15" xfId="0" applyNumberFormat="1" applyFont="1" applyBorder="1"/>
    <xf numFmtId="3" fontId="17" fillId="2" borderId="42" xfId="0" applyNumberFormat="1" applyFont="1" applyFill="1" applyBorder="1"/>
    <xf numFmtId="3" fontId="15" fillId="0" borderId="43" xfId="0" applyNumberFormat="1" applyFont="1" applyBorder="1"/>
    <xf numFmtId="3" fontId="15" fillId="0" borderId="5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/>
    <xf numFmtId="3" fontId="18" fillId="0" borderId="15" xfId="0" applyNumberFormat="1" applyFont="1" applyBorder="1"/>
    <xf numFmtId="3" fontId="16" fillId="0" borderId="44" xfId="0" applyNumberFormat="1" applyFont="1" applyBorder="1"/>
    <xf numFmtId="3" fontId="17" fillId="0" borderId="44" xfId="0" applyNumberFormat="1" applyFont="1" applyBorder="1"/>
    <xf numFmtId="164" fontId="15" fillId="0" borderId="15" xfId="0" applyNumberFormat="1" applyFont="1" applyBorder="1"/>
    <xf numFmtId="164" fontId="17" fillId="0" borderId="5" xfId="0" applyNumberFormat="1" applyFont="1" applyBorder="1"/>
    <xf numFmtId="164" fontId="15" fillId="0" borderId="5" xfId="0" applyNumberFormat="1" applyFont="1" applyBorder="1"/>
    <xf numFmtId="164" fontId="15" fillId="0" borderId="41" xfId="0" applyNumberFormat="1" applyFont="1" applyBorder="1"/>
    <xf numFmtId="3" fontId="12" fillId="0" borderId="3" xfId="11" applyNumberFormat="1" applyFont="1" applyFill="1" applyBorder="1" applyAlignment="1">
      <alignment vertical="center" wrapText="1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7" fillId="0" borderId="14" xfId="11" applyNumberFormat="1" applyFont="1" applyFill="1" applyBorder="1" applyAlignment="1">
      <alignment vertical="center" wrapText="1"/>
    </xf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>
      <alignment vertical="center" wrapText="1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50" xfId="11" applyNumberFormat="1" applyFont="1" applyFill="1" applyBorder="1" applyAlignment="1" applyProtection="1">
      <alignment horizontal="center" vertical="center" wrapText="1"/>
    </xf>
    <xf numFmtId="165" fontId="11" fillId="0" borderId="32" xfId="11" applyNumberFormat="1" applyFont="1" applyFill="1" applyBorder="1" applyAlignment="1" applyProtection="1">
      <alignment horizontal="center" vertical="center" wrapText="1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165" fontId="11" fillId="0" borderId="8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165" fontId="11" fillId="0" borderId="39" xfId="11" applyNumberFormat="1" applyFont="1" applyFill="1" applyBorder="1" applyAlignment="1" applyProtection="1">
      <alignment horizontal="center" vertical="center" wrapText="1"/>
    </xf>
    <xf numFmtId="0" fontId="11" fillId="0" borderId="57" xfId="11" applyFont="1" applyFill="1" applyBorder="1" applyAlignment="1">
      <alignment vertical="center" wrapText="1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Fill="1" applyBorder="1" applyAlignment="1">
      <alignment horizontal="center" vertical="center" wrapText="1"/>
    </xf>
    <xf numFmtId="3" fontId="12" fillId="0" borderId="55" xfId="11" applyNumberFormat="1" applyFont="1" applyFill="1" applyBorder="1" applyAlignment="1" applyProtection="1">
      <alignment vertical="center"/>
      <protection locked="0"/>
    </xf>
    <xf numFmtId="0" fontId="11" fillId="0" borderId="32" xfId="11" applyFont="1" applyFill="1" applyBorder="1" applyAlignment="1">
      <alignment vertical="center" wrapText="1"/>
    </xf>
    <xf numFmtId="3" fontId="11" fillId="0" borderId="39" xfId="11" applyNumberFormat="1" applyFont="1" applyFill="1" applyBorder="1" applyAlignment="1">
      <alignment vertical="center"/>
    </xf>
    <xf numFmtId="0" fontId="11" fillId="0" borderId="32" xfId="1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0" fontId="11" fillId="0" borderId="3" xfId="11" applyFont="1" applyFill="1" applyBorder="1" applyAlignment="1">
      <alignment vertical="center" wrapText="1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 wrapText="1"/>
    </xf>
    <xf numFmtId="3" fontId="12" fillId="0" borderId="8" xfId="11" applyNumberFormat="1" applyFont="1" applyFill="1" applyBorder="1" applyAlignment="1" applyProtection="1">
      <alignment vertical="center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7" xfId="11" applyNumberFormat="1" applyFont="1" applyBorder="1" applyAlignment="1">
      <alignment horizontal="center" vertical="center" wrapText="1"/>
    </xf>
    <xf numFmtId="3" fontId="15" fillId="2" borderId="11" xfId="11" applyNumberFormat="1" applyFont="1" applyFill="1" applyBorder="1" applyAlignment="1">
      <alignment vertical="top" wrapText="1"/>
    </xf>
    <xf numFmtId="3" fontId="15" fillId="2" borderId="10" xfId="11" applyNumberFormat="1" applyFont="1" applyFill="1" applyBorder="1" applyAlignment="1">
      <alignment vertical="top" wrapText="1"/>
    </xf>
    <xf numFmtId="3" fontId="15" fillId="2" borderId="9" xfId="11" applyNumberFormat="1" applyFont="1" applyFill="1" applyBorder="1" applyAlignment="1">
      <alignment vertical="top" wrapText="1"/>
    </xf>
    <xf numFmtId="0" fontId="61" fillId="0" borderId="0" xfId="0" applyFont="1"/>
    <xf numFmtId="0" fontId="12" fillId="0" borderId="36" xfId="11" applyFont="1" applyFill="1" applyBorder="1" applyAlignment="1" applyProtection="1">
      <alignment horizontal="left" vertical="center" indent="1"/>
      <protection locked="0"/>
    </xf>
    <xf numFmtId="0" fontId="12" fillId="0" borderId="55" xfId="11" applyFont="1" applyFill="1" applyBorder="1" applyAlignment="1">
      <alignment horizontal="center" vertical="center"/>
    </xf>
    <xf numFmtId="0" fontId="20" fillId="0" borderId="49" xfId="11" applyFont="1" applyFill="1" applyBorder="1" applyAlignment="1">
      <alignment horizontal="center" vertical="center" wrapText="1"/>
    </xf>
    <xf numFmtId="0" fontId="20" fillId="0" borderId="42" xfId="11" applyFont="1" applyFill="1" applyBorder="1" applyAlignment="1">
      <alignment horizontal="center" vertical="center" wrapText="1"/>
    </xf>
    <xf numFmtId="0" fontId="20" fillId="0" borderId="93" xfId="11" applyFont="1" applyFill="1" applyBorder="1" applyAlignment="1">
      <alignment horizontal="center" vertical="center" wrapText="1"/>
    </xf>
    <xf numFmtId="49" fontId="20" fillId="0" borderId="0" xfId="11" applyNumberFormat="1" applyFont="1" applyFill="1" applyAlignment="1">
      <alignment horizontal="center"/>
    </xf>
    <xf numFmtId="0" fontId="20" fillId="0" borderId="0" xfId="11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0" fontId="20" fillId="0" borderId="48" xfId="11" applyFont="1" applyFill="1" applyBorder="1" applyAlignment="1">
      <alignment horizontal="center"/>
    </xf>
    <xf numFmtId="0" fontId="20" fillId="0" borderId="15" xfId="11" applyFont="1" applyFill="1" applyBorder="1" applyAlignment="1">
      <alignment horizontal="center"/>
    </xf>
    <xf numFmtId="0" fontId="20" fillId="0" borderId="90" xfId="11" applyFont="1" applyFill="1" applyBorder="1" applyAlignment="1">
      <alignment horizontal="center"/>
    </xf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0" borderId="95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32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11" fillId="0" borderId="85" xfId="31" applyNumberFormat="1" applyFont="1" applyFill="1" applyBorder="1" applyAlignment="1" applyProtection="1">
      <alignment horizontal="center" vertical="center" wrapText="1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 applyBorder="1" applyAlignment="1">
      <alignment horizontal="center" wrapText="1"/>
    </xf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5" borderId="95" xfId="11" applyNumberFormat="1" applyFont="1" applyFill="1" applyBorder="1" applyAlignment="1">
      <alignment horizontal="center" vertical="center" wrapText="1"/>
    </xf>
    <xf numFmtId="0" fontId="11" fillId="5" borderId="57" xfId="11" applyNumberFormat="1" applyFont="1" applyFill="1" applyBorder="1" applyAlignment="1">
      <alignment horizontal="center" vertical="center" wrapText="1"/>
    </xf>
    <xf numFmtId="0" fontId="11" fillId="5" borderId="91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11" fillId="5" borderId="86" xfId="11" applyNumberFormat="1" applyFont="1" applyFill="1" applyBorder="1" applyAlignment="1">
      <alignment horizontal="center" vertical="center" wrapText="1"/>
    </xf>
    <xf numFmtId="3" fontId="11" fillId="5" borderId="97" xfId="11" applyNumberFormat="1" applyFont="1" applyFill="1" applyBorder="1" applyAlignment="1">
      <alignment horizontal="center" vertical="center" wrapText="1"/>
    </xf>
    <xf numFmtId="3" fontId="11" fillId="5" borderId="98" xfId="11" applyNumberFormat="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45" xfId="11" applyNumberFormat="1" applyFont="1" applyFill="1" applyBorder="1" applyAlignment="1">
      <alignment horizontal="center" vertical="center" wrapText="1"/>
    </xf>
    <xf numFmtId="3" fontId="11" fillId="0" borderId="100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16" fillId="0" borderId="0" xfId="11" applyNumberFormat="1" applyFont="1" applyAlignment="1">
      <alignment horizontal="left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center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00B0F0"/>
    <pageSetUpPr fitToPage="1"/>
  </sheetPr>
  <dimension ref="A1:R410"/>
  <sheetViews>
    <sheetView topLeftCell="A49" zoomScale="85" zoomScaleNormal="85" workbookViewId="0">
      <selection activeCell="C25" sqref="C25"/>
    </sheetView>
  </sheetViews>
  <sheetFormatPr defaultRowHeight="12.75"/>
  <cols>
    <col min="1" max="1" width="5.28515625" style="1163" customWidth="1"/>
    <col min="2" max="2" width="9.28515625" style="1121" customWidth="1"/>
    <col min="3" max="3" width="132.42578125" style="1121" customWidth="1"/>
    <col min="4" max="7" width="14.42578125" style="1121" customWidth="1"/>
    <col min="8" max="8" width="5.42578125" style="1121" hidden="1" customWidth="1"/>
    <col min="9" max="9" width="24" style="1117" hidden="1" customWidth="1"/>
    <col min="10" max="10" width="19.42578125" style="1117" hidden="1" customWidth="1"/>
    <col min="11" max="11" width="9.5703125" style="1117" hidden="1" customWidth="1"/>
    <col min="12" max="12" width="22" style="1117" hidden="1" customWidth="1"/>
    <col min="13" max="13" width="16.28515625" style="1117" hidden="1" customWidth="1"/>
    <col min="14" max="14" width="11.42578125" style="1117" hidden="1" customWidth="1"/>
    <col min="15" max="17" width="9.140625" style="1118" hidden="1" customWidth="1"/>
    <col min="18" max="18" width="9.5703125" style="1118" hidden="1" customWidth="1"/>
    <col min="19" max="16384" width="9.140625" style="1118"/>
  </cols>
  <sheetData>
    <row r="1" spans="1:14" ht="15.75">
      <c r="A1" s="1439" t="s">
        <v>1555</v>
      </c>
      <c r="B1" s="1439"/>
      <c r="C1" s="1439"/>
      <c r="D1" s="1439"/>
      <c r="E1" s="1439"/>
      <c r="F1" s="1439"/>
      <c r="G1" s="1439"/>
      <c r="H1" s="1116"/>
    </row>
    <row r="2" spans="1:14">
      <c r="A2" s="1119"/>
      <c r="B2" s="1120"/>
      <c r="D2" s="1117"/>
      <c r="E2" s="1117"/>
      <c r="F2" s="1117"/>
      <c r="G2" s="1117"/>
      <c r="H2" s="1117"/>
      <c r="I2" s="1121"/>
      <c r="J2" s="1121"/>
      <c r="K2" s="1121"/>
      <c r="L2" s="1121"/>
      <c r="M2" s="1121"/>
    </row>
    <row r="3" spans="1:14" ht="15.75">
      <c r="A3" s="1440" t="s">
        <v>1632</v>
      </c>
      <c r="B3" s="1440"/>
      <c r="C3" s="1440"/>
      <c r="D3" s="1440"/>
      <c r="E3" s="1440"/>
      <c r="F3" s="1440"/>
      <c r="G3" s="1440"/>
      <c r="H3" s="1122"/>
      <c r="I3" s="1123"/>
      <c r="J3" s="1123"/>
      <c r="K3" s="1123"/>
      <c r="L3" s="1123"/>
      <c r="M3" s="1123"/>
      <c r="N3" s="1124"/>
    </row>
    <row r="4" spans="1:14" ht="15.75">
      <c r="A4" s="1441" t="s">
        <v>1627</v>
      </c>
      <c r="B4" s="1441"/>
      <c r="C4" s="1441"/>
      <c r="D4" s="1441"/>
      <c r="E4" s="1441"/>
      <c r="F4" s="1441"/>
      <c r="G4" s="1441"/>
      <c r="H4" s="1122"/>
      <c r="I4" s="1123"/>
      <c r="J4" s="1123"/>
      <c r="K4" s="1123"/>
      <c r="L4" s="1123"/>
      <c r="M4" s="1123"/>
      <c r="N4" s="1124"/>
    </row>
    <row r="5" spans="1:14" ht="16.5" thickBot="1">
      <c r="A5" s="1125"/>
      <c r="B5" s="1126"/>
      <c r="C5" s="1123"/>
      <c r="D5" s="1124"/>
      <c r="E5" s="1124"/>
      <c r="F5" s="1124"/>
      <c r="G5" s="1127" t="s">
        <v>1556</v>
      </c>
      <c r="H5" s="1124"/>
      <c r="I5" s="1123"/>
      <c r="J5" s="1123"/>
      <c r="K5" s="1123"/>
      <c r="L5" s="1123"/>
      <c r="M5" s="1123"/>
      <c r="N5" s="1124"/>
    </row>
    <row r="6" spans="1:14" ht="15.75">
      <c r="A6" s="1442" t="s">
        <v>1557</v>
      </c>
      <c r="B6" s="1443"/>
      <c r="C6" s="1443"/>
      <c r="D6" s="1443"/>
      <c r="E6" s="1443"/>
      <c r="F6" s="1443"/>
      <c r="G6" s="1444"/>
      <c r="H6" s="1128"/>
      <c r="I6" s="1123"/>
      <c r="J6" s="1123"/>
      <c r="K6" s="1123"/>
      <c r="L6" s="1124"/>
      <c r="M6" s="1123"/>
      <c r="N6" s="1124"/>
    </row>
    <row r="7" spans="1:14">
      <c r="A7" s="1129"/>
      <c r="B7" s="1130"/>
      <c r="C7" s="1131"/>
      <c r="D7" s="1132"/>
      <c r="E7" s="1132"/>
      <c r="F7" s="1132"/>
      <c r="G7" s="1133"/>
      <c r="H7" s="1134"/>
    </row>
    <row r="8" spans="1:14" ht="25.5">
      <c r="A8" s="1129" t="s">
        <v>4</v>
      </c>
      <c r="B8" s="1135"/>
      <c r="C8" s="1144" t="s">
        <v>1631</v>
      </c>
      <c r="D8" s="1137"/>
      <c r="E8" s="1137"/>
      <c r="F8" s="1137"/>
      <c r="G8" s="1138"/>
      <c r="H8" s="1139"/>
      <c r="I8" s="1140"/>
      <c r="J8" s="1140"/>
      <c r="K8" s="1140"/>
      <c r="L8" s="1140"/>
      <c r="M8" s="1140"/>
      <c r="N8" s="1140"/>
    </row>
    <row r="9" spans="1:14">
      <c r="A9" s="1141"/>
      <c r="B9" s="1130" t="s">
        <v>1594</v>
      </c>
      <c r="C9" s="1143" t="s">
        <v>1628</v>
      </c>
      <c r="D9" s="1132"/>
      <c r="E9" s="1132"/>
      <c r="F9" s="1132">
        <v>1850000</v>
      </c>
      <c r="G9" s="1133"/>
      <c r="H9" s="1134"/>
      <c r="L9" s="1117" t="s">
        <v>1595</v>
      </c>
      <c r="M9" s="1117" t="s">
        <v>1629</v>
      </c>
      <c r="N9" s="1117">
        <f t="shared" ref="N9:N10" si="0">+ROUND((F9-G9)/1000,0)</f>
        <v>1850</v>
      </c>
    </row>
    <row r="10" spans="1:14">
      <c r="A10" s="1141"/>
      <c r="B10" s="1130" t="s">
        <v>1564</v>
      </c>
      <c r="C10" s="1131" t="s">
        <v>1630</v>
      </c>
      <c r="D10" s="1132"/>
      <c r="E10" s="1132"/>
      <c r="F10" s="1132"/>
      <c r="G10" s="1133">
        <f>+F9</f>
        <v>1850000</v>
      </c>
      <c r="H10" s="1134"/>
      <c r="L10" s="1117" t="s">
        <v>1565</v>
      </c>
      <c r="M10" s="1117" t="s">
        <v>1561</v>
      </c>
      <c r="N10" s="1117">
        <f t="shared" si="0"/>
        <v>-1850</v>
      </c>
    </row>
    <row r="11" spans="1:14">
      <c r="A11" s="1141"/>
      <c r="B11" s="1130"/>
      <c r="C11" s="1131"/>
      <c r="D11" s="1132"/>
      <c r="E11" s="1132"/>
      <c r="F11" s="1132"/>
      <c r="G11" s="1133"/>
      <c r="H11" s="1134"/>
    </row>
    <row r="12" spans="1:14">
      <c r="A12" s="1129" t="s">
        <v>5</v>
      </c>
      <c r="B12" s="1135"/>
      <c r="C12" s="1136" t="s">
        <v>1633</v>
      </c>
      <c r="D12" s="1137"/>
      <c r="E12" s="1137"/>
      <c r="F12" s="1137"/>
      <c r="G12" s="1138"/>
      <c r="H12" s="1139"/>
      <c r="I12" s="1140"/>
      <c r="J12" s="1140"/>
      <c r="K12" s="1140"/>
      <c r="L12" s="1140"/>
      <c r="M12" s="1140"/>
      <c r="N12" s="1140"/>
    </row>
    <row r="13" spans="1:14" s="1146" customFormat="1">
      <c r="A13" s="1141"/>
      <c r="B13" s="1130" t="s">
        <v>1638</v>
      </c>
      <c r="C13" s="1142" t="s">
        <v>1636</v>
      </c>
      <c r="D13" s="1132"/>
      <c r="E13" s="1132"/>
      <c r="F13" s="1132">
        <f>+ROUND(12598400/1.27,0)</f>
        <v>9920000</v>
      </c>
      <c r="G13" s="1133"/>
      <c r="H13" s="1134"/>
      <c r="I13" s="1117"/>
      <c r="J13" s="1117"/>
      <c r="K13" s="1117"/>
      <c r="L13" s="1117" t="s">
        <v>1634</v>
      </c>
      <c r="M13" s="1117" t="s">
        <v>1569</v>
      </c>
      <c r="N13" s="1117">
        <f t="shared" ref="N13:N15" si="1">+ROUND((F13-G13)/1000,0)</f>
        <v>9920</v>
      </c>
    </row>
    <row r="14" spans="1:14" s="1146" customFormat="1">
      <c r="A14" s="1141"/>
      <c r="B14" s="1130" t="s">
        <v>1639</v>
      </c>
      <c r="C14" s="1142" t="s">
        <v>1637</v>
      </c>
      <c r="D14" s="1132"/>
      <c r="E14" s="1132"/>
      <c r="F14" s="1132">
        <f>12598400-F13</f>
        <v>2678400</v>
      </c>
      <c r="G14" s="1133"/>
      <c r="H14" s="1134"/>
      <c r="I14" s="1117"/>
      <c r="J14" s="1117"/>
      <c r="K14" s="1117"/>
      <c r="L14" s="1117" t="s">
        <v>1635</v>
      </c>
      <c r="M14" s="1117" t="s">
        <v>1569</v>
      </c>
      <c r="N14" s="1117">
        <f t="shared" si="1"/>
        <v>2678</v>
      </c>
    </row>
    <row r="15" spans="1:14">
      <c r="A15" s="1141"/>
      <c r="B15" s="1130" t="s">
        <v>1564</v>
      </c>
      <c r="C15" s="1131" t="s">
        <v>1630</v>
      </c>
      <c r="D15" s="1132"/>
      <c r="E15" s="1132"/>
      <c r="F15" s="1132"/>
      <c r="G15" s="1133">
        <f>+F13+F14</f>
        <v>12598400</v>
      </c>
      <c r="H15" s="1134"/>
      <c r="L15" s="1117" t="s">
        <v>1565</v>
      </c>
      <c r="M15" s="1117" t="s">
        <v>1561</v>
      </c>
      <c r="N15" s="1117">
        <f t="shared" si="1"/>
        <v>-12598</v>
      </c>
    </row>
    <row r="16" spans="1:14">
      <c r="A16" s="1141"/>
      <c r="B16" s="1130"/>
      <c r="C16" s="1131"/>
      <c r="D16" s="1132"/>
      <c r="E16" s="1132"/>
      <c r="F16" s="1132"/>
      <c r="G16" s="1133"/>
      <c r="H16" s="1134"/>
    </row>
    <row r="17" spans="1:14" ht="25.5">
      <c r="A17" s="1129" t="s">
        <v>6</v>
      </c>
      <c r="B17" s="1135"/>
      <c r="C17" s="1144" t="s">
        <v>1640</v>
      </c>
      <c r="D17" s="1137"/>
      <c r="E17" s="1137"/>
      <c r="F17" s="1137"/>
      <c r="G17" s="1138"/>
      <c r="H17" s="1139"/>
      <c r="I17" s="1140"/>
      <c r="J17" s="1140"/>
      <c r="K17" s="1140"/>
      <c r="L17" s="1140"/>
      <c r="M17" s="1140"/>
      <c r="N17" s="1140"/>
    </row>
    <row r="18" spans="1:14">
      <c r="A18" s="1141"/>
      <c r="B18" s="1130" t="s">
        <v>1594</v>
      </c>
      <c r="C18" s="1143" t="s">
        <v>1628</v>
      </c>
      <c r="D18" s="1132"/>
      <c r="E18" s="1132"/>
      <c r="F18" s="1132">
        <v>2090000</v>
      </c>
      <c r="G18" s="1133"/>
      <c r="H18" s="1134"/>
      <c r="L18" s="1117" t="s">
        <v>1595</v>
      </c>
      <c r="M18" s="1117" t="s">
        <v>1629</v>
      </c>
      <c r="N18" s="1117">
        <f t="shared" ref="N18:N19" si="2">+ROUND((F18-G18)/1000,0)</f>
        <v>2090</v>
      </c>
    </row>
    <row r="19" spans="1:14">
      <c r="A19" s="1141"/>
      <c r="B19" s="1130" t="s">
        <v>1564</v>
      </c>
      <c r="C19" s="1131" t="s">
        <v>1630</v>
      </c>
      <c r="D19" s="1132"/>
      <c r="E19" s="1132"/>
      <c r="F19" s="1132"/>
      <c r="G19" s="1133">
        <f>+F18</f>
        <v>2090000</v>
      </c>
      <c r="H19" s="1134"/>
      <c r="L19" s="1117" t="s">
        <v>1565</v>
      </c>
      <c r="M19" s="1117" t="s">
        <v>1561</v>
      </c>
      <c r="N19" s="1117">
        <f t="shared" si="2"/>
        <v>-2090</v>
      </c>
    </row>
    <row r="20" spans="1:14">
      <c r="A20" s="1141"/>
      <c r="B20" s="1130"/>
      <c r="C20" s="1131"/>
      <c r="D20" s="1132"/>
      <c r="E20" s="1132"/>
      <c r="F20" s="1132"/>
      <c r="G20" s="1133"/>
      <c r="H20" s="1134"/>
    </row>
    <row r="21" spans="1:14" ht="25.5">
      <c r="A21" s="1129" t="s">
        <v>3</v>
      </c>
      <c r="B21" s="1135"/>
      <c r="C21" s="1144" t="s">
        <v>1641</v>
      </c>
      <c r="D21" s="1137"/>
      <c r="E21" s="1137"/>
      <c r="F21" s="1137"/>
      <c r="G21" s="1138"/>
      <c r="H21" s="1139"/>
      <c r="I21" s="1140"/>
      <c r="J21" s="1140"/>
      <c r="K21" s="1140"/>
      <c r="L21" s="1140"/>
      <c r="M21" s="1140"/>
      <c r="N21" s="1140"/>
    </row>
    <row r="22" spans="1:14">
      <c r="A22" s="1141"/>
      <c r="B22" s="1130" t="s">
        <v>1644</v>
      </c>
      <c r="C22" s="1143" t="s">
        <v>1643</v>
      </c>
      <c r="D22" s="1132"/>
      <c r="E22" s="1132"/>
      <c r="F22" s="1132">
        <v>19162260</v>
      </c>
      <c r="G22" s="1133"/>
      <c r="H22" s="1134"/>
      <c r="L22" s="1117" t="s">
        <v>1642</v>
      </c>
      <c r="M22" s="1117" t="s">
        <v>1629</v>
      </c>
      <c r="N22" s="1117">
        <f t="shared" ref="N22:N23" si="3">+ROUND((F22-G22)/1000,0)</f>
        <v>19162</v>
      </c>
    </row>
    <row r="23" spans="1:14">
      <c r="A23" s="1141"/>
      <c r="B23" s="1130" t="s">
        <v>1564</v>
      </c>
      <c r="C23" s="1131" t="s">
        <v>1630</v>
      </c>
      <c r="D23" s="1132"/>
      <c r="E23" s="1132"/>
      <c r="F23" s="1132"/>
      <c r="G23" s="1133">
        <f>+F22</f>
        <v>19162260</v>
      </c>
      <c r="H23" s="1134"/>
      <c r="L23" s="1117" t="s">
        <v>1565</v>
      </c>
      <c r="M23" s="1117" t="s">
        <v>1561</v>
      </c>
      <c r="N23" s="1117">
        <f t="shared" si="3"/>
        <v>-19162</v>
      </c>
    </row>
    <row r="24" spans="1:14">
      <c r="A24" s="1141"/>
      <c r="B24" s="1130"/>
      <c r="C24" s="1131"/>
      <c r="D24" s="1132"/>
      <c r="E24" s="1132"/>
      <c r="F24" s="1132"/>
      <c r="G24" s="1133"/>
      <c r="H24" s="1134"/>
    </row>
    <row r="25" spans="1:14">
      <c r="A25" s="1129" t="s">
        <v>16</v>
      </c>
      <c r="B25" s="1135"/>
      <c r="C25" s="1144" t="s">
        <v>1664</v>
      </c>
      <c r="D25" s="1137"/>
      <c r="E25" s="1137"/>
      <c r="F25" s="1137"/>
      <c r="G25" s="1138"/>
      <c r="H25" s="1139"/>
      <c r="I25" s="1140"/>
      <c r="J25" s="1140"/>
      <c r="K25" s="1140"/>
      <c r="L25" s="1140"/>
      <c r="M25" s="1140"/>
      <c r="N25" s="1140"/>
    </row>
    <row r="26" spans="1:14" s="1146" customFormat="1">
      <c r="A26" s="1141"/>
      <c r="B26" s="1130" t="s">
        <v>1601</v>
      </c>
      <c r="C26" s="1142" t="s">
        <v>1647</v>
      </c>
      <c r="D26" s="1132"/>
      <c r="E26" s="1132"/>
      <c r="F26" s="1132">
        <f>+ROUND(13320000/1.27,0)</f>
        <v>10488189</v>
      </c>
      <c r="G26" s="1133"/>
      <c r="H26" s="1134"/>
      <c r="I26" s="1117"/>
      <c r="J26" s="1117"/>
      <c r="K26" s="1117"/>
      <c r="L26" s="1117" t="s">
        <v>1600</v>
      </c>
      <c r="M26" s="1117" t="s">
        <v>1645</v>
      </c>
      <c r="N26" s="1117">
        <f t="shared" ref="N26:N28" si="4">+ROUND((F26-G26)/1000,0)</f>
        <v>10488</v>
      </c>
    </row>
    <row r="27" spans="1:14" s="1146" customFormat="1">
      <c r="A27" s="1141"/>
      <c r="B27" s="1130" t="s">
        <v>1649</v>
      </c>
      <c r="C27" s="1142" t="s">
        <v>1648</v>
      </c>
      <c r="D27" s="1132"/>
      <c r="E27" s="1132"/>
      <c r="F27" s="1132">
        <f>13320000-F26</f>
        <v>2831811</v>
      </c>
      <c r="G27" s="1133"/>
      <c r="H27" s="1134"/>
      <c r="I27" s="1117"/>
      <c r="J27" s="1117"/>
      <c r="K27" s="1117"/>
      <c r="L27" s="1117" t="s">
        <v>1646</v>
      </c>
      <c r="M27" s="1117" t="s">
        <v>1645</v>
      </c>
      <c r="N27" s="1117">
        <f t="shared" si="4"/>
        <v>2832</v>
      </c>
    </row>
    <row r="28" spans="1:14">
      <c r="A28" s="1141"/>
      <c r="B28" s="1130" t="s">
        <v>1564</v>
      </c>
      <c r="C28" s="1131" t="s">
        <v>1630</v>
      </c>
      <c r="D28" s="1132"/>
      <c r="E28" s="1132"/>
      <c r="F28" s="1132"/>
      <c r="G28" s="1133">
        <f>+F26+F27</f>
        <v>13320000</v>
      </c>
      <c r="H28" s="1134"/>
      <c r="L28" s="1117" t="s">
        <v>1565</v>
      </c>
      <c r="M28" s="1117" t="s">
        <v>1561</v>
      </c>
      <c r="N28" s="1117">
        <f t="shared" si="4"/>
        <v>-13320</v>
      </c>
    </row>
    <row r="29" spans="1:14">
      <c r="A29" s="1141"/>
      <c r="B29" s="1130"/>
      <c r="C29" s="1131"/>
      <c r="D29" s="1132"/>
      <c r="E29" s="1132"/>
      <c r="F29" s="1132"/>
      <c r="G29" s="1133"/>
      <c r="H29" s="1134"/>
    </row>
    <row r="30" spans="1:14" ht="15.75">
      <c r="A30" s="1436" t="s">
        <v>1562</v>
      </c>
      <c r="B30" s="1437"/>
      <c r="C30" s="1437"/>
      <c r="D30" s="1437"/>
      <c r="E30" s="1437"/>
      <c r="F30" s="1437"/>
      <c r="G30" s="1438"/>
      <c r="H30" s="1134"/>
    </row>
    <row r="31" spans="1:14">
      <c r="A31" s="1141"/>
      <c r="B31" s="1130"/>
      <c r="C31" s="1131"/>
      <c r="D31" s="1132"/>
      <c r="E31" s="1132"/>
      <c r="F31" s="1132"/>
      <c r="G31" s="1133"/>
      <c r="H31" s="1134"/>
    </row>
    <row r="32" spans="1:14" s="1433" customFormat="1">
      <c r="A32" s="1129" t="s">
        <v>15</v>
      </c>
      <c r="B32" s="1135"/>
      <c r="C32" s="1136" t="s">
        <v>1653</v>
      </c>
      <c r="D32" s="1137"/>
      <c r="E32" s="1137"/>
      <c r="F32" s="1137"/>
      <c r="G32" s="1138"/>
      <c r="H32" s="1139"/>
      <c r="I32" s="1140"/>
      <c r="J32" s="1140"/>
      <c r="K32" s="1140"/>
      <c r="L32" s="1140"/>
      <c r="M32" s="1140"/>
      <c r="N32" s="1140"/>
    </row>
    <row r="33" spans="1:14">
      <c r="A33" s="1141"/>
      <c r="B33" s="1130" t="s">
        <v>1616</v>
      </c>
      <c r="C33" s="1142" t="s">
        <v>1617</v>
      </c>
      <c r="D33" s="1132">
        <f>363642+3497200+29220-436370-868380</f>
        <v>2585312</v>
      </c>
      <c r="E33" s="1132"/>
      <c r="F33" s="1132"/>
      <c r="G33" s="1133"/>
      <c r="H33" s="1134"/>
      <c r="I33" s="1117" t="s">
        <v>1618</v>
      </c>
      <c r="J33" s="1117" t="s">
        <v>1563</v>
      </c>
      <c r="K33" s="1117">
        <f>+ROUND((D33-E33)/1000,0)</f>
        <v>2585</v>
      </c>
    </row>
    <row r="34" spans="1:14">
      <c r="A34" s="1141"/>
      <c r="B34" s="1130" t="s">
        <v>1619</v>
      </c>
      <c r="C34" s="1142" t="s">
        <v>1620</v>
      </c>
      <c r="D34" s="1132">
        <f>2993000-709000+7826681+4419000-2993000-2000+160432</f>
        <v>11695113</v>
      </c>
      <c r="E34" s="1132"/>
      <c r="F34" s="1132"/>
      <c r="G34" s="1133"/>
      <c r="H34" s="1134"/>
      <c r="I34" s="1117" t="s">
        <v>1621</v>
      </c>
      <c r="J34" s="1117" t="s">
        <v>1563</v>
      </c>
      <c r="K34" s="1117">
        <f>+ROUND((D34-E34)/1000,0)</f>
        <v>11695</v>
      </c>
    </row>
    <row r="35" spans="1:14">
      <c r="A35" s="1141"/>
      <c r="B35" s="1130" t="s">
        <v>1564</v>
      </c>
      <c r="C35" s="1131" t="s">
        <v>1622</v>
      </c>
      <c r="D35" s="1132"/>
      <c r="E35" s="1132"/>
      <c r="F35" s="1132">
        <f>+D34</f>
        <v>11695113</v>
      </c>
      <c r="G35" s="1133"/>
      <c r="H35" s="1134"/>
      <c r="L35" s="1117" t="s">
        <v>1565</v>
      </c>
      <c r="M35" s="1117" t="s">
        <v>1561</v>
      </c>
      <c r="N35" s="1117">
        <f t="shared" ref="N35" si="5">+ROUND((F35-G35)/1000,0)</f>
        <v>11695</v>
      </c>
    </row>
    <row r="36" spans="1:14">
      <c r="A36" s="1141"/>
      <c r="B36" s="1130" t="s">
        <v>1558</v>
      </c>
      <c r="C36" s="1131" t="s">
        <v>1559</v>
      </c>
      <c r="D36" s="1132"/>
      <c r="E36" s="1132"/>
      <c r="F36" s="1132">
        <f>+D33</f>
        <v>2585312</v>
      </c>
      <c r="G36" s="1133"/>
      <c r="H36" s="1134"/>
      <c r="L36" s="1117" t="s">
        <v>1560</v>
      </c>
      <c r="M36" s="1117" t="s">
        <v>1561</v>
      </c>
      <c r="N36" s="1117">
        <f>+ROUND((F36-G36)/1000,0)</f>
        <v>2585</v>
      </c>
    </row>
    <row r="37" spans="1:14" s="1146" customFormat="1">
      <c r="A37" s="1141"/>
      <c r="B37" s="1130"/>
      <c r="C37" s="1131"/>
      <c r="D37" s="1132"/>
      <c r="E37" s="1132"/>
      <c r="F37" s="1132"/>
      <c r="G37" s="1133"/>
      <c r="H37" s="1134"/>
      <c r="I37" s="1117"/>
      <c r="J37" s="1117"/>
      <c r="K37" s="1117"/>
      <c r="L37" s="1117"/>
      <c r="M37" s="1117"/>
      <c r="N37" s="1117"/>
    </row>
    <row r="38" spans="1:14" s="1146" customFormat="1">
      <c r="A38" s="1129" t="s">
        <v>14</v>
      </c>
      <c r="B38" s="1135"/>
      <c r="C38" s="1145" t="s">
        <v>1651</v>
      </c>
      <c r="D38" s="1137"/>
      <c r="E38" s="1137"/>
      <c r="F38" s="1137"/>
      <c r="G38" s="1138"/>
      <c r="H38" s="1139"/>
      <c r="I38" s="1117"/>
      <c r="J38" s="1117"/>
      <c r="K38" s="1117"/>
      <c r="L38" s="1117"/>
      <c r="M38" s="1117"/>
      <c r="N38" s="1117"/>
    </row>
    <row r="39" spans="1:14" s="1146" customFormat="1">
      <c r="A39" s="1141"/>
      <c r="B39" s="1130" t="s">
        <v>1614</v>
      </c>
      <c r="C39" s="1143" t="s">
        <v>1603</v>
      </c>
      <c r="D39" s="1132">
        <f>+F40+F41</f>
        <v>5028352</v>
      </c>
      <c r="E39" s="1132"/>
      <c r="F39" s="1132"/>
      <c r="G39" s="1133"/>
      <c r="H39" s="1134"/>
      <c r="I39" s="1117" t="s">
        <v>1602</v>
      </c>
      <c r="J39" s="1117" t="s">
        <v>1563</v>
      </c>
      <c r="K39" s="1147">
        <f>+ROUND((D39-E39)/1000,0)+1</f>
        <v>5029</v>
      </c>
      <c r="L39" s="1117"/>
      <c r="M39" s="1117"/>
      <c r="N39" s="1117"/>
    </row>
    <row r="40" spans="1:14" s="1146" customFormat="1">
      <c r="A40" s="1141"/>
      <c r="B40" s="1130" t="s">
        <v>1566</v>
      </c>
      <c r="C40" s="1131" t="s">
        <v>1567</v>
      </c>
      <c r="D40" s="1132"/>
      <c r="E40" s="1132"/>
      <c r="F40" s="1132">
        <f>+ROUND(5028352/1.155,0)</f>
        <v>4353552</v>
      </c>
      <c r="G40" s="1133"/>
      <c r="H40" s="1134"/>
      <c r="I40" s="1117"/>
      <c r="J40" s="1117"/>
      <c r="K40" s="1117"/>
      <c r="L40" s="1117" t="s">
        <v>1568</v>
      </c>
      <c r="M40" s="1117" t="s">
        <v>1569</v>
      </c>
      <c r="N40" s="1117">
        <f t="shared" ref="N40:N41" si="6">+ROUND((F40-G40)/1000,0)</f>
        <v>4354</v>
      </c>
    </row>
    <row r="41" spans="1:14" s="1146" customFormat="1">
      <c r="A41" s="1141"/>
      <c r="B41" s="1130" t="s">
        <v>1570</v>
      </c>
      <c r="C41" s="1131" t="s">
        <v>1571</v>
      </c>
      <c r="D41" s="1132"/>
      <c r="E41" s="1132"/>
      <c r="F41" s="1132">
        <f>5028352-F40</f>
        <v>674800</v>
      </c>
      <c r="G41" s="1133"/>
      <c r="H41" s="1134"/>
      <c r="I41" s="1117"/>
      <c r="J41" s="1117"/>
      <c r="K41" s="1117"/>
      <c r="L41" s="1117" t="s">
        <v>1572</v>
      </c>
      <c r="M41" s="1117" t="s">
        <v>1569</v>
      </c>
      <c r="N41" s="1117">
        <f t="shared" si="6"/>
        <v>675</v>
      </c>
    </row>
    <row r="42" spans="1:14" s="1146" customFormat="1">
      <c r="A42" s="1141"/>
      <c r="B42" s="1130"/>
      <c r="C42" s="1131"/>
      <c r="D42" s="1132"/>
      <c r="E42" s="1132"/>
      <c r="F42" s="1132"/>
      <c r="G42" s="1133"/>
      <c r="H42" s="1134"/>
      <c r="I42" s="1117"/>
      <c r="J42" s="1117"/>
      <c r="K42" s="1117"/>
      <c r="L42" s="1117"/>
      <c r="M42" s="1117"/>
      <c r="N42" s="1117"/>
    </row>
    <row r="43" spans="1:14" s="1146" customFormat="1">
      <c r="A43" s="1129" t="s">
        <v>13</v>
      </c>
      <c r="B43" s="1135"/>
      <c r="C43" s="1145" t="s">
        <v>1650</v>
      </c>
      <c r="D43" s="1137"/>
      <c r="E43" s="1137"/>
      <c r="F43" s="1137"/>
      <c r="G43" s="1138"/>
      <c r="H43" s="1139"/>
      <c r="I43" s="1117"/>
      <c r="J43" s="1117"/>
      <c r="K43" s="1117"/>
      <c r="L43" s="1117"/>
      <c r="M43" s="1117"/>
      <c r="N43" s="1117"/>
    </row>
    <row r="44" spans="1:14" s="1146" customFormat="1">
      <c r="A44" s="1141"/>
      <c r="B44" s="1130" t="s">
        <v>1614</v>
      </c>
      <c r="C44" s="1143" t="s">
        <v>1603</v>
      </c>
      <c r="D44" s="1132">
        <f>+F45+F46</f>
        <v>527373</v>
      </c>
      <c r="E44" s="1132"/>
      <c r="F44" s="1132"/>
      <c r="G44" s="1133"/>
      <c r="H44" s="1134"/>
      <c r="I44" s="1117" t="s">
        <v>1602</v>
      </c>
      <c r="J44" s="1117" t="s">
        <v>1563</v>
      </c>
      <c r="K44" s="1117">
        <f>+ROUND((D44-E44)/1000,0)</f>
        <v>527</v>
      </c>
      <c r="L44" s="1117"/>
      <c r="M44" s="1117"/>
      <c r="N44" s="1117"/>
    </row>
    <row r="45" spans="1:14" s="1146" customFormat="1">
      <c r="A45" s="1141"/>
      <c r="B45" s="1130" t="s">
        <v>1566</v>
      </c>
      <c r="C45" s="1131" t="s">
        <v>1573</v>
      </c>
      <c r="D45" s="1132"/>
      <c r="E45" s="1132"/>
      <c r="F45" s="1132">
        <f>+ROUND(527373/1.155,0)</f>
        <v>456600</v>
      </c>
      <c r="G45" s="1133"/>
      <c r="H45" s="1134"/>
      <c r="I45" s="1117"/>
      <c r="J45" s="1117"/>
      <c r="K45" s="1117"/>
      <c r="L45" s="1117" t="s">
        <v>1568</v>
      </c>
      <c r="M45" s="1117" t="s">
        <v>1574</v>
      </c>
      <c r="N45" s="1147">
        <f>+ROUND((F45-G45)/1000,0)-1</f>
        <v>456</v>
      </c>
    </row>
    <row r="46" spans="1:14" s="1146" customFormat="1">
      <c r="A46" s="1141"/>
      <c r="B46" s="1130" t="s">
        <v>1570</v>
      </c>
      <c r="C46" s="1131" t="s">
        <v>1575</v>
      </c>
      <c r="D46" s="1132"/>
      <c r="E46" s="1132"/>
      <c r="F46" s="1132">
        <f>527373-F45</f>
        <v>70773</v>
      </c>
      <c r="G46" s="1133"/>
      <c r="H46" s="1134"/>
      <c r="I46" s="1117"/>
      <c r="J46" s="1117"/>
      <c r="K46" s="1117"/>
      <c r="L46" s="1117" t="s">
        <v>1572</v>
      </c>
      <c r="M46" s="1117" t="s">
        <v>1574</v>
      </c>
      <c r="N46" s="1117">
        <f>+ROUND((F46-G46)/1000,0)</f>
        <v>71</v>
      </c>
    </row>
    <row r="47" spans="1:14" s="1146" customFormat="1">
      <c r="A47" s="1141"/>
      <c r="B47" s="1130"/>
      <c r="C47" s="1131"/>
      <c r="D47" s="1132"/>
      <c r="E47" s="1132"/>
      <c r="F47" s="1132"/>
      <c r="G47" s="1133"/>
      <c r="H47" s="1134"/>
      <c r="I47" s="1117"/>
      <c r="J47" s="1117"/>
      <c r="K47" s="1117"/>
      <c r="L47" s="1117"/>
      <c r="M47" s="1117"/>
      <c r="N47" s="1117"/>
    </row>
    <row r="48" spans="1:14" s="1146" customFormat="1">
      <c r="A48" s="1129" t="s">
        <v>12</v>
      </c>
      <c r="B48" s="1135"/>
      <c r="C48" s="1145" t="s">
        <v>1652</v>
      </c>
      <c r="D48" s="1137"/>
      <c r="E48" s="1137"/>
      <c r="F48" s="1137"/>
      <c r="G48" s="1138"/>
      <c r="H48" s="1139"/>
      <c r="I48" s="1117"/>
      <c r="J48" s="1117"/>
      <c r="K48" s="1117"/>
      <c r="L48" s="1117"/>
      <c r="M48" s="1117"/>
      <c r="N48" s="1117"/>
    </row>
    <row r="49" spans="1:14" s="1146" customFormat="1">
      <c r="A49" s="1141"/>
      <c r="B49" s="1130" t="s">
        <v>1614</v>
      </c>
      <c r="C49" s="1143" t="s">
        <v>1603</v>
      </c>
      <c r="D49" s="1132">
        <f>+F50+F51+F52+F53+F54+F55+F56+F57</f>
        <v>99100</v>
      </c>
      <c r="E49" s="1132"/>
      <c r="F49" s="1132"/>
      <c r="G49" s="1133"/>
      <c r="H49" s="1134"/>
      <c r="I49" s="1117" t="s">
        <v>1602</v>
      </c>
      <c r="J49" s="1117" t="s">
        <v>1563</v>
      </c>
      <c r="K49" s="1117">
        <f>+ROUND((D49-E49)/1000,0)</f>
        <v>99</v>
      </c>
      <c r="L49" s="1117"/>
      <c r="M49" s="1117"/>
      <c r="N49" s="1117"/>
    </row>
    <row r="50" spans="1:14" s="1146" customFormat="1">
      <c r="A50" s="1141"/>
      <c r="B50" s="1130" t="s">
        <v>1566</v>
      </c>
      <c r="C50" s="1131" t="s">
        <v>1576</v>
      </c>
      <c r="D50" s="1132"/>
      <c r="E50" s="1132"/>
      <c r="F50" s="1132">
        <f>+ROUND(33264/1.155,0)</f>
        <v>28800</v>
      </c>
      <c r="G50" s="1133"/>
      <c r="H50" s="1134"/>
      <c r="I50" s="1117"/>
      <c r="J50" s="1117"/>
      <c r="K50" s="1117"/>
      <c r="L50" s="1117" t="s">
        <v>1568</v>
      </c>
      <c r="M50" s="1117" t="s">
        <v>1577</v>
      </c>
      <c r="N50" s="1117">
        <f t="shared" ref="N50:N57" si="7">+ROUND((F50-G50)/1000,0)</f>
        <v>29</v>
      </c>
    </row>
    <row r="51" spans="1:14" s="1146" customFormat="1">
      <c r="A51" s="1141"/>
      <c r="B51" s="1130" t="s">
        <v>1570</v>
      </c>
      <c r="C51" s="1131" t="s">
        <v>1578</v>
      </c>
      <c r="D51" s="1132"/>
      <c r="E51" s="1132"/>
      <c r="F51" s="1132">
        <f>33264-F50</f>
        <v>4464</v>
      </c>
      <c r="G51" s="1133"/>
      <c r="H51" s="1134"/>
      <c r="I51" s="1117"/>
      <c r="J51" s="1117"/>
      <c r="K51" s="1117"/>
      <c r="L51" s="1117" t="s">
        <v>1572</v>
      </c>
      <c r="M51" s="1117" t="s">
        <v>1577</v>
      </c>
      <c r="N51" s="1117">
        <f t="shared" si="7"/>
        <v>4</v>
      </c>
    </row>
    <row r="52" spans="1:14" s="1146" customFormat="1">
      <c r="A52" s="1141"/>
      <c r="B52" s="1130" t="s">
        <v>1566</v>
      </c>
      <c r="C52" s="1131" t="s">
        <v>1596</v>
      </c>
      <c r="D52" s="1132"/>
      <c r="E52" s="1132"/>
      <c r="F52" s="1132">
        <f>+ROUND(20445/1.155,0)</f>
        <v>17701</v>
      </c>
      <c r="G52" s="1133"/>
      <c r="H52" s="1134"/>
      <c r="I52" s="1117"/>
      <c r="J52" s="1117"/>
      <c r="K52" s="1117"/>
      <c r="L52" s="1117" t="s">
        <v>1568</v>
      </c>
      <c r="M52" s="1117" t="s">
        <v>1598</v>
      </c>
      <c r="N52" s="1147">
        <f>+ROUND((F52-G52)/1000,0)-1</f>
        <v>17</v>
      </c>
    </row>
    <row r="53" spans="1:14" s="1146" customFormat="1">
      <c r="A53" s="1141"/>
      <c r="B53" s="1130" t="s">
        <v>1570</v>
      </c>
      <c r="C53" s="1131" t="s">
        <v>1597</v>
      </c>
      <c r="D53" s="1132"/>
      <c r="E53" s="1132"/>
      <c r="F53" s="1132">
        <f>20445-F52</f>
        <v>2744</v>
      </c>
      <c r="G53" s="1133"/>
      <c r="H53" s="1134"/>
      <c r="I53" s="1117"/>
      <c r="J53" s="1117"/>
      <c r="K53" s="1117"/>
      <c r="L53" s="1117" t="s">
        <v>1572</v>
      </c>
      <c r="M53" s="1117" t="s">
        <v>1598</v>
      </c>
      <c r="N53" s="1117">
        <f t="shared" si="7"/>
        <v>3</v>
      </c>
    </row>
    <row r="54" spans="1:14" s="1146" customFormat="1">
      <c r="A54" s="1141"/>
      <c r="B54" s="1130" t="s">
        <v>1566</v>
      </c>
      <c r="C54" s="1131" t="s">
        <v>1573</v>
      </c>
      <c r="D54" s="1132"/>
      <c r="E54" s="1132"/>
      <c r="F54" s="1132">
        <f>+ROUND(9702/1.155,0)</f>
        <v>8400</v>
      </c>
      <c r="G54" s="1133"/>
      <c r="H54" s="1134"/>
      <c r="I54" s="1117"/>
      <c r="J54" s="1117"/>
      <c r="K54" s="1117"/>
      <c r="L54" s="1117" t="s">
        <v>1568</v>
      </c>
      <c r="M54" s="1117" t="s">
        <v>1574</v>
      </c>
      <c r="N54" s="1147">
        <f>+ROUND((F54-G54)/1000,0)+1</f>
        <v>9</v>
      </c>
    </row>
    <row r="55" spans="1:14" s="1146" customFormat="1">
      <c r="A55" s="1141"/>
      <c r="B55" s="1130" t="s">
        <v>1570</v>
      </c>
      <c r="C55" s="1131" t="s">
        <v>1575</v>
      </c>
      <c r="D55" s="1132"/>
      <c r="E55" s="1132"/>
      <c r="F55" s="1132">
        <f>9702-F54</f>
        <v>1302</v>
      </c>
      <c r="G55" s="1133"/>
      <c r="H55" s="1134"/>
      <c r="I55" s="1117"/>
      <c r="J55" s="1117"/>
      <c r="K55" s="1117"/>
      <c r="L55" s="1117" t="s">
        <v>1572</v>
      </c>
      <c r="M55" s="1117" t="s">
        <v>1574</v>
      </c>
      <c r="N55" s="1117">
        <f>+ROUND((F55-G55)/1000,0)</f>
        <v>1</v>
      </c>
    </row>
    <row r="56" spans="1:14" s="1146" customFormat="1">
      <c r="A56" s="1141"/>
      <c r="B56" s="1130" t="s">
        <v>1566</v>
      </c>
      <c r="C56" s="1131" t="s">
        <v>1567</v>
      </c>
      <c r="D56" s="1132"/>
      <c r="E56" s="1132"/>
      <c r="F56" s="1132">
        <f>+ROUND(35689/1.155,0)</f>
        <v>30900</v>
      </c>
      <c r="G56" s="1133"/>
      <c r="H56" s="1134"/>
      <c r="I56" s="1117"/>
      <c r="J56" s="1117"/>
      <c r="K56" s="1117"/>
      <c r="L56" s="1117" t="s">
        <v>1568</v>
      </c>
      <c r="M56" s="1117" t="s">
        <v>1569</v>
      </c>
      <c r="N56" s="1117">
        <f t="shared" si="7"/>
        <v>31</v>
      </c>
    </row>
    <row r="57" spans="1:14" s="1146" customFormat="1">
      <c r="A57" s="1141"/>
      <c r="B57" s="1130" t="s">
        <v>1570</v>
      </c>
      <c r="C57" s="1131" t="s">
        <v>1571</v>
      </c>
      <c r="D57" s="1132"/>
      <c r="E57" s="1132"/>
      <c r="F57" s="1132">
        <f>35689-F56</f>
        <v>4789</v>
      </c>
      <c r="G57" s="1133"/>
      <c r="H57" s="1134"/>
      <c r="I57" s="1117"/>
      <c r="J57" s="1117"/>
      <c r="K57" s="1117"/>
      <c r="L57" s="1117" t="s">
        <v>1572</v>
      </c>
      <c r="M57" s="1117" t="s">
        <v>1569</v>
      </c>
      <c r="N57" s="1117">
        <f t="shared" si="7"/>
        <v>5</v>
      </c>
    </row>
    <row r="58" spans="1:14" s="1146" customFormat="1">
      <c r="A58" s="1141"/>
      <c r="B58" s="1130"/>
      <c r="C58" s="1131"/>
      <c r="D58" s="1132"/>
      <c r="E58" s="1132"/>
      <c r="F58" s="1132"/>
      <c r="G58" s="1133"/>
      <c r="H58" s="1134"/>
      <c r="I58" s="1117"/>
      <c r="J58" s="1117"/>
      <c r="K58" s="1117"/>
      <c r="L58" s="1117"/>
      <c r="M58" s="1117"/>
      <c r="N58" s="1117"/>
    </row>
    <row r="59" spans="1:14" s="1148" customFormat="1">
      <c r="A59" s="1129" t="s">
        <v>11</v>
      </c>
      <c r="B59" s="1135"/>
      <c r="C59" s="1144" t="s">
        <v>1599</v>
      </c>
      <c r="D59" s="1137"/>
      <c r="E59" s="1137"/>
      <c r="F59" s="1137"/>
      <c r="G59" s="1138"/>
      <c r="H59" s="1139"/>
      <c r="I59" s="1140"/>
      <c r="J59" s="1140"/>
      <c r="K59" s="1140"/>
      <c r="L59" s="1140"/>
      <c r="M59" s="1140"/>
      <c r="N59" s="1140"/>
    </row>
    <row r="60" spans="1:14" s="1146" customFormat="1">
      <c r="A60" s="1141"/>
      <c r="B60" s="1130" t="s">
        <v>1579</v>
      </c>
      <c r="C60" s="1142" t="s">
        <v>1580</v>
      </c>
      <c r="D60" s="1132">
        <f>+F61+F62</f>
        <v>669336</v>
      </c>
      <c r="E60" s="1132"/>
      <c r="F60" s="1132"/>
      <c r="G60" s="1133"/>
      <c r="H60" s="1134"/>
      <c r="I60" s="1117" t="s">
        <v>1581</v>
      </c>
      <c r="J60" s="1117" t="s">
        <v>1582</v>
      </c>
      <c r="K60" s="1117">
        <f>+ROUND((D60-E60)/1000,0)</f>
        <v>669</v>
      </c>
      <c r="L60" s="1117"/>
      <c r="M60" s="1117"/>
      <c r="N60" s="1117"/>
    </row>
    <row r="61" spans="1:14" s="1146" customFormat="1">
      <c r="A61" s="1141"/>
      <c r="B61" s="1130" t="s">
        <v>1566</v>
      </c>
      <c r="C61" s="1131" t="s">
        <v>1583</v>
      </c>
      <c r="D61" s="1132"/>
      <c r="E61" s="1132"/>
      <c r="F61" s="1132">
        <v>609873</v>
      </c>
      <c r="G61" s="1133"/>
      <c r="H61" s="1134"/>
      <c r="I61" s="1117"/>
      <c r="J61" s="1117"/>
      <c r="K61" s="1117"/>
      <c r="L61" s="1117" t="s">
        <v>1568</v>
      </c>
      <c r="M61" s="1117" t="s">
        <v>1582</v>
      </c>
      <c r="N61" s="1117">
        <f>+ROUND((F61-G61)/1000,0)</f>
        <v>610</v>
      </c>
    </row>
    <row r="62" spans="1:14" s="1146" customFormat="1">
      <c r="A62" s="1141"/>
      <c r="B62" s="1130" t="s">
        <v>1570</v>
      </c>
      <c r="C62" s="1131" t="s">
        <v>1584</v>
      </c>
      <c r="D62" s="1132"/>
      <c r="E62" s="1132"/>
      <c r="F62" s="1132">
        <v>59463</v>
      </c>
      <c r="G62" s="1133"/>
      <c r="H62" s="1134"/>
      <c r="I62" s="1117"/>
      <c r="J62" s="1117"/>
      <c r="K62" s="1117"/>
      <c r="L62" s="1117" t="s">
        <v>1572</v>
      </c>
      <c r="M62" s="1117" t="s">
        <v>1582</v>
      </c>
      <c r="N62" s="1117">
        <f>+ROUND((F62-G62)/1000,0)</f>
        <v>59</v>
      </c>
    </row>
    <row r="63" spans="1:14">
      <c r="A63" s="1141"/>
      <c r="B63" s="1130"/>
      <c r="C63" s="1131"/>
      <c r="D63" s="1132"/>
      <c r="E63" s="1132"/>
      <c r="F63" s="1132"/>
      <c r="G63" s="1133"/>
      <c r="H63" s="1134"/>
    </row>
    <row r="64" spans="1:14" ht="15.75">
      <c r="A64" s="1436" t="s">
        <v>1585</v>
      </c>
      <c r="B64" s="1437"/>
      <c r="C64" s="1437"/>
      <c r="D64" s="1437"/>
      <c r="E64" s="1437"/>
      <c r="F64" s="1437"/>
      <c r="G64" s="1438"/>
      <c r="H64" s="1128"/>
      <c r="I64" s="1124"/>
      <c r="J64" s="1124"/>
      <c r="K64" s="1124"/>
      <c r="L64" s="1124"/>
      <c r="M64" s="1124"/>
      <c r="N64" s="1124"/>
    </row>
    <row r="65" spans="1:14">
      <c r="A65" s="1141"/>
      <c r="B65" s="1130"/>
      <c r="C65" s="1131"/>
      <c r="D65" s="1132"/>
      <c r="E65" s="1132"/>
      <c r="F65" s="1132"/>
      <c r="G65" s="1133"/>
      <c r="H65" s="1134"/>
    </row>
    <row r="66" spans="1:14" s="1148" customFormat="1">
      <c r="A66" s="1129" t="s">
        <v>11</v>
      </c>
      <c r="B66" s="1135"/>
      <c r="C66" s="1144" t="s">
        <v>1654</v>
      </c>
      <c r="D66" s="1137"/>
      <c r="E66" s="1137"/>
      <c r="F66" s="1137"/>
      <c r="G66" s="1138"/>
      <c r="H66" s="1139"/>
      <c r="I66" s="1140"/>
      <c r="J66" s="1140"/>
      <c r="K66" s="1140"/>
      <c r="L66" s="1140"/>
      <c r="M66" s="1140"/>
      <c r="N66" s="1140"/>
    </row>
    <row r="67" spans="1:14">
      <c r="A67" s="1129"/>
      <c r="B67" s="1130" t="s">
        <v>1564</v>
      </c>
      <c r="C67" s="1142" t="s">
        <v>1622</v>
      </c>
      <c r="D67" s="1132"/>
      <c r="E67" s="1132"/>
      <c r="F67" s="1132">
        <f>-(29537000+F35+-G10-G15-G19-G23-G28)</f>
        <v>7788547</v>
      </c>
      <c r="G67" s="1133"/>
      <c r="H67" s="1134"/>
      <c r="L67" s="1117" t="s">
        <v>1565</v>
      </c>
      <c r="M67" s="1117" t="s">
        <v>1561</v>
      </c>
      <c r="N67" s="1117">
        <f t="shared" ref="N67" si="8">+ROUND((F67-G67)/1000,0)</f>
        <v>7789</v>
      </c>
    </row>
    <row r="68" spans="1:14">
      <c r="A68" s="1141"/>
      <c r="B68" s="1130" t="s">
        <v>1558</v>
      </c>
      <c r="C68" s="1131" t="s">
        <v>1559</v>
      </c>
      <c r="D68" s="1132"/>
      <c r="E68" s="1132"/>
      <c r="F68" s="1132"/>
      <c r="G68" s="1133">
        <f>+F67</f>
        <v>7788547</v>
      </c>
      <c r="H68" s="1134"/>
      <c r="L68" s="1117" t="s">
        <v>1560</v>
      </c>
      <c r="M68" s="1117" t="s">
        <v>1561</v>
      </c>
      <c r="N68" s="1117">
        <f>+ROUND((F68-G68)/1000,0)</f>
        <v>-7789</v>
      </c>
    </row>
    <row r="69" spans="1:14" ht="13.5" thickBot="1">
      <c r="A69" s="1149"/>
      <c r="B69" s="1150"/>
      <c r="C69" s="1151"/>
      <c r="D69" s="1152"/>
      <c r="E69" s="1152"/>
      <c r="F69" s="1152"/>
      <c r="G69" s="1153"/>
      <c r="H69" s="1134"/>
    </row>
    <row r="70" spans="1:14" ht="13.5" thickBot="1">
      <c r="A70" s="1154"/>
      <c r="B70" s="1155"/>
      <c r="C70" s="1156"/>
      <c r="D70" s="1157">
        <f>SUM(D6:D69)</f>
        <v>20604586</v>
      </c>
      <c r="E70" s="1157">
        <f>SUM(E6:E69)</f>
        <v>0</v>
      </c>
      <c r="F70" s="1157">
        <f>SUM(F6:F69)</f>
        <v>77413793</v>
      </c>
      <c r="G70" s="1158">
        <f>SUM(G6:G69)</f>
        <v>56809207</v>
      </c>
      <c r="H70" s="1139"/>
      <c r="I70" s="1159"/>
      <c r="J70" s="1159"/>
      <c r="K70" s="1140">
        <f>SUM(K6:K69)</f>
        <v>20604</v>
      </c>
      <c r="L70" s="1159"/>
      <c r="M70" s="1159"/>
      <c r="N70" s="1140">
        <f>SUM(N6:N69)</f>
        <v>20604</v>
      </c>
    </row>
    <row r="71" spans="1:14" ht="13.5" thickBot="1">
      <c r="A71" s="1154"/>
      <c r="B71" s="1155"/>
      <c r="C71" s="1156"/>
      <c r="D71" s="1157"/>
      <c r="E71" s="1157">
        <f>SUM(D70-E70)</f>
        <v>20604586</v>
      </c>
      <c r="F71" s="1157"/>
      <c r="G71" s="1158">
        <f>SUM(F70-G70)</f>
        <v>20604586</v>
      </c>
      <c r="H71" s="1139"/>
      <c r="I71" s="1139">
        <f>+G71-E71</f>
        <v>0</v>
      </c>
      <c r="J71" s="1159"/>
      <c r="K71" s="1159"/>
      <c r="L71" s="1159"/>
      <c r="M71" s="1159"/>
      <c r="N71" s="1140">
        <f>+K70-N70</f>
        <v>0</v>
      </c>
    </row>
    <row r="72" spans="1:14" hidden="1">
      <c r="A72" s="1160"/>
      <c r="B72" s="1161"/>
      <c r="C72" s="1162"/>
      <c r="D72" s="1139"/>
      <c r="E72" s="1139"/>
      <c r="F72" s="1139"/>
      <c r="G72" s="1159"/>
      <c r="H72" s="1159"/>
      <c r="I72" s="1159"/>
      <c r="J72" s="1159"/>
      <c r="K72" s="1140"/>
      <c r="L72" s="1159"/>
      <c r="M72" s="1159"/>
      <c r="N72" s="1140"/>
    </row>
    <row r="73" spans="1:14" hidden="1">
      <c r="A73" s="1160"/>
      <c r="B73" s="1161"/>
      <c r="C73" s="1162"/>
      <c r="D73" s="1139"/>
      <c r="E73" s="1139"/>
      <c r="F73" s="1139"/>
      <c r="G73" s="1139"/>
      <c r="H73" s="1139"/>
      <c r="I73" s="1159"/>
      <c r="J73" s="1159"/>
      <c r="K73" s="1140"/>
      <c r="L73" s="1159"/>
      <c r="M73" s="1159"/>
      <c r="N73" s="1140"/>
    </row>
    <row r="74" spans="1:14" hidden="1">
      <c r="A74" s="1160"/>
      <c r="B74" s="1161"/>
      <c r="C74" s="1162"/>
      <c r="D74" s="1139"/>
      <c r="E74" s="1139"/>
      <c r="F74" s="1139"/>
      <c r="G74" s="1139"/>
      <c r="H74" s="1139"/>
      <c r="I74" s="1159"/>
      <c r="J74" s="1159"/>
      <c r="K74" s="1140"/>
      <c r="L74" s="1159"/>
      <c r="M74" s="1159"/>
      <c r="N74" s="1140"/>
    </row>
    <row r="75" spans="1:14" hidden="1">
      <c r="A75" s="1160"/>
      <c r="B75" s="1161"/>
      <c r="C75" s="1162"/>
      <c r="D75" s="1139"/>
      <c r="E75" s="1139"/>
      <c r="F75" s="1139"/>
      <c r="G75" s="1139"/>
      <c r="H75" s="1139"/>
      <c r="I75" s="1159"/>
      <c r="J75" s="1159"/>
      <c r="K75" s="1140"/>
      <c r="L75" s="1159"/>
      <c r="M75" s="1159"/>
      <c r="N75" s="1140"/>
    </row>
    <row r="76" spans="1:14" hidden="1">
      <c r="C76" s="1121" t="str">
        <f>'1.mell._Össz_Mérleg2020'!A10&amp;" "&amp;'1.mell._Össz_Mérleg2020'!B10</f>
        <v>1. I. Működési költségvetés bevételei [=2.+...+5.]</v>
      </c>
      <c r="D76" s="1121" t="str">
        <f>+'13.mell_ÖNKfeladatok2020'!A8&amp;" "&amp;'13.mell_ÖNKfeladatok2020'!D8&amp;"-"&amp;'13.mell_ÖNKfeladatok2020'!F8</f>
        <v>1 Önkormányzatok és önkormányzati hivatalok jogalkotó és általános igazgatási tevékenysége-Önkormányzati jogalkotás</v>
      </c>
      <c r="I76" s="1121"/>
      <c r="J76" s="1121"/>
      <c r="K76" s="1121"/>
      <c r="L76" s="1121"/>
      <c r="M76" s="1121"/>
    </row>
    <row r="77" spans="1:14" hidden="1">
      <c r="C77" s="1121" t="str">
        <f>'1.mell._Össz_Mérleg2020'!A11&amp;" "&amp;'1.mell._Össz_Mérleg2020'!B11</f>
        <v>2. I/1. Működési célú támogatások államháztartáson belülről (B1) [=2.1.+…+2.6.]</v>
      </c>
      <c r="D77" s="1121" t="str">
        <f>+'13.mell_ÖNKfeladatok2020'!A9&amp;" "&amp;'13.mell_ÖNKfeladatok2020'!D9&amp;"-"&amp;'13.mell_ÖNKfeladatok2020'!F9</f>
        <v>2 Önkormányzatok és önkormányzati hivatalok jogalkotó és általános igazgatási tevékenysége-Önkormányzatok és társulások igazgatási tevékenysége</v>
      </c>
      <c r="I77" s="1121"/>
      <c r="J77" s="1121"/>
      <c r="K77" s="1121"/>
      <c r="L77" s="1121"/>
      <c r="M77" s="1121"/>
    </row>
    <row r="78" spans="1:14" hidden="1">
      <c r="C78" s="1121" t="str">
        <f>'1.mell._Össz_Mérleg2020'!A12&amp;" "&amp;'1.mell._Össz_Mérleg2020'!B12</f>
        <v>2.1. Önkormányzatok működési támogatásai (B11) [=2.1.1.+…+2.1.6.]</v>
      </c>
      <c r="D78" s="1121" t="str">
        <f>+'13.mell_ÖNKfeladatok2020'!A10&amp;" "&amp;'13.mell_ÖNKfeladatok2020'!D10&amp;"-"&amp;'13.mell_ÖNKfeladatok2020'!F10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78" s="1121"/>
      <c r="J78" s="1121"/>
      <c r="K78" s="1121"/>
      <c r="L78" s="1121"/>
      <c r="M78" s="1121"/>
    </row>
    <row r="79" spans="1:14" hidden="1">
      <c r="C79" s="1121" t="str">
        <f>'1.mell._Össz_Mérleg2020'!A13&amp;" "&amp;'1.mell._Össz_Mérleg2020'!B13</f>
        <v>2.1.1. Helyi önkormányzatok működésének általános támogatása (B111)</v>
      </c>
      <c r="D79" s="1121" t="str">
        <f>+'13.mell_ÖNKfeladatok2020'!A11&amp;" "&amp;'13.mell_ÖNKfeladatok2020'!D11&amp;"-"&amp;'13.mell_ÖNKfeladatok2020'!F11</f>
        <v>4 Országos és helyi nemzetiségi önkormányzatok igazgatási tevékenysége-Helyi nemzetiségi önkormányzatok igazgatási tevékenysége</v>
      </c>
      <c r="I79" s="1121"/>
      <c r="J79" s="1121"/>
      <c r="K79" s="1121"/>
      <c r="L79" s="1121"/>
      <c r="M79" s="1121"/>
    </row>
    <row r="80" spans="1:14" hidden="1">
      <c r="C80" s="1121" t="str">
        <f>'1.mell._Össz_Mérleg2020'!A14&amp;" "&amp;'1.mell._Össz_Mérleg2020'!B14</f>
        <v>2.1.2. Települési önkormányzatok egyes köznevelési feladatainak támogatása (B112)</v>
      </c>
      <c r="D80" s="1121" t="str">
        <f>+'13.mell_ÖNKfeladatok2020'!A12&amp;" "&amp;'13.mell_ÖNKfeladatok2020'!D12&amp;"-"&amp;'13.mell_ÖNKfeladatok2020'!F12</f>
        <v>5 Adó-, vám- és jövedéki igazgatás-Adó, illeték kiszabása, beszedése, adóellenőrzés</v>
      </c>
      <c r="I80" s="1121"/>
      <c r="J80" s="1121"/>
      <c r="K80" s="1121"/>
      <c r="L80" s="1121"/>
      <c r="M80" s="1121"/>
    </row>
    <row r="81" spans="1:14" hidden="1">
      <c r="C81" s="1121" t="str">
        <f>'1.mell._Össz_Mérleg2020'!A15&amp;" "&amp;'1.mell._Össz_Mérleg2020'!B15</f>
        <v>2.1.3. Települési önkormányzatok szociális és gyermekjóléti  feladatainak támogatása (B113)</v>
      </c>
      <c r="D81" s="1121" t="str">
        <f>+'13.mell_ÖNKfeladatok2020'!A13&amp;" "&amp;'13.mell_ÖNKfeladatok2020'!D13&amp;"-"&amp;'13.mell_ÖNKfeladatok2020'!F13</f>
        <v>6 Köztemető-fenntartás és -működtetés-Köztemető-fenntartás és -működtetés</v>
      </c>
      <c r="I81" s="1121"/>
      <c r="J81" s="1121"/>
      <c r="K81" s="1121"/>
      <c r="L81" s="1121"/>
      <c r="M81" s="1121"/>
    </row>
    <row r="82" spans="1:14" hidden="1">
      <c r="C82" s="1121" t="str">
        <f>'1.mell._Össz_Mérleg2020'!A16&amp;" "&amp;'1.mell._Össz_Mérleg2020'!B16</f>
        <v>2.1.4. Települési önkormányzatok kulturális feladatainak támogatása (B114)</v>
      </c>
      <c r="D82" s="1121" t="str">
        <f>+'13.mell_ÖNKfeladatok2020'!A14&amp;" "&amp;'13.mell_ÖNKfeladatok2020'!D14&amp;"-"&amp;'13.mell_ÖNKfeladatok2020'!F14</f>
        <v>7 Az önkormányzati vagyonnal való gazdálkodással kapcsolatos feladatok-Lakóingatlan bérbeadása, üzemeltetése (nem szociális célú)</v>
      </c>
      <c r="I82" s="1121"/>
      <c r="J82" s="1121"/>
      <c r="K82" s="1121"/>
      <c r="L82" s="1121"/>
      <c r="M82" s="1121"/>
    </row>
    <row r="83" spans="1:14" hidden="1">
      <c r="C83" s="1121" t="str">
        <f>'1.mell._Össz_Mérleg2020'!A17&amp;" "&amp;'1.mell._Össz_Mérleg2020'!B17</f>
        <v>2.1.5. Működési célú költségvetési támogatások és kiegészítő támogatások (B115)</v>
      </c>
      <c r="D83" s="1121" t="str">
        <f>+'13.mell_ÖNKfeladatok2020'!A15&amp;" "&amp;'13.mell_ÖNKfeladatok2020'!D15&amp;"-"&amp;'13.mell_ÖNKfeladatok2020'!F15</f>
        <v>8 Az önkormányzati vagyonnal való gazdálkodással kapcsolatos feladatok-Nem lakóingatlan bérbeadása, üzemeltetése</v>
      </c>
      <c r="I83" s="1121"/>
      <c r="J83" s="1121"/>
      <c r="K83" s="1121"/>
      <c r="L83" s="1121"/>
      <c r="M83" s="1121"/>
    </row>
    <row r="84" spans="1:14" hidden="1">
      <c r="C84" s="1121" t="str">
        <f>'1.mell._Össz_Mérleg2020'!A18&amp;" "&amp;'1.mell._Össz_Mérleg2020'!B18</f>
        <v>2.1.6. Elszámolásból származó bevételek (B116)</v>
      </c>
      <c r="D84" s="1121" t="str">
        <f>+'13.mell_ÖNKfeladatok2020'!A16&amp;" "&amp;'13.mell_ÖNKfeladatok2020'!D16&amp;"-"&amp;'13.mell_ÖNKfeladatok2020'!F16</f>
        <v>9 Más szerv részére végzett pénzügyi-gazdálkodási, üzemeltetési, egyéb szolgáltatások-Építményüzemeltetés</v>
      </c>
      <c r="I84" s="1121"/>
      <c r="J84" s="1121"/>
      <c r="K84" s="1121"/>
      <c r="L84" s="1121"/>
      <c r="M84" s="1121"/>
    </row>
    <row r="85" spans="1:14" hidden="1">
      <c r="C85" s="1121" t="str">
        <f>'1.mell._Össz_Mérleg2020'!A19&amp;" "&amp;'1.mell._Össz_Mérleg2020'!B19</f>
        <v>2.2. Elvonások és befizetések bevételei (B12)</v>
      </c>
      <c r="D85" s="1121" t="str">
        <f>+'13.mell_ÖNKfeladatok2020'!A17&amp;" "&amp;'13.mell_ÖNKfeladatok2020'!D17&amp;"-"&amp;'13.mell_ÖNKfeladatok2020'!F17</f>
        <v>10 Kiemelt állami és önkormányzati rendezvények-Nemzeti ünnepek programjai</v>
      </c>
      <c r="I85" s="1121"/>
      <c r="J85" s="1121"/>
      <c r="K85" s="1121"/>
      <c r="L85" s="1121"/>
      <c r="M85" s="1121"/>
    </row>
    <row r="86" spans="1:14" hidden="1">
      <c r="C86" s="1121" t="str">
        <f>'1.mell._Össz_Mérleg2020'!A20&amp;" "&amp;'1.mell._Össz_Mérleg2020'!B20</f>
        <v>2.3. Működési célú garancia- és kezességvállalásból származó megtérülések államháztartáson belülről (B13)</v>
      </c>
      <c r="D86" s="1121" t="str">
        <f>+'13.mell_ÖNKfeladatok2020'!A18&amp;" "&amp;'13.mell_ÖNKfeladatok2020'!D18&amp;"-"&amp;'13.mell_ÖNKfeladatok2020'!F18</f>
        <v>11 Önkormányzatok elszámolásai a központi költségvetéssel-Önkormányzatok és társulások elszámolásai a központi költségvetéssel</v>
      </c>
      <c r="I86" s="1121"/>
      <c r="J86" s="1121"/>
      <c r="K86" s="1121"/>
      <c r="L86" s="1121"/>
      <c r="M86" s="1121"/>
    </row>
    <row r="87" spans="1:14" hidden="1">
      <c r="A87" s="1118"/>
      <c r="B87" s="1118"/>
      <c r="C87" s="1121" t="str">
        <f>'1.mell._Össz_Mérleg2020'!A21&amp;" "&amp;'1.mell._Össz_Mérleg2020'!B21</f>
        <v>2.4. Működési célú visszatérítendő támogatások, kölcsönök visszatérülése államháztartáson belülről (B14)</v>
      </c>
      <c r="D87" s="1121" t="str">
        <f>+'13.mell_ÖNKfeladatok2020'!A19&amp;" "&amp;'13.mell_ÖNKfeladatok2020'!D19&amp;"-"&amp;'13.mell_ÖNKfeladatok2020'!F19</f>
        <v xml:space="preserve">12 Központi költségvetési befizetések-Központi költségvetési befizetések </v>
      </c>
      <c r="I87" s="1121"/>
      <c r="J87" s="1121"/>
      <c r="K87" s="1121"/>
      <c r="L87" s="1121"/>
      <c r="M87" s="1121"/>
      <c r="N87" s="1118"/>
    </row>
    <row r="88" spans="1:14" hidden="1">
      <c r="A88" s="1118"/>
      <c r="B88" s="1118"/>
      <c r="C88" s="1121" t="str">
        <f>'1.mell._Össz_Mérleg2020'!A22&amp;" "&amp;'1.mell._Össz_Mérleg2020'!B22</f>
        <v>2.5. Működési célú visszatérítendő támogatások, kölcsönök igénybevétele államháztartáson belülről (B15)</v>
      </c>
      <c r="D88" s="1121" t="str">
        <f>+'13.mell_ÖNKfeladatok2020'!A20&amp;" "&amp;'13.mell_ÖNKfeladatok2020'!D20&amp;"-"&amp;'13.mell_ÖNKfeladatok2020'!F20</f>
        <v>13 Támogatási célú finanszírozási műveletek-Önkormányzatok és társulások igazgatási tevékenysége</v>
      </c>
      <c r="I88" s="1121"/>
      <c r="J88" s="1121"/>
      <c r="K88" s="1121"/>
      <c r="L88" s="1121"/>
      <c r="M88" s="1121"/>
      <c r="N88" s="1118"/>
    </row>
    <row r="89" spans="1:14" hidden="1">
      <c r="A89" s="1118"/>
      <c r="B89" s="1118"/>
      <c r="C89" s="1121" t="str">
        <f>'1.mell._Össz_Mérleg2020'!A23&amp;" "&amp;'1.mell._Össz_Mérleg2020'!B23</f>
        <v>2.6. Egyéb működési célú támogatások bevételei államháztartáson belülről (B16)</v>
      </c>
      <c r="D89" s="1121" t="str">
        <f>+'13.mell_ÖNKfeladatok2020'!A21&amp;" "&amp;'13.mell_ÖNKfeladatok2020'!D21&amp;"-"&amp;'13.mell_ÖNKfeladatok2020'!F21</f>
        <v>14 A polgári honvédelem ágazati feladatai, a lakosság felkészítése-A polgári védelem ágazati feladatai</v>
      </c>
      <c r="I89" s="1121"/>
      <c r="J89" s="1121"/>
      <c r="K89" s="1121"/>
      <c r="L89" s="1121"/>
      <c r="M89" s="1121"/>
      <c r="N89" s="1118"/>
    </row>
    <row r="90" spans="1:14" hidden="1">
      <c r="A90" s="1118"/>
      <c r="B90" s="1118"/>
      <c r="C90" s="1121" t="str">
        <f>'1.mell._Össz_Mérleg2020'!A24&amp;" "&amp;'1.mell._Össz_Mérleg2020'!B24</f>
        <v>2.6.a. - ebből: Működési célú  fejezeti kezelésű előirányzatok EU-s programok és azok hazai társfinanszírozása (B16)</v>
      </c>
      <c r="D90" s="1121" t="str">
        <f>+'13.mell_ÖNKfeladatok2020'!A22&amp;" "&amp;'13.mell_ÖNKfeladatok2020'!D22&amp;"-"&amp;'13.mell_ÖNKfeladatok2020'!F22</f>
        <v>15 Rövid időtartamú közfoglalkoztatás -Rövid időtartamú közfoglalkoztatás</v>
      </c>
      <c r="I90" s="1121"/>
      <c r="J90" s="1121"/>
      <c r="K90" s="1121"/>
      <c r="L90" s="1121"/>
      <c r="M90" s="1121"/>
      <c r="N90" s="1118"/>
    </row>
    <row r="91" spans="1:14" hidden="1">
      <c r="A91" s="1118"/>
      <c r="B91" s="1118"/>
      <c r="C91" s="1121" t="str">
        <f>'1.mell._Össz_Mérleg2020'!A25&amp;" "&amp;'1.mell._Össz_Mérleg2020'!B25</f>
        <v>3. I/2. Közhatalmi bevételek (B3) [=3.1.+…+3.6.]</v>
      </c>
      <c r="D91" s="1121" t="str">
        <f>+'13.mell_ÖNKfeladatok2020'!A23&amp;" "&amp;'13.mell_ÖNKfeladatok2020'!D23&amp;"-"&amp;'13.mell_ÖNKfeladatok2020'!F23</f>
        <v>16 Start-munka program – Téli közfoglalkoztatás-Rövid időtartamú közfoglalkoztatás</v>
      </c>
      <c r="I91" s="1121"/>
      <c r="J91" s="1121"/>
      <c r="K91" s="1121"/>
      <c r="L91" s="1121"/>
      <c r="M91" s="1121"/>
      <c r="N91" s="1118"/>
    </row>
    <row r="92" spans="1:14" hidden="1">
      <c r="A92" s="1118"/>
      <c r="B92" s="1118"/>
      <c r="C92" s="1121" t="str">
        <f>'1.mell._Össz_Mérleg2020'!A26&amp;" "&amp;'1.mell._Össz_Mérleg2020'!B26</f>
        <v>3.1. Jövedelemadók (B31)</v>
      </c>
      <c r="D92" s="1121" t="str">
        <f>+'13.mell_ÖNKfeladatok2020'!A24&amp;" "&amp;'13.mell_ÖNKfeladatok2020'!D24&amp;"-"&amp;'13.mell_ÖNKfeladatok2020'!F24</f>
        <v>17 Hosszabb időtartamú közfoglalkoztatás-Foglalkoztatást helyettesítő támogatásra jogosultak hosszabb időtartamú közfoglalkoztatása</v>
      </c>
      <c r="I92" s="1121"/>
      <c r="J92" s="1121"/>
      <c r="K92" s="1121"/>
      <c r="L92" s="1121"/>
      <c r="M92" s="1121"/>
      <c r="N92" s="1118"/>
    </row>
    <row r="93" spans="1:14" hidden="1">
      <c r="A93" s="1118"/>
      <c r="B93" s="1118"/>
      <c r="C93" s="1121" t="str">
        <f>'1.mell._Össz_Mérleg2020'!A27&amp;" "&amp;'1.mell._Össz_Mérleg2020'!B27</f>
        <v>3.2. Szociális hozzájárulási adó és járulékok (B32)</v>
      </c>
      <c r="D93" s="1121" t="str">
        <f>+'13.mell_ÖNKfeladatok2020'!A25&amp;" "&amp;'13.mell_ÖNKfeladatok2020'!D25&amp;"-"&amp;'13.mell_ÖNKfeladatok2020'!F25</f>
        <v>18 Országos közfoglalkoztatási program-Egyéb közfoglalkoztatás</v>
      </c>
      <c r="I93" s="1121"/>
      <c r="J93" s="1121"/>
      <c r="K93" s="1121"/>
      <c r="L93" s="1121"/>
      <c r="M93" s="1121"/>
      <c r="N93" s="1118"/>
    </row>
    <row r="94" spans="1:14" hidden="1">
      <c r="A94" s="1118"/>
      <c r="B94" s="1118"/>
      <c r="C94" s="1121" t="str">
        <f>'1.mell._Össz_Mérleg2020'!A28&amp;" "&amp;'1.mell._Össz_Mérleg2020'!B28</f>
        <v>3.3. Bérhez és foglalkoztatáshoz kapcsolódó adók (B33)</v>
      </c>
      <c r="D94" s="1121" t="str">
        <f>+'13.mell_ÖNKfeladatok2020'!A26&amp;" "&amp;'13.mell_ÖNKfeladatok2020'!D26&amp;"-"&amp;'13.mell_ÖNKfeladatok2020'!F26</f>
        <v>19 Közfoglalkoztatási mintaprogram-Egyéb közfoglalkoztatás</v>
      </c>
      <c r="I94" s="1121"/>
      <c r="J94" s="1121"/>
      <c r="K94" s="1121"/>
      <c r="L94" s="1121"/>
      <c r="M94" s="1121"/>
      <c r="N94" s="1118"/>
    </row>
    <row r="95" spans="1:14" hidden="1">
      <c r="A95" s="1118"/>
      <c r="B95" s="1118"/>
      <c r="C95" s="1121" t="str">
        <f>'1.mell._Össz_Mérleg2020'!A29&amp;" "&amp;'1.mell._Össz_Mérleg2020'!B29</f>
        <v>3.4. Vagyoni tipusú adók  (B34)</v>
      </c>
      <c r="D95" s="1121" t="str">
        <f>+'13.mell_ÖNKfeladatok2020'!A27&amp;" "&amp;'13.mell_ÖNKfeladatok2020'!D27&amp;"-"&amp;'13.mell_ÖNKfeladatok2020'!F27</f>
        <v>20 Állat-egészségügy-Állat-egészségügyi ellátás</v>
      </c>
      <c r="I95" s="1121"/>
      <c r="J95" s="1121"/>
      <c r="K95" s="1121"/>
      <c r="L95" s="1121"/>
      <c r="M95" s="1121"/>
      <c r="N95" s="1118"/>
    </row>
    <row r="96" spans="1:14" hidden="1">
      <c r="A96" s="1118"/>
      <c r="B96" s="1118"/>
      <c r="C96" s="1121" t="str">
        <f>'1.mell._Össz_Mérleg2020'!A30&amp;" "&amp;'1.mell._Össz_Mérleg2020'!B30</f>
        <v>3.5. Termékek és szolgáltatások adói (B35)</v>
      </c>
      <c r="D96" s="1121" t="str">
        <f>+'13.mell_ÖNKfeladatok2020'!A28&amp;" "&amp;'13.mell_ÖNKfeladatok2020'!D28&amp;"-"&amp;'13.mell_ÖNKfeladatok2020'!F28</f>
        <v>21 Út, autópálya építése-Út, autópálya építése</v>
      </c>
      <c r="I96" s="1121"/>
      <c r="J96" s="1121"/>
      <c r="K96" s="1121"/>
      <c r="L96" s="1121"/>
      <c r="M96" s="1121"/>
      <c r="N96" s="1118"/>
    </row>
    <row r="97" spans="1:14" hidden="1">
      <c r="A97" s="1118"/>
      <c r="B97" s="1118"/>
      <c r="C97" s="1121" t="str">
        <f>'1.mell._Össz_Mérleg2020'!A31&amp;" "&amp;'1.mell._Össz_Mérleg2020'!B31</f>
        <v>3.6. Egyéb közhatalmi bevételek (B36)</v>
      </c>
      <c r="D97" s="1121" t="str">
        <f>+'13.mell_ÖNKfeladatok2020'!A29&amp;" "&amp;'13.mell_ÖNKfeladatok2020'!D29&amp;"-"&amp;'13.mell_ÖNKfeladatok2020'!F29</f>
        <v>22 Városi és elővárosi közúti személyszállítás-Városi és elővárosi közúti személyszállítás</v>
      </c>
      <c r="I97" s="1121"/>
      <c r="J97" s="1121"/>
      <c r="K97" s="1121"/>
      <c r="L97" s="1121"/>
      <c r="M97" s="1121"/>
      <c r="N97" s="1118"/>
    </row>
    <row r="98" spans="1:14" hidden="1">
      <c r="A98" s="1118"/>
      <c r="B98" s="1118"/>
      <c r="C98" s="1121" t="str">
        <f>'1.mell._Össz_Mérleg2020'!A32&amp;" "&amp;'1.mell._Össz_Mérleg2020'!B32</f>
        <v>4. I/3. Működési bevételek (B4) [=4.1.+…+4.11.]</v>
      </c>
      <c r="D98" s="1121" t="str">
        <f>+'13.mell_ÖNKfeladatok2020'!A30&amp;" "&amp;'13.mell_ÖNKfeladatok2020'!D30&amp;"-"&amp;'13.mell_ÖNKfeladatok2020'!F30</f>
        <v>23 Közutak, hidak, alagutak üzemeltetése, fenntartása-Közutak, hidak, alagutak üzemeltetése, fenntartása</v>
      </c>
      <c r="I98" s="1121"/>
      <c r="J98" s="1121"/>
      <c r="K98" s="1121"/>
      <c r="L98" s="1121"/>
      <c r="M98" s="1121"/>
      <c r="N98" s="1118"/>
    </row>
    <row r="99" spans="1:14" hidden="1">
      <c r="A99" s="1118"/>
      <c r="B99" s="1118"/>
      <c r="C99" s="1121" t="str">
        <f>'1.mell._Össz_Mérleg2020'!A33&amp;" "&amp;'1.mell._Össz_Mérleg2020'!B33</f>
        <v>4.1. Készletértékesítés ellenértéke (B401)</v>
      </c>
      <c r="D99" s="1121" t="str">
        <f>+'13.mell_ÖNKfeladatok2020'!A31&amp;" "&amp;'13.mell_ÖNKfeladatok2020'!D31&amp;"-"&amp;'13.mell_ÖNKfeladatok2020'!F31</f>
        <v>24 Ár- és belvízvédelemmel összefüggő tevékenységek-Ár- és belvízvédelemmel összefüggő tevékenységek</v>
      </c>
      <c r="I99" s="1121"/>
      <c r="J99" s="1121"/>
      <c r="K99" s="1121"/>
      <c r="L99" s="1121"/>
      <c r="M99" s="1121"/>
      <c r="N99" s="1118"/>
    </row>
    <row r="100" spans="1:14" hidden="1">
      <c r="A100" s="1118"/>
      <c r="B100" s="1118"/>
      <c r="C100" s="1121" t="str">
        <f>'1.mell._Össz_Mérleg2020'!A34&amp;" "&amp;'1.mell._Össz_Mérleg2020'!B34</f>
        <v>4.2. Szolgáltatások ellenértéke (B402)</v>
      </c>
      <c r="D100" s="1121" t="str">
        <f>+'13.mell_ÖNKfeladatok2020'!A32&amp;" "&amp;'13.mell_ÖNKfeladatok2020'!D32&amp;"-"&amp;'13.mell_ÖNKfeladatok2020'!F32</f>
        <v>25 Nem veszélyes (települési) hulladék vegyes (ömlesztett) begyűjtése, szállítása, átrakása-Települési hulladék vegyes (ömlesztett) begyűjtése, szállítása, átrakása
begyűjtése, szállítása, átrakása</v>
      </c>
      <c r="I100" s="1121"/>
      <c r="J100" s="1121"/>
      <c r="K100" s="1121"/>
      <c r="L100" s="1121"/>
      <c r="M100" s="1121"/>
      <c r="N100" s="1118"/>
    </row>
    <row r="101" spans="1:14" hidden="1">
      <c r="A101" s="1118"/>
      <c r="B101" s="1118"/>
      <c r="C101" s="1121" t="str">
        <f>'1.mell._Össz_Mérleg2020'!A35&amp;" "&amp;'1.mell._Össz_Mérleg2020'!B35</f>
        <v>4.3. Közvetített szolgáltatások értéke (B403)</v>
      </c>
      <c r="D101" s="1121" t="str">
        <f>+'13.mell_ÖNKfeladatok2020'!A33&amp;" "&amp;'13.mell_ÖNKfeladatok2020'!D33&amp;"-"&amp;'13.mell_ÖNKfeladatok2020'!F33</f>
        <v>26 Víztermelés, -kezelés, -ellátás-Víztermelés-, kezelés-, ellátás</v>
      </c>
      <c r="I101" s="1121"/>
      <c r="J101" s="1121"/>
      <c r="K101" s="1121"/>
      <c r="L101" s="1121"/>
      <c r="M101" s="1121"/>
      <c r="N101" s="1118"/>
    </row>
    <row r="102" spans="1:14" hidden="1">
      <c r="A102" s="1118"/>
      <c r="B102" s="1118"/>
      <c r="C102" s="1121" t="str">
        <f>'1.mell._Össz_Mérleg2020'!A36&amp;" "&amp;'1.mell._Össz_Mérleg2020'!B36</f>
        <v>4.4. Tulajdonosi bevételek (B404)</v>
      </c>
      <c r="D102" s="1121" t="str">
        <f>+'13.mell_ÖNKfeladatok2020'!A34&amp;" "&amp;'13.mell_ÖNKfeladatok2020'!D34&amp;"-"&amp;'13.mell_ÖNKfeladatok2020'!F34</f>
        <v>27 Közvilágítás-Közvilágítás</v>
      </c>
      <c r="I102" s="1121"/>
      <c r="J102" s="1121"/>
      <c r="K102" s="1121"/>
      <c r="L102" s="1121"/>
      <c r="M102" s="1121"/>
      <c r="N102" s="1118"/>
    </row>
    <row r="103" spans="1:14" hidden="1">
      <c r="A103" s="1118"/>
      <c r="B103" s="1118"/>
      <c r="C103" s="1121" t="str">
        <f>'1.mell._Össz_Mérleg2020'!A37&amp;" "&amp;'1.mell._Össz_Mérleg2020'!B37</f>
        <v>4.5. Ellátási díjak (B405)</v>
      </c>
      <c r="D103" s="1121" t="str">
        <f>+'13.mell_ÖNKfeladatok2020'!A35&amp;" "&amp;'13.mell_ÖNKfeladatok2020'!D35&amp;"-"&amp;'13.mell_ÖNKfeladatok2020'!F35</f>
        <v>28 Zöldterület-kezelés-Zöldterület-kezelés</v>
      </c>
      <c r="I103" s="1121"/>
      <c r="J103" s="1121"/>
      <c r="K103" s="1121"/>
      <c r="L103" s="1121"/>
      <c r="M103" s="1121"/>
      <c r="N103" s="1118"/>
    </row>
    <row r="104" spans="1:14" hidden="1">
      <c r="A104" s="1118"/>
      <c r="B104" s="1118"/>
      <c r="C104" s="1121" t="str">
        <f>'1.mell._Össz_Mérleg2020'!A38&amp;" "&amp;'1.mell._Össz_Mérleg2020'!B38</f>
        <v>4.6. Kiszámlázott általános forgalmi adó (B406)</v>
      </c>
      <c r="D104" s="1121" t="str">
        <f>+'13.mell_ÖNKfeladatok2020'!A36&amp;" "&amp;'13.mell_ÖNKfeladatok2020'!D36&amp;"-"&amp;'13.mell_ÖNKfeladatok2020'!F36</f>
        <v xml:space="preserve">29 Város-, községgazdálkodási m.n.s. szolgáltatások -Város-, községgazdálkodási m.n.s. szolgáltatások </v>
      </c>
      <c r="I104" s="1121"/>
      <c r="J104" s="1121"/>
      <c r="K104" s="1121"/>
      <c r="L104" s="1121"/>
      <c r="M104" s="1121"/>
      <c r="N104" s="1118"/>
    </row>
    <row r="105" spans="1:14" hidden="1">
      <c r="A105" s="1118"/>
      <c r="B105" s="1118"/>
      <c r="C105" s="1121" t="str">
        <f>'1.mell._Össz_Mérleg2020'!A39&amp;" "&amp;'1.mell._Össz_Mérleg2020'!B39</f>
        <v>4.7. Általános forgalmi adó visszatérítése (B407)</v>
      </c>
      <c r="D105" s="1121" t="str">
        <f>+'13.mell_ÖNKfeladatok2020'!A37&amp;" "&amp;'13.mell_ÖNKfeladatok2020'!D37&amp;"-"&amp;'13.mell_ÖNKfeladatok2020'!F37</f>
        <v>30 Városi és elővárosi közúti személyszállítás (TOP 3.1.1.)-Városi és elővárosi közúti személyszállítás (TOP-3.1.1-15-HE1-2016-00006 Kerékpárút fejlesztése Heves városában)</v>
      </c>
      <c r="I105" s="1121"/>
      <c r="J105" s="1121"/>
      <c r="K105" s="1121"/>
      <c r="L105" s="1121"/>
      <c r="M105" s="1121"/>
      <c r="N105" s="1118"/>
    </row>
    <row r="106" spans="1:14" hidden="1">
      <c r="A106" s="1118"/>
      <c r="B106" s="1118"/>
      <c r="C106" s="1121" t="str">
        <f>'1.mell._Össz_Mérleg2020'!A40&amp;" "&amp;'1.mell._Össz_Mérleg2020'!B40</f>
        <v>4.8. Kamatbevételek és más nyereségjellegű bevételek (B408)</v>
      </c>
      <c r="D106" s="1121" t="str">
        <f>+'13.mell_ÖNKfeladatok2020'!A38&amp;" "&amp;'13.mell_ÖNKfeladatok2020'!D38&amp;"-"&amp;'13.mell_ÖNKfeladatok2020'!F38</f>
        <v>31 Városi és elővárosi közúti személyszállítás (TOP 3.1.1.)-Városi és elővárosi közúti személyszállítás (TOP-3.1.1-15-HE1-2016-00007 Kerékpáros fejlesztés Boconád, Heves és Tarnaméra községekben)</v>
      </c>
      <c r="I106" s="1121"/>
      <c r="J106" s="1121"/>
      <c r="K106" s="1121"/>
      <c r="L106" s="1121"/>
      <c r="M106" s="1121"/>
      <c r="N106" s="1118"/>
    </row>
    <row r="107" spans="1:14" hidden="1">
      <c r="A107" s="1118"/>
      <c r="B107" s="1118"/>
      <c r="C107" s="1121" t="str">
        <f>'1.mell._Össz_Mérleg2020'!A41&amp;" "&amp;'1.mell._Össz_Mérleg2020'!B41</f>
        <v>4.9. Egyéb pénzügyi műveletek bevételei (B409)</v>
      </c>
      <c r="D107" s="1121" t="str">
        <f>+'13.mell_ÖNKfeladatok2020'!A39&amp;" "&amp;'13.mell_ÖNKfeladatok2020'!D39&amp;"-"&amp;'13.mell_ÖNKfeladatok2020'!F39</f>
        <v>32 Városi és elővárosi közúti személyszállítás (TOP 3.1.1.)-Városi és elővárosi közúti személyszállítás (TOP-3.1.1-16-HE1-2017-00003 Kerékpáros fejlesztés Heves és Hevesvezekény településeken)</v>
      </c>
      <c r="I107" s="1121"/>
      <c r="J107" s="1121"/>
      <c r="K107" s="1121"/>
      <c r="L107" s="1121"/>
      <c r="M107" s="1121"/>
      <c r="N107" s="1118"/>
    </row>
    <row r="108" spans="1:14" hidden="1">
      <c r="A108" s="1118"/>
      <c r="B108" s="1118"/>
      <c r="C108" s="1121" t="str">
        <f>'1.mell._Össz_Mérleg2020'!A42&amp;" "&amp;'1.mell._Össz_Mérleg2020'!B42</f>
        <v>4.10. Biztosító által fizetett kártérítés (B410)</v>
      </c>
      <c r="D108" s="1121" t="str">
        <f>+'13.mell_ÖNKfeladatok2020'!A40&amp;" "&amp;'13.mell_ÖNKfeladatok2020'!D40&amp;"-"&amp;'13.mell_ÖNKfeladatok2020'!F40</f>
        <v>33 Turizmusfejlesztési támogatások és tevékenységek (TOP 1.2.1.)-Turizmusfejlesztési támogatások és tevékenységek (TOP-1.2.1-15-HE1-2016-00005 a Halász-kúria turisztikai fejlesztése Heves Városban)</v>
      </c>
      <c r="I108" s="1121"/>
      <c r="J108" s="1121"/>
      <c r="K108" s="1121"/>
      <c r="L108" s="1121"/>
      <c r="M108" s="1121"/>
      <c r="N108" s="1118"/>
    </row>
    <row r="109" spans="1:14" hidden="1">
      <c r="A109" s="1118"/>
      <c r="B109" s="1118"/>
      <c r="C109" s="1121" t="str">
        <f>'1.mell._Össz_Mérleg2020'!A43&amp;" "&amp;'1.mell._Össz_Mérleg2020'!B43</f>
        <v>4.11. Egyéb működési bevételek (B411)</v>
      </c>
      <c r="D109" s="1121" t="str">
        <f>+'13.mell_ÖNKfeladatok2020'!A41&amp;" "&amp;'13.mell_ÖNKfeladatok2020'!D41&amp;"-"&amp;'13.mell_ÖNKfeladatok2020'!F41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109" s="1121"/>
      <c r="J109" s="1121"/>
      <c r="K109" s="1121"/>
      <c r="L109" s="1121"/>
      <c r="M109" s="1121"/>
      <c r="N109" s="1118"/>
    </row>
    <row r="110" spans="1:14" hidden="1">
      <c r="A110" s="1118"/>
      <c r="B110" s="1118"/>
      <c r="C110" s="1121" t="str">
        <f>'1.mell._Össz_Mérleg2020'!A44&amp;" "&amp;'1.mell._Össz_Mérleg2020'!B44</f>
        <v>5. I/4. Működési célú átvett pénzeszközök (B6) [=5.1.+…+5.5.]</v>
      </c>
      <c r="D110" s="1121" t="str">
        <f>+'13.mell_ÖNKfeladatok2020'!A42&amp;" "&amp;'13.mell_ÖNKfeladatok2020'!D42&amp;"-"&amp;'13.mell_ÖNKfeladatok2020'!F42</f>
        <v>35 Településfejlesztési projektek és támogatásuk (TOP 2.1.2.)-Településfejlesztési projektek és támogatásuk ( TOP-2.1.2-15-HE1-2016-00004 Heves Város Zöld szíve)</v>
      </c>
      <c r="I110" s="1121"/>
      <c r="J110" s="1121"/>
      <c r="K110" s="1121"/>
      <c r="L110" s="1121"/>
      <c r="M110" s="1121"/>
      <c r="N110" s="1118"/>
    </row>
    <row r="111" spans="1:14" hidden="1">
      <c r="A111" s="1118"/>
      <c r="B111" s="1118"/>
      <c r="C111" s="1121" t="str">
        <f>'1.mell._Össz_Mérleg2020'!A45&amp;" "&amp;'1.mell._Össz_Mérleg2020'!B45</f>
        <v>5.1. Működési célú garancia- és kezességvállalásból származó megtérülések államháztartáson kívülről (B61)</v>
      </c>
      <c r="D111" s="1121" t="str">
        <f>+'13.mell_ÖNKfeladatok2020'!A43&amp;" "&amp;'13.mell_ÖNKfeladatok2020'!D43&amp;"-"&amp;'13.mell_ÖNKfeladatok2020'!F43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111" s="1121"/>
      <c r="J111" s="1121"/>
      <c r="K111" s="1121"/>
      <c r="L111" s="1121"/>
      <c r="M111" s="1121"/>
      <c r="N111" s="1118"/>
    </row>
    <row r="112" spans="1:14" hidden="1">
      <c r="A112" s="1118"/>
      <c r="B112" s="1118"/>
      <c r="C112" s="1121" t="str">
        <f>'1.mell._Össz_Mérleg2020'!A46&amp;" "&amp;'1.mell._Össz_Mérleg2020'!B46</f>
        <v>5.2. Működési célú visszatérítendő támogatások, kölcsönök visszatérülése az Európai Uniótól (B62)</v>
      </c>
      <c r="D112" s="1121" t="str">
        <f>+'13.mell_ÖNKfeladatok2020'!A44&amp;" "&amp;'13.mell_ÖNKfeladatok2020'!D44&amp;"-"&amp;'13.mell_ÖNKfeladatok2020'!F44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112" s="1121"/>
      <c r="J112" s="1121"/>
      <c r="K112" s="1121"/>
      <c r="L112" s="1121"/>
      <c r="M112" s="1121"/>
      <c r="N112" s="1118"/>
    </row>
    <row r="113" spans="1:14" hidden="1">
      <c r="A113" s="1118"/>
      <c r="B113" s="1118"/>
      <c r="C113" s="1121" t="str">
        <f>'1.mell._Össz_Mérleg2020'!A47&amp;" "&amp;'1.mell._Össz_Mérleg2020'!B47</f>
        <v>5.3. Működési célú visszatérítendő támogatások, kölcsönök visszatérülése kormányoktól és más nemzetközi szervezetektől (B63)</v>
      </c>
      <c r="D113" s="1121" t="str">
        <f>+'13.mell_ÖNKfeladatok2020'!A45&amp;" "&amp;'13.mell_ÖNKfeladatok2020'!D45&amp;"-"&amp;'13.mell_ÖNKfeladatok2020'!F45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113" s="1121"/>
      <c r="J113" s="1121"/>
      <c r="K113" s="1121"/>
      <c r="L113" s="1121"/>
      <c r="M113" s="1121"/>
      <c r="N113" s="1118"/>
    </row>
    <row r="114" spans="1:14" hidden="1">
      <c r="A114" s="1118"/>
      <c r="B114" s="1118"/>
      <c r="C114" s="1121" t="str">
        <f>'1.mell._Össz_Mérleg2020'!A48&amp;" "&amp;'1.mell._Össz_Mérleg2020'!B48</f>
        <v>5.4. Működési célú visszatérítendő támogatások, kölcsönök visszatérülése államháztartáson kívülről (B64)</v>
      </c>
      <c r="D114" s="1121" t="str">
        <f>+'13.mell_ÖNKfeladatok2020'!A46&amp;" "&amp;'13.mell_ÖNKfeladatok2020'!D46&amp;"-"&amp;'13.mell_ÖNKfeladatok2020'!F46</f>
        <v>39 Család- és gyermekjóléti szolgáltatások  (TOP 4.2.1.)-Gyermekjóléti szolgáltatás (TOP-4.2.1-15-HE1-2016-00014 Dél-Hevesi Kistérség Gyermekjóléti Központja és Családsegítő Szolgálatának fejlesztése)</v>
      </c>
      <c r="I114" s="1121"/>
      <c r="J114" s="1121"/>
      <c r="K114" s="1121"/>
      <c r="L114" s="1121"/>
      <c r="M114" s="1121"/>
      <c r="N114" s="1118"/>
    </row>
    <row r="115" spans="1:14" hidden="1">
      <c r="A115" s="1118"/>
      <c r="B115" s="1118"/>
      <c r="C115" s="1121" t="str">
        <f>'1.mell._Össz_Mérleg2020'!A49&amp;" "&amp;'1.mell._Össz_Mérleg2020'!B49</f>
        <v>5.5. Egyéb működési célú átvett pénzeszközök (B65)</v>
      </c>
      <c r="D115" s="1121" t="str">
        <f>+'13.mell_ÖNKfeladatok2020'!A47&amp;" "&amp;'13.mell_ÖNKfeladatok2020'!D47&amp;"-"&amp;'13.mell_ÖNKfeladatok2020'!F47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115" s="1121"/>
      <c r="J115" s="1121"/>
      <c r="K115" s="1121"/>
      <c r="L115" s="1121"/>
      <c r="M115" s="1121"/>
      <c r="N115" s="1118"/>
    </row>
    <row r="116" spans="1:14" hidden="1">
      <c r="A116" s="1118"/>
      <c r="B116" s="1118"/>
      <c r="C116" s="1121" t="str">
        <f>'1.mell._Össz_Mérleg2020'!A50&amp;" "&amp;'1.mell._Össz_Mérleg2020'!B50</f>
        <v>6. II. Felhalmozási költségvetés bevételei [=7.+…+9.]</v>
      </c>
      <c r="D116" s="1121" t="str">
        <f>+'13.mell_ÖNKfeladatok2020'!A48&amp;" "&amp;'13.mell_ÖNKfeladatok2020'!D48&amp;"-"&amp;'13.mell_ÖNKfeladatok2020'!F48</f>
        <v>41 Háziorvosi alapellátás-Gyógyító-megelőző ellátások finanszírozása</v>
      </c>
      <c r="I116" s="1121"/>
      <c r="J116" s="1121"/>
      <c r="K116" s="1121"/>
      <c r="L116" s="1121"/>
      <c r="M116" s="1121"/>
      <c r="N116" s="1118"/>
    </row>
    <row r="117" spans="1:14" hidden="1">
      <c r="A117" s="1118"/>
      <c r="B117" s="1118"/>
      <c r="C117" s="1121" t="str">
        <f>'1.mell._Össz_Mérleg2020'!A51&amp;" "&amp;'1.mell._Össz_Mérleg2020'!B51</f>
        <v>7. II/1. Felhalmozási célú támogatások államháztartáson belülről (B2) [=7.1.+…+7.5.]</v>
      </c>
      <c r="D117" s="1121" t="str">
        <f>+'13.mell_ÖNKfeladatok2020'!A49&amp;" "&amp;'13.mell_ÖNKfeladatok2020'!D49&amp;"-"&amp;'13.mell_ÖNKfeladatok2020'!F49</f>
        <v>42 Háziorvosi ügyeleti ellátás-Háziorvosi ügyeleti ellátás</v>
      </c>
      <c r="I117" s="1121"/>
      <c r="J117" s="1121"/>
      <c r="K117" s="1121"/>
      <c r="L117" s="1121"/>
      <c r="M117" s="1121"/>
      <c r="N117" s="1118"/>
    </row>
    <row r="118" spans="1:14" hidden="1">
      <c r="A118" s="1118"/>
      <c r="B118" s="1118"/>
      <c r="C118" s="1121" t="str">
        <f>'1.mell._Össz_Mérleg2020'!A52&amp;" "&amp;'1.mell._Össz_Mérleg2020'!B52</f>
        <v>7.1. Felhalmozási célú önkormányzati támogatások (B21)</v>
      </c>
      <c r="D118" s="1121" t="str">
        <f>+'13.mell_ÖNKfeladatok2020'!A50&amp;" "&amp;'13.mell_ÖNKfeladatok2020'!D50&amp;"-"&amp;'13.mell_ÖNKfeladatok2020'!F50</f>
        <v>43 Járóbetegek gyógyító szakellátása-Járóbetegek gyógyító szakellátása</v>
      </c>
      <c r="I118" s="1121"/>
      <c r="J118" s="1121"/>
      <c r="K118" s="1121"/>
      <c r="L118" s="1121"/>
      <c r="M118" s="1121"/>
      <c r="N118" s="1118"/>
    </row>
    <row r="119" spans="1:14" hidden="1">
      <c r="A119" s="1118"/>
      <c r="B119" s="1118"/>
      <c r="C119" s="1121" t="str">
        <f>'1.mell._Össz_Mérleg2020'!A53&amp;" "&amp;'1.mell._Össz_Mérleg2020'!B53</f>
        <v>7.2. Felhalmozási célú garancia- és kezességvállalásból származó megtérülések államháztartáson belülről (B22)</v>
      </c>
      <c r="D119" s="1121" t="str">
        <f>+'13.mell_ÖNKfeladatok2020'!A51&amp;" "&amp;'13.mell_ÖNKfeladatok2020'!D51&amp;"-"&amp;'13.mell_ÖNKfeladatok2020'!F51</f>
        <v>44 Fogorvosi alapellátás-Fogorvosi alapellátás</v>
      </c>
      <c r="I119" s="1121"/>
      <c r="J119" s="1121"/>
      <c r="K119" s="1121"/>
      <c r="L119" s="1121"/>
      <c r="M119" s="1121"/>
      <c r="N119" s="1118"/>
    </row>
    <row r="120" spans="1:14" hidden="1">
      <c r="A120" s="1118"/>
      <c r="B120" s="1118"/>
      <c r="C120" s="1121" t="str">
        <f>'1.mell._Össz_Mérleg2020'!A54&amp;" "&amp;'1.mell._Össz_Mérleg2020'!B54</f>
        <v>7.3. Felhalmozási célú visszatérítendő támogatások, kölcsönök visszatérülése államháztartáson belülről (B23)</v>
      </c>
      <c r="D120" s="1121" t="str">
        <f>+'13.mell_ÖNKfeladatok2020'!A52&amp;" "&amp;'13.mell_ÖNKfeladatok2020'!D52&amp;"-"&amp;'13.mell_ÖNKfeladatok2020'!F52</f>
        <v>45 Család és nővédelmi egészségügyi gondozás-Család- és nővédelmi egészségügyi gondozás</v>
      </c>
      <c r="I120" s="1121"/>
      <c r="J120" s="1121"/>
      <c r="K120" s="1121"/>
      <c r="L120" s="1121"/>
      <c r="M120" s="1121"/>
      <c r="N120" s="1118"/>
    </row>
    <row r="121" spans="1:14" hidden="1">
      <c r="A121" s="1118"/>
      <c r="B121" s="1118"/>
      <c r="C121" s="1121" t="str">
        <f>'1.mell._Össz_Mérleg2020'!A55&amp;" "&amp;'1.mell._Össz_Mérleg2020'!B55</f>
        <v>7.4. Felhalmozási célú visszatérítendő támogatások, kölcsönök igénybevétele államháztartáson belülről (B24)</v>
      </c>
      <c r="D121" s="1121" t="str">
        <f>+'13.mell_ÖNKfeladatok2020'!A53&amp;" "&amp;'13.mell_ÖNKfeladatok2020'!D53&amp;"-"&amp;'13.mell_ÖNKfeladatok2020'!F53</f>
        <v>46 Ifjúság-egészségügyi gondozás-Ifjúság-egészségügyi gondozás</v>
      </c>
      <c r="I121" s="1121"/>
      <c r="J121" s="1121"/>
      <c r="K121" s="1121"/>
      <c r="L121" s="1121"/>
      <c r="M121" s="1121"/>
      <c r="N121" s="1118"/>
    </row>
    <row r="122" spans="1:14" hidden="1">
      <c r="A122" s="1118"/>
      <c r="B122" s="1118"/>
      <c r="C122" s="1121" t="str">
        <f>'1.mell._Össz_Mérleg2020'!A56&amp;" "&amp;'1.mell._Össz_Mérleg2020'!B56</f>
        <v>7.5. Egyéb felhalmozási célú támogatások bevételei államháztartáson belülről (B25)</v>
      </c>
      <c r="D122" s="1121" t="str">
        <f>+'13.mell_ÖNKfeladatok2020'!A54&amp;" "&amp;'13.mell_ÖNKfeladatok2020'!D54&amp;"-"&amp;'13.mell_ÖNKfeladatok2020'!F54</f>
        <v xml:space="preserve">47 Sportlétesítmények, edzőtáborok működtetése és fejlesztése-Sportlétesítmények működtetése és fejlesztése </v>
      </c>
      <c r="I122" s="1121"/>
      <c r="J122" s="1121"/>
      <c r="K122" s="1121"/>
      <c r="L122" s="1121"/>
      <c r="M122" s="1121"/>
      <c r="N122" s="1118"/>
    </row>
    <row r="123" spans="1:14" hidden="1">
      <c r="A123" s="1118"/>
      <c r="B123" s="1118"/>
      <c r="C123" s="1121" t="str">
        <f>'1.mell._Össz_Mérleg2020'!A57&amp;" "&amp;'1.mell._Össz_Mérleg2020'!B57</f>
        <v>7.5.a. - ebből: Felhalmozási célú  fejezeti kezelésű előirányzatok EU-s programok és azok hazai társfinanszírozása (B25)</v>
      </c>
      <c r="D123" s="1121" t="str">
        <f>+'13.mell_ÖNKfeladatok2020'!A55&amp;" "&amp;'13.mell_ÖNKfeladatok2020'!D55&amp;"-"&amp;'13.mell_ÖNKfeladatok2020'!F55</f>
        <v xml:space="preserve">48 Versenysport-és utánpótlás-nevelési tevékenység-Versenysport-tevékenység és támogatása </v>
      </c>
      <c r="I123" s="1121"/>
      <c r="J123" s="1121"/>
      <c r="K123" s="1121"/>
      <c r="L123" s="1121"/>
      <c r="M123" s="1121"/>
      <c r="N123" s="1118"/>
    </row>
    <row r="124" spans="1:14" hidden="1">
      <c r="A124" s="1118"/>
      <c r="B124" s="1118"/>
      <c r="C124" s="1121" t="str">
        <f>'1.mell._Össz_Mérleg2020'!A58&amp;" "&amp;'1.mell._Össz_Mérleg2020'!B58</f>
        <v>8. II/2. Felhalmozási bevételek (B5) [=8.1.+…+8.5.]</v>
      </c>
      <c r="D124" s="1121" t="str">
        <f>+'13.mell_ÖNKfeladatok2020'!A56&amp;" "&amp;'13.mell_ÖNKfeladatok2020'!D56&amp;"-"&amp;'13.mell_ÖNKfeladatok2020'!F56</f>
        <v>49 Iskolai, diáksport-tevékenység és támogatása-Iskolai, diáksport-tevékenység és támogatása</v>
      </c>
      <c r="I124" s="1121"/>
      <c r="J124" s="1121"/>
      <c r="K124" s="1121"/>
      <c r="L124" s="1121"/>
      <c r="M124" s="1121"/>
      <c r="N124" s="1118"/>
    </row>
    <row r="125" spans="1:14" hidden="1">
      <c r="A125" s="1118"/>
      <c r="B125" s="1118"/>
      <c r="C125" s="1121" t="str">
        <f>'1.mell._Össz_Mérleg2020'!A59&amp;" "&amp;'1.mell._Össz_Mérleg2020'!B59</f>
        <v>8.1. Immateriális javak értékesítése (B51)</v>
      </c>
      <c r="D125" s="1121" t="str">
        <f>+'13.mell_ÖNKfeladatok2020'!A57&amp;" "&amp;'13.mell_ÖNKfeladatok2020'!D57&amp;"-"&amp;'13.mell_ÖNKfeladatok2020'!F57</f>
        <v>50 Betegséggel kapcsolatos pénzbeli ellátások, támogatások-Települési támogatás (gyógyszerkiadási támogatás)</v>
      </c>
      <c r="I125" s="1121"/>
      <c r="J125" s="1121"/>
      <c r="K125" s="1121"/>
      <c r="L125" s="1121"/>
      <c r="M125" s="1121"/>
      <c r="N125" s="1118"/>
    </row>
    <row r="126" spans="1:14" hidden="1">
      <c r="A126" s="1118"/>
      <c r="B126" s="1118"/>
      <c r="C126" s="1121" t="str">
        <f>'1.mell._Össz_Mérleg2020'!A60&amp;" "&amp;'1.mell._Össz_Mérleg2020'!B60</f>
        <v>8.2. Ingatlanok értékesítése (B52)</v>
      </c>
      <c r="D126" s="1121" t="str">
        <f>+'13.mell_ÖNKfeladatok2020'!A58&amp;" "&amp;'13.mell_ÖNKfeladatok2020'!D58&amp;"-"&amp;'13.mell_ÖNKfeladatok2020'!F58</f>
        <v>51 Elhunyt személyek hátramaradottainak pénzbeli ellátása-Települési támogatás (temetési segély)</v>
      </c>
      <c r="I126" s="1121"/>
      <c r="J126" s="1121"/>
      <c r="K126" s="1121"/>
      <c r="L126" s="1121"/>
      <c r="M126" s="1121"/>
      <c r="N126" s="1118"/>
    </row>
    <row r="127" spans="1:14" hidden="1">
      <c r="A127" s="1118"/>
      <c r="B127" s="1118"/>
      <c r="C127" s="1121" t="str">
        <f>'1.mell._Össz_Mérleg2020'!A61&amp;" "&amp;'1.mell._Össz_Mérleg2020'!B61</f>
        <v>8.3. Egyéb tárgyi eszközök értékesítése (B53)</v>
      </c>
      <c r="D127" s="1121" t="str">
        <f>+'13.mell_ÖNKfeladatok2020'!A59&amp;" "&amp;'13.mell_ÖNKfeladatok2020'!D59&amp;"-"&amp;'13.mell_ÖNKfeladatok2020'!F59</f>
        <v>52 Intézményen kívüli gyermekétkeztetés-Intézményen kívüli gyermekétkeztetés</v>
      </c>
      <c r="I127" s="1121"/>
      <c r="J127" s="1121"/>
      <c r="K127" s="1121"/>
      <c r="L127" s="1121"/>
      <c r="M127" s="1121"/>
      <c r="N127" s="1118"/>
    </row>
    <row r="128" spans="1:14" hidden="1">
      <c r="A128" s="1118"/>
      <c r="B128" s="1118"/>
      <c r="C128" s="1121" t="str">
        <f>'1.mell._Össz_Mérleg2020'!A62&amp;" "&amp;'1.mell._Össz_Mérleg2020'!B62</f>
        <v>8.4. Részesedések értékesítése (B54)</v>
      </c>
      <c r="D128" s="1121" t="str">
        <f>+'13.mell_ÖNKfeladatok2020'!A60&amp;" "&amp;'13.mell_ÖNKfeladatok2020'!D60&amp;"-"&amp;'13.mell_ÖNKfeladatok2020'!F60</f>
        <v xml:space="preserve">53 Gyermekvédelmi pénzbeli és természetbeni ellátások-Rendszeres gyermekvédelmi pénzbeli ellátás </v>
      </c>
      <c r="I128" s="1121"/>
      <c r="J128" s="1121"/>
      <c r="K128" s="1121"/>
      <c r="L128" s="1121"/>
      <c r="M128" s="1121"/>
      <c r="N128" s="1118"/>
    </row>
    <row r="129" spans="1:14" hidden="1">
      <c r="A129" s="1118"/>
      <c r="B129" s="1118"/>
      <c r="C129" s="1121" t="str">
        <f>'1.mell._Össz_Mérleg2020'!A63&amp;" "&amp;'1.mell._Össz_Mérleg2020'!B63</f>
        <v>8.5. Részesedések megszűnéséhez kapcsolódó bevételek (B55)</v>
      </c>
      <c r="D129" s="1121" t="str">
        <f>+'13.mell_ÖNKfeladatok2020'!A61&amp;" "&amp;'13.mell_ÖNKfeladatok2020'!D61&amp;"-"&amp;'13.mell_ÖNKfeladatok2020'!F61</f>
        <v xml:space="preserve">54 Gyermekvédelmi pénzbeli és természetbeni ellátások-Kiegészítő gyermekvédelmi támogatás </v>
      </c>
      <c r="I129" s="1121"/>
      <c r="J129" s="1121"/>
      <c r="K129" s="1121"/>
      <c r="L129" s="1121"/>
      <c r="M129" s="1121"/>
      <c r="N129" s="1118"/>
    </row>
    <row r="130" spans="1:14" hidden="1">
      <c r="A130" s="1118"/>
      <c r="B130" s="1118"/>
      <c r="C130" s="1121" t="str">
        <f>'1.mell._Össz_Mérleg2020'!A64&amp;" "&amp;'1.mell._Össz_Mérleg2020'!B64</f>
        <v>9. II/3.Felhalmozási célú átvett pénzeszközök (B7) [9.1.+…+9.5.]</v>
      </c>
      <c r="D130" s="1121" t="str">
        <f>+'13.mell_ÖNKfeladatok2020'!A62&amp;" "&amp;'13.mell_ÖNKfeladatok2020'!D62&amp;"-"&amp;'13.mell_ÖNKfeladatok2020'!F62</f>
        <v>55 Gyermekvédelmi pénzbeli és természetbeni ellátások-Rendkívüli gyermekvédelmi támogatás</v>
      </c>
      <c r="I130" s="1121"/>
      <c r="J130" s="1121"/>
      <c r="K130" s="1121"/>
      <c r="L130" s="1121"/>
      <c r="M130" s="1121"/>
      <c r="N130" s="1118"/>
    </row>
    <row r="131" spans="1:14" hidden="1">
      <c r="A131" s="1118"/>
      <c r="B131" s="1118"/>
      <c r="C131" s="1121" t="str">
        <f>'1.mell._Össz_Mérleg2020'!A65&amp;" "&amp;'1.mell._Össz_Mérleg2020'!B65</f>
        <v>9.1. Felhalmozási célú garancia- és kezességvállalásból származó megtérülések államháztartáson kívülről (B71)</v>
      </c>
      <c r="D131" s="1121" t="str">
        <f>+'13.mell_ÖNKfeladatok2020'!A63&amp;" "&amp;'13.mell_ÖNKfeladatok2020'!D63&amp;"-"&amp;'13.mell_ÖNKfeladatok2020'!F63</f>
        <v>56 Településfejlesztési projektek és támogatásuk (TOP 5.2.1.)-Településfejlesztési projektek és támogatásuk (TOP-5.2.1-15-HE1-2016-00004 Komplex társadalmi együttműködési program Heves városában)</v>
      </c>
      <c r="I131" s="1121"/>
      <c r="J131" s="1121"/>
      <c r="K131" s="1121"/>
      <c r="L131" s="1121"/>
      <c r="M131" s="1121"/>
      <c r="N131" s="1118"/>
    </row>
    <row r="132" spans="1:14" hidden="1">
      <c r="A132" s="1118"/>
      <c r="B132" s="1118"/>
      <c r="C132" s="1121" t="str">
        <f>'1.mell._Össz_Mérleg2020'!A66&amp;" "&amp;'1.mell._Össz_Mérleg2020'!B66</f>
        <v>9.2. Felhalmozási célú visszatérítendő támogatások, kölcsönök visszatérülése az Európai Uniótól (B72)</v>
      </c>
      <c r="D132" s="1121" t="str">
        <f>+'13.mell_ÖNKfeladatok2020'!A64&amp;" "&amp;'13.mell_ÖNKfeladatok2020'!D64&amp;"-"&amp;'13.mell_ÖNKfeladatok2020'!F64</f>
        <v>57 A gyermekek, fiatalok és családok életminőségét javító programok-Hátrányos helyzetű kistérségek speciális komplex felzárkóztató programjai (TÁMOP Komplex)</v>
      </c>
      <c r="I132" s="1121"/>
      <c r="J132" s="1121"/>
      <c r="K132" s="1121"/>
      <c r="L132" s="1121"/>
      <c r="M132" s="1121"/>
      <c r="N132" s="1118"/>
    </row>
    <row r="133" spans="1:14" hidden="1">
      <c r="A133" s="1118"/>
      <c r="B133" s="1118"/>
      <c r="C133" s="1121" t="str">
        <f>'1.mell._Össz_Mérleg2020'!A67&amp;" "&amp;'1.mell._Össz_Mérleg2020'!B67</f>
        <v>9.3. Felhalmozási célú visszatérítendő támogatások, kölcsönök visszatérülése kormányoktól és más nemzetközi szervezetektől (B73)</v>
      </c>
      <c r="D133" s="1121" t="str">
        <f>+'13.mell_ÖNKfeladatok2020'!A65&amp;" "&amp;'13.mell_ÖNKfeladatok2020'!D65&amp;"-"&amp;'13.mell_ÖNKfeladatok2020'!F65</f>
        <v>58 Lakóingatlan szociális célú bérbeadása, üzemeltetése-Lakóingatlan szociális célú bérbeadása, üzemeltetése</v>
      </c>
      <c r="I133" s="1121"/>
      <c r="J133" s="1121"/>
      <c r="K133" s="1121"/>
      <c r="L133" s="1121"/>
      <c r="M133" s="1121"/>
      <c r="N133" s="1118"/>
    </row>
    <row r="134" spans="1:14" hidden="1">
      <c r="A134" s="1118"/>
      <c r="B134" s="1118"/>
      <c r="C134" s="1121" t="str">
        <f>'1.mell._Össz_Mérleg2020'!A68&amp;" "&amp;'1.mell._Össz_Mérleg2020'!B68</f>
        <v>9.4. Felhalmozási célú visszatérítendő támogatások, kölcsönök visszatérülése államháztartáson kívülről (B74)</v>
      </c>
      <c r="D134" s="1121" t="str">
        <f>+'13.mell_ÖNKfeladatok2020'!A66&amp;" "&amp;'13.mell_ÖNKfeladatok2020'!D66&amp;"-"&amp;'13.mell_ÖNKfeladatok2020'!F66</f>
        <v>59 Lakásfenntartással, lakhatással összefüggő ellátások-Települési támogatás (lakásfenntartási támogatás)</v>
      </c>
      <c r="I134" s="1121"/>
      <c r="J134" s="1121"/>
      <c r="K134" s="1121"/>
      <c r="L134" s="1121"/>
      <c r="M134" s="1121"/>
      <c r="N134" s="1118"/>
    </row>
    <row r="135" spans="1:14" hidden="1">
      <c r="A135" s="1118"/>
      <c r="B135" s="1118"/>
      <c r="C135" s="1121" t="str">
        <f>'1.mell._Össz_Mérleg2020'!A69&amp;" "&amp;'1.mell._Össz_Mérleg2020'!B69</f>
        <v>9.5. Egyéb felhalmozási célú átvett pénzeszközök (B75)</v>
      </c>
      <c r="D135" s="1121" t="str">
        <f>+'13.mell_ÖNKfeladatok2020'!A67&amp;" "&amp;'13.mell_ÖNKfeladatok2020'!D67&amp;"-"&amp;'13.mell_ÖNKfeladatok2020'!F67</f>
        <v>60 Egyéb szociális pénzbeli ellátások, támogatások-Települési támogatás (egyéb rendkívüli támogatás)</v>
      </c>
      <c r="I135" s="1121"/>
      <c r="J135" s="1121"/>
      <c r="K135" s="1121"/>
      <c r="L135" s="1121"/>
      <c r="M135" s="1121"/>
      <c r="N135" s="1118"/>
    </row>
    <row r="136" spans="1:14" hidden="1">
      <c r="A136" s="1118"/>
      <c r="B136" s="1118"/>
      <c r="C136" s="1121" t="str">
        <f>'1.mell._Össz_Mérleg2020'!A70&amp;" "&amp;'1.mell._Össz_Mérleg2020'!B70</f>
        <v>10. KÖLTSÉGVETÉSI BEVÉTELEK ÖSSZESEN [=1.+6.]</v>
      </c>
      <c r="D136" s="1121" t="str">
        <f>+'13.mell_ÖNKfeladatok2020'!A68&amp;" "&amp;'13.mell_ÖNKfeladatok2020'!D68&amp;"-"&amp;'13.mell_ÖNKfeladatok2020'!F68</f>
        <v>61 Egyéb szociális természetbeni és pénzbeli ellátások-Köztemetés</v>
      </c>
      <c r="I136" s="1121"/>
      <c r="J136" s="1121"/>
      <c r="K136" s="1121"/>
      <c r="L136" s="1121"/>
      <c r="M136" s="1121"/>
      <c r="N136" s="1118"/>
    </row>
    <row r="137" spans="1:14" hidden="1">
      <c r="A137" s="1118"/>
      <c r="B137" s="1118"/>
      <c r="C137" s="1121" t="str">
        <f>'1.mell._Össz_Mérleg2020'!A71&amp;" "&amp;'1.mell._Össz_Mérleg2020'!B71</f>
        <v>11. III. Működési finanszírozási bevételek (B81) [=12.]</v>
      </c>
      <c r="D137" s="1121" t="str">
        <f>+'13.mell_ÖNKfeladatok2020'!A69&amp;" "&amp;'13.mell_ÖNKfeladatok2020'!D69&amp;"-"&amp;'13.mell_ÖNKfeladatok2020'!F69</f>
        <v>62 Az önkormányzati vagyonnal való gazdálkodással kapcsolatos feladatok (TOP 1.1.1.)-Nem lakóingatlan bérbeadása, üzemeltetése (TOP-1.1.1-16HE1-2017-00002 Iparterület kialakítása Heves Városban)</v>
      </c>
      <c r="I137" s="1121"/>
      <c r="J137" s="1121"/>
      <c r="K137" s="1121"/>
      <c r="L137" s="1121"/>
      <c r="M137" s="1121"/>
      <c r="N137" s="1118"/>
    </row>
    <row r="138" spans="1:14" hidden="1">
      <c r="A138" s="1118"/>
      <c r="B138" s="1118"/>
      <c r="C138" s="1121" t="str">
        <f>'1.mell._Össz_Mérleg2020'!A72&amp;" "&amp;'1.mell._Össz_Mérleg2020'!B72</f>
        <v>12. III/1. Működési célú finanszírozási bevételek (B81) [=12.1.+…+12.4.]</v>
      </c>
      <c r="D138" s="1121" t="str">
        <f>+'13.mell_ÖNKfeladatok2020'!A70&amp;" "&amp;'13.mell_ÖNKfeladatok2020'!D70&amp;"-"&amp;'13.mell_ÖNKfeladatok2020'!F70</f>
        <v>63 Turizmusfejlesztési támogatások és tevékenységek (TOP 1.2.1.)-Turizmusfejlesztési támogatások és tevékenységek (TOP-1.2.1-16-HE1-2017-00010 Az első magyar sakkmúzeum fejlesztése Hevesen)</v>
      </c>
      <c r="I138" s="1121"/>
      <c r="J138" s="1121"/>
      <c r="K138" s="1121"/>
      <c r="L138" s="1121"/>
      <c r="M138" s="1121"/>
      <c r="N138" s="1118"/>
    </row>
    <row r="139" spans="1:14" hidden="1">
      <c r="A139" s="1118"/>
      <c r="B139" s="1118"/>
      <c r="C139" s="1121" t="str">
        <f>'1.mell._Össz_Mérleg2020'!A73&amp;" "&amp;'1.mell._Össz_Mérleg2020'!B73</f>
        <v>12.1. Belföldi finanszírozás bevételei (B81) [=12.1.1.+…+12.1.9.]</v>
      </c>
      <c r="D139" s="1121" t="str">
        <f>+'13.mell_ÖNKfeladatok2020'!A71&amp;" "&amp;'13.mell_ÖNKfeladatok2020'!D71&amp;"-"&amp;'13.mell_ÖNKfeladatok2020'!F71</f>
        <v>64 Településfejlesztési projektek és támogatásuk (TOP 4.3.1.)-Településfejlesztési projektek és támogatásuk ( TOP-4.3.1-15HE1-2016-00014 Leromlott területek rehabilitációja Heves városban)</v>
      </c>
      <c r="I139" s="1121"/>
      <c r="J139" s="1121"/>
      <c r="K139" s="1121"/>
      <c r="L139" s="1121"/>
      <c r="M139" s="1121"/>
      <c r="N139" s="1118"/>
    </row>
    <row r="140" spans="1:14" hidden="1">
      <c r="A140" s="1118"/>
      <c r="B140" s="1118"/>
      <c r="C140" s="1121" t="str">
        <f>'1.mell._Össz_Mérleg2020'!A74&amp;" "&amp;'1.mell._Össz_Mérleg2020'!B74</f>
        <v>12.1.1. Hitel-, kölcsönfelvétel pénzügyi vállalkozástól (B811)</v>
      </c>
      <c r="D140" s="1121" t="str">
        <f>+'13.mell_ÖNKfeladatok2020'!A72&amp;" "&amp;'13.mell_ÖNKfeladatok2020'!D72&amp;"-"&amp;'13.mell_ÖNKfeladatok2020'!F72</f>
        <v>65 Egészségügy igazgatása (EFOP 1.8.2.)-Egészségügy igazgatása (EFOP -1.8.2-17-2017-00006 Praxisközösség létrehozása a Hevesi járásban)</v>
      </c>
      <c r="I140" s="1121"/>
      <c r="J140" s="1121"/>
      <c r="K140" s="1121"/>
      <c r="L140" s="1121"/>
      <c r="M140" s="1121"/>
      <c r="N140" s="1118"/>
    </row>
    <row r="141" spans="1:14" hidden="1">
      <c r="A141" s="1118"/>
      <c r="B141" s="1118"/>
      <c r="C141" s="1121" t="str">
        <f>'1.mell._Össz_Mérleg2020'!A75&amp;" "&amp;'1.mell._Össz_Mérleg2020'!B75</f>
        <v>12.1.2. Belföldi értékpapírok bevételei (B812)</v>
      </c>
      <c r="D141" s="1121" t="str">
        <f>+'13.mell_ÖNKfeladatok2020'!A73&amp;" "&amp;'13.mell_ÖNKfeladatok2020'!D73&amp;"-"&amp;'13.mell_ÖNKfeladatok2020'!F73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141" s="1121"/>
      <c r="J141" s="1121"/>
      <c r="K141" s="1121"/>
      <c r="L141" s="1121"/>
      <c r="M141" s="1121"/>
      <c r="N141" s="1118"/>
    </row>
    <row r="142" spans="1:14" hidden="1">
      <c r="A142" s="1118"/>
      <c r="B142" s="1118"/>
      <c r="C142" s="1121" t="str">
        <f>'1.mell._Össz_Mérleg2020'!A76&amp;" "&amp;'1.mell._Össz_Mérleg2020'!B76</f>
        <v>12.1.3. Maradvány igénybevétele (belső finanszírozás) (B813)</v>
      </c>
      <c r="D142" s="1121" t="str">
        <f>+'13.mell_ÖNKfeladatok2020'!A74&amp;" "&amp;'13.mell_ÖNKfeladatok2020'!D74&amp;"-"&amp;'13.mell_ÖNKfeladatok2020'!F74</f>
        <v>67 Iskolarendszeren kívüli egyéb oktatás, képzés (EFOP 3.9.2.)-Iskolarendszeren kívüli egyéb oktatás, képzés (EFOP -3.9.2-16-2017-00024 Humán szolgáltatások fejlesztése a Hevesi járásban)</v>
      </c>
      <c r="I142" s="1121"/>
      <c r="J142" s="1121"/>
      <c r="K142" s="1121"/>
      <c r="L142" s="1121"/>
      <c r="M142" s="1121"/>
      <c r="N142" s="1118"/>
    </row>
    <row r="143" spans="1:14" hidden="1">
      <c r="A143" s="1118"/>
      <c r="B143" s="1118"/>
      <c r="C143" s="1121" t="str">
        <f>'1.mell._Össz_Mérleg2020'!A77&amp;" "&amp;'1.mell._Össz_Mérleg2020'!B77</f>
        <v>12.1.4. Államháztartáson belüli megelőlegezések (B814)</v>
      </c>
      <c r="D143" s="1121" t="str">
        <f>+'13.mell_ÖNKfeladatok2020'!A75&amp;" "&amp;'13.mell_ÖNKfeladatok2020'!D75&amp;"-"&amp;'13.mell_ÖNKfeladatok2020'!F75</f>
        <v>68 A gyermekek, fiatalok és családok életminőségét javító programok (EFOP 1.4.2.)-Hátrányos helyzetű kistérségek speciális komplex felzárkóztató programjai (EFOP-1.4.2-16-2016-00030)</v>
      </c>
      <c r="I143" s="1121"/>
      <c r="J143" s="1121"/>
      <c r="K143" s="1121"/>
      <c r="L143" s="1121"/>
      <c r="M143" s="1121"/>
      <c r="N143" s="1118"/>
    </row>
    <row r="144" spans="1:14" hidden="1">
      <c r="A144" s="1118"/>
      <c r="B144" s="1118"/>
      <c r="C144" s="1121" t="str">
        <f>'1.mell._Össz_Mérleg2020'!A78&amp;" "&amp;'1.mell._Össz_Mérleg2020'!B78</f>
        <v>12.1.5. Államháztartáson belüli megelőlegezések törlesztése (B815)</v>
      </c>
      <c r="D144" s="1121" t="str">
        <f>+'13.mell_ÖNKfeladatok2020'!A76&amp;" "&amp;'13.mell_ÖNKfeladatok2020'!D76&amp;"-"&amp;'13.mell_ÖNKfeladatok2020'!F76</f>
        <v>69 Turizmusfejlesztési támogatások és tevékenységek (TOP 1.2.1.)-Turizmusfejlesztési támogatások és tevékenységek (TOP-1.2.1-16-HE1-2017-00009 Ökoturisztikai fejlesztés Heves Városban)</v>
      </c>
      <c r="I144" s="1121"/>
      <c r="J144" s="1121"/>
      <c r="K144" s="1121"/>
      <c r="L144" s="1121"/>
      <c r="M144" s="1121"/>
      <c r="N144" s="1118"/>
    </row>
    <row r="145" spans="1:14" hidden="1">
      <c r="A145" s="1118"/>
      <c r="B145" s="1118"/>
      <c r="C145" s="1121" t="str">
        <f>'1.mell._Össz_Mérleg2020'!A79&amp;" "&amp;'1.mell._Össz_Mérleg2020'!B79</f>
        <v>12.1.6. Központi, irányító szervi támogatás (B816)</v>
      </c>
      <c r="D145" s="1121" t="str">
        <f>+'13.mell_ÖNKfeladatok2020'!A77&amp;" "&amp;'13.mell_ÖNKfeladatok2020'!D77&amp;"-"&amp;'13.mell_ÖNKfeladatok2020'!F77</f>
        <v>70 Piac üzemeltetése (TOP 1.1.3.)-Piac üzemeltetése (TOP-1.1.3-16-HE1-2017-00007 A helyi gazdaság fejlesztése Heves városban)</v>
      </c>
      <c r="I145" s="1121"/>
      <c r="J145" s="1121"/>
      <c r="K145" s="1121"/>
      <c r="L145" s="1121"/>
      <c r="M145" s="1121"/>
      <c r="N145" s="1118"/>
    </row>
    <row r="146" spans="1:14" hidden="1">
      <c r="A146" s="1118"/>
      <c r="B146" s="1118"/>
      <c r="C146" s="1121" t="str">
        <f>'1.mell._Össz_Mérleg2020'!A80&amp;" "&amp;'1.mell._Össz_Mérleg2020'!B80</f>
        <v>12.1.7. Betétek megszüntetése (belső finanszírozás) (B817)</v>
      </c>
      <c r="D146" s="1121" t="str">
        <f>+'13.mell_ÖNKfeladatok2020'!A78&amp;" "&amp;'13.mell_ÖNKfeladatok2020'!D78&amp;"-"&amp;'13.mell_ÖNKfeladatok2020'!F78</f>
        <v>71 Településfejlesztési projektek és támogatásuk (TOP 2.1.2.)-Településfejlesztési projektek és támogatásuk (TOP-2.1.2-16-HE1-2017-00001 A hevesi Vicán-tó és környezetének fejlesztése)</v>
      </c>
      <c r="I146" s="1121"/>
      <c r="J146" s="1121"/>
      <c r="K146" s="1121"/>
      <c r="L146" s="1121"/>
      <c r="M146" s="1121"/>
      <c r="N146" s="1118"/>
    </row>
    <row r="147" spans="1:14" hidden="1">
      <c r="A147" s="1118"/>
      <c r="B147" s="1118"/>
      <c r="C147" s="1121" t="str">
        <f>'1.mell._Össz_Mérleg2020'!A81&amp;" "&amp;'1.mell._Össz_Mérleg2020'!B81</f>
        <v>12.1.8. Központi költségvetés sajátos finanszírozási bevételei (B818)</v>
      </c>
      <c r="D147" s="1121" t="str">
        <f>+'13.mell_ÖNKfeladatok2020'!A79&amp;" "&amp;'13.mell_ÖNKfeladatok2020'!D79&amp;"-"&amp;'13.mell_ÖNKfeladatok2020'!F79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147" s="1121"/>
      <c r="J147" s="1121"/>
      <c r="K147" s="1121"/>
      <c r="L147" s="1121"/>
      <c r="M147" s="1121"/>
      <c r="N147" s="1118"/>
    </row>
    <row r="148" spans="1:14" hidden="1">
      <c r="A148" s="1118"/>
      <c r="B148" s="1118"/>
      <c r="C148" s="1121" t="str">
        <f>'1.mell._Össz_Mérleg2020'!A82&amp;" "&amp;'1.mell._Össz_Mérleg2020'!B82</f>
        <v>12.1.9. Tulajdonosi kölcsönök bevételei (B819)</v>
      </c>
      <c r="D148" s="1121" t="str">
        <f>+'13.mell_ÖNKfeladatok2020'!A80&amp;" "&amp;'13.mell_ÖNKfeladatok2020'!D80&amp;"-"&amp;'13.mell_ÖNKfeladatok2020'!F80</f>
        <v>73 Forgatási és befektetési célú finanszírozási műveletek-Finanszírozási műveletek</v>
      </c>
      <c r="I148" s="1121"/>
      <c r="J148" s="1121"/>
      <c r="K148" s="1121"/>
      <c r="L148" s="1121"/>
      <c r="M148" s="1121"/>
      <c r="N148" s="1118"/>
    </row>
    <row r="149" spans="1:14" hidden="1">
      <c r="A149" s="1118"/>
      <c r="B149" s="1118"/>
      <c r="C149" s="1121" t="str">
        <f>'1.mell._Össz_Mérleg2020'!A83&amp;" "&amp;'1.mell._Össz_Mérleg2020'!B83</f>
        <v>12.2. Külföldi finanszírozás bevételei (B82)</v>
      </c>
      <c r="D149" s="1121" t="str">
        <f>+'13.mell_ÖNKfeladatok2020'!A81&amp;" "&amp;'13.mell_ÖNKfeladatok2020'!C81&amp;"-"&amp;'13.mell_ÖNKfeladatok2020'!F81</f>
        <v>A Heves Város Önkormányzata kötelező feladatok-</v>
      </c>
      <c r="I149" s="1121"/>
      <c r="J149" s="1121"/>
      <c r="K149" s="1121"/>
      <c r="L149" s="1121"/>
      <c r="M149" s="1121"/>
      <c r="N149" s="1118"/>
    </row>
    <row r="150" spans="1:14" hidden="1">
      <c r="A150" s="1118"/>
      <c r="B150" s="1118"/>
      <c r="C150" s="1121" t="str">
        <f>'1.mell._Össz_Mérleg2020'!A84&amp;" "&amp;'1.mell._Össz_Mérleg2020'!B84</f>
        <v>12.3. Adóssághoz nem kapcsolódó származékos ügyletek bevételei (B83)</v>
      </c>
      <c r="D150" s="1121" t="str">
        <f>+'13.mell_ÖNKfeladatok2020'!A82&amp;" "&amp;'13.mell_ÖNKfeladatok2020'!D82&amp;"-"&amp;'13.mell_ÖNKfeladatok2020'!F82</f>
        <v>74 Intézményen kívüli gyermekétkeztetés-Intézményen kívüli gyermekétkeztetés (RGYK)</v>
      </c>
      <c r="I150" s="1121"/>
      <c r="J150" s="1121"/>
      <c r="K150" s="1121"/>
      <c r="L150" s="1121"/>
      <c r="M150" s="1121"/>
      <c r="N150" s="1118"/>
    </row>
    <row r="151" spans="1:14" hidden="1">
      <c r="A151" s="1118"/>
      <c r="B151" s="1118"/>
      <c r="C151" s="1121" t="str">
        <f>'1.mell._Össz_Mérleg2020'!A85&amp;" "&amp;'1.mell._Össz_Mérleg2020'!B85</f>
        <v>12.4. Váltóbevételek (B84)</v>
      </c>
      <c r="D151" s="1121" t="str">
        <f>+'13.mell_ÖNKfeladatok2020'!A83&amp;" "&amp;'13.mell_ÖNKfeladatok2020'!D83&amp;"-"&amp;'13.mell_ÖNKfeladatok2020'!F83</f>
        <v xml:space="preserve">75 Lakáshoz jutást segítő támogatások-Önkormányzatok által nyújtott lakástámogatás </v>
      </c>
      <c r="I151" s="1121"/>
      <c r="J151" s="1121"/>
      <c r="K151" s="1121"/>
      <c r="L151" s="1121"/>
      <c r="M151" s="1121"/>
      <c r="N151" s="1118"/>
    </row>
    <row r="152" spans="1:14" hidden="1">
      <c r="A152" s="1118"/>
      <c r="B152" s="1118"/>
      <c r="C152" s="1121" t="str">
        <f>'1.mell._Össz_Mérleg2020'!A86&amp;" "&amp;'1.mell._Össz_Mérleg2020'!B86</f>
        <v>13. IV. Felhalmozási finanszírozási bevételek (B81) [=14.]</v>
      </c>
      <c r="D152" s="1121" t="str">
        <f>+'13.mell_ÖNKfeladatok2020'!A84&amp;" "&amp;'13.mell_ÖNKfeladatok2020'!D84&amp;"-"&amp;'13.mell_ÖNKfeladatok2020'!F84</f>
        <v xml:space="preserve">76 Szabadidős park, fürdő és strandszolgáltatás-Szabadidős park, fürdő és strandszolgáltatás </v>
      </c>
      <c r="I152" s="1121"/>
      <c r="J152" s="1121"/>
      <c r="K152" s="1121"/>
      <c r="L152" s="1121"/>
      <c r="M152" s="1121"/>
      <c r="N152" s="1118"/>
    </row>
    <row r="153" spans="1:14" hidden="1">
      <c r="A153" s="1118"/>
      <c r="B153" s="1118"/>
      <c r="C153" s="1121" t="str">
        <f>'1.mell._Össz_Mérleg2020'!A87&amp;" "&amp;'1.mell._Össz_Mérleg2020'!B87</f>
        <v>14. IV/1. Felhalmozási célú finanszírozási bevételek (B81) [=14.1.+…+14.4.]</v>
      </c>
      <c r="D153" s="1121" t="str">
        <f>+'13.mell_ÖNKfeladatok2020'!A85&amp;" "&amp;'13.mell_ÖNKfeladatok2020'!D85&amp;"-"&amp;'13.mell_ÖNKfeladatok2020'!F85</f>
        <v xml:space="preserve">77 Civil szervezetek programtámogatása-Civil szervezetek program- és egyéb támogatása </v>
      </c>
      <c r="I153" s="1121"/>
      <c r="J153" s="1121"/>
      <c r="K153" s="1121"/>
      <c r="L153" s="1121"/>
      <c r="M153" s="1121"/>
      <c r="N153" s="1118"/>
    </row>
    <row r="154" spans="1:14" hidden="1">
      <c r="A154" s="1118"/>
      <c r="B154" s="1118"/>
      <c r="C154" s="1121" t="str">
        <f>'1.mell._Össz_Mérleg2020'!A88&amp;" "&amp;'1.mell._Össz_Mérleg2020'!B88</f>
        <v>14.1. Belföldi finanszírozás bevételei (B811) [=14.1.1.+…+14.1.9.]</v>
      </c>
      <c r="D154" s="1121" t="str">
        <f>+'13.mell_ÖNKfeladatok2020'!A86&amp;" "&amp;'13.mell_ÖNKfeladatok2020'!D86&amp;"-"&amp;'13.mell_ÖNKfeladatok2020'!F86</f>
        <v xml:space="preserve">78 Nemzetközi kulturális együttműködés-Önkormányzatok m.n.s. nemzetközi kapcsolatai </v>
      </c>
      <c r="I154" s="1121"/>
      <c r="J154" s="1121"/>
      <c r="K154" s="1121"/>
      <c r="L154" s="1121"/>
      <c r="M154" s="1121"/>
      <c r="N154" s="1118"/>
    </row>
    <row r="155" spans="1:14" hidden="1">
      <c r="A155" s="1118"/>
      <c r="B155" s="1118"/>
      <c r="C155" s="1121" t="str">
        <f>'1.mell._Össz_Mérleg2020'!A89&amp;" "&amp;'1.mell._Össz_Mérleg2020'!B89</f>
        <v>14.1.1. Hitel-, kölcsönfelvétel pénzügyi vállalkozástól (B811)</v>
      </c>
      <c r="D155" s="1121" t="str">
        <f>+'13.mell_ÖNKfeladatok2020'!A87&amp;" "&amp;'13.mell_ÖNKfeladatok2020'!D87&amp;"-"&amp;'13.mell_ÖNKfeladatok2020'!F87</f>
        <v>79 Hallgatói és oktatói ösztöndíjak, egyéb juttatások-Szociális ösztöndíjak</v>
      </c>
      <c r="I155" s="1121"/>
      <c r="J155" s="1121"/>
      <c r="K155" s="1121"/>
      <c r="L155" s="1121"/>
      <c r="M155" s="1121"/>
      <c r="N155" s="1118"/>
    </row>
    <row r="156" spans="1:14" hidden="1">
      <c r="A156" s="1118"/>
      <c r="B156" s="1118"/>
      <c r="C156" s="1121" t="str">
        <f>'1.mell._Össz_Mérleg2020'!A90&amp;" "&amp;'1.mell._Össz_Mérleg2020'!B90</f>
        <v>14.1.2. Belföldi értékpapírok bevételei (B812)</v>
      </c>
      <c r="D156" s="1121" t="str">
        <f>+'13.mell_ÖNKfeladatok2020'!A88&amp;" "&amp;'13.mell_ÖNKfeladatok2020'!C88&amp;"-"&amp;'13.mell_ÖNKfeladatok2020'!F88</f>
        <v>B Heves Város Önkormányzata önként vállalt feladatok-</v>
      </c>
      <c r="I156" s="1121"/>
      <c r="J156" s="1121"/>
      <c r="K156" s="1121"/>
      <c r="L156" s="1121"/>
      <c r="M156" s="1121"/>
      <c r="N156" s="1118"/>
    </row>
    <row r="157" spans="1:14" hidden="1">
      <c r="A157" s="1118"/>
      <c r="B157" s="1118"/>
      <c r="C157" s="1121" t="str">
        <f>'1.mell._Össz_Mérleg2020'!A91&amp;" "&amp;'1.mell._Össz_Mérleg2020'!B91</f>
        <v>14.1.3. Maradvány igénybevétele (belső finanszírozás) (B813)</v>
      </c>
      <c r="D157" s="1121" t="str">
        <f>+'13.mell_ÖNKfeladatok2020'!A89&amp;" "&amp;'13.mell_ÖNKfeladatok2020'!D89&amp;"-"&amp;'13.mell_ÖNKfeladatok2020'!F89</f>
        <v>80 ---</v>
      </c>
      <c r="I157" s="1121"/>
      <c r="J157" s="1121"/>
      <c r="K157" s="1121"/>
      <c r="L157" s="1121"/>
      <c r="M157" s="1121"/>
      <c r="N157" s="1118"/>
    </row>
    <row r="158" spans="1:14" hidden="1">
      <c r="A158" s="1118"/>
      <c r="B158" s="1118"/>
      <c r="C158" s="1121" t="str">
        <f>'1.mell._Össz_Mérleg2020'!A92&amp;" "&amp;'1.mell._Össz_Mérleg2020'!B92</f>
        <v>14.1.4. Államháztartáson belüli megelőlegezések (B814)</v>
      </c>
      <c r="D158" s="1121" t="str">
        <f>+'13.mell_ÖNKfeladatok2020'!A90&amp;" "&amp;'13.mell_ÖNKfeladatok2020'!C90&amp;"-"&amp;'13.mell_ÖNKfeladatok2020'!F90</f>
        <v>C Heves Város Önkormányzata állami (államigazgatási) feladatok-</v>
      </c>
      <c r="I158" s="1121"/>
      <c r="J158" s="1121"/>
      <c r="K158" s="1121"/>
      <c r="L158" s="1121"/>
      <c r="M158" s="1121"/>
      <c r="N158" s="1118"/>
    </row>
    <row r="159" spans="1:14" hidden="1">
      <c r="A159" s="1118"/>
      <c r="B159" s="1118"/>
      <c r="C159" s="1121" t="str">
        <f>'1.mell._Össz_Mérleg2020'!A93&amp;" "&amp;'1.mell._Össz_Mérleg2020'!B93</f>
        <v>14.1.5. Államháztartáson belüli megelőlegezések törlesztése (B815)</v>
      </c>
      <c r="D159" s="1121" t="str">
        <f>+'13.mell_ÖNKfeladatok2020'!A91&amp;" "&amp;'13.mell_ÖNKfeladatok2020'!C91&amp;"-"&amp;'13.mell_ÖNKfeladatok2020'!F91</f>
        <v>I. Heves Város Önkormányzata összesen-</v>
      </c>
      <c r="I159" s="1121"/>
      <c r="J159" s="1121"/>
      <c r="K159" s="1121"/>
      <c r="L159" s="1121"/>
      <c r="M159" s="1121"/>
      <c r="N159" s="1118"/>
    </row>
    <row r="160" spans="1:14" hidden="1">
      <c r="A160" s="1118"/>
      <c r="B160" s="1118"/>
      <c r="C160" s="1121" t="str">
        <f>'1.mell._Össz_Mérleg2020'!A94&amp;" "&amp;'1.mell._Össz_Mérleg2020'!B94</f>
        <v>14.1.6. Központi, irányító szervi támogatás (B816)</v>
      </c>
      <c r="D160" s="1121" t="str">
        <f>+'13.mell_ÖNKfeladatok2020'!A92&amp;" "&amp;'13.mell_ÖNKfeladatok2020'!D92&amp;"-"&amp;'13.mell_ÖNKfeladatok2020'!F92</f>
        <v xml:space="preserve"> -</v>
      </c>
      <c r="I160" s="1121"/>
      <c r="J160" s="1121"/>
      <c r="K160" s="1121"/>
      <c r="L160" s="1121"/>
      <c r="M160" s="1121"/>
      <c r="N160" s="1118"/>
    </row>
    <row r="161" spans="1:14" hidden="1">
      <c r="A161" s="1118"/>
      <c r="B161" s="1118"/>
      <c r="C161" s="1121" t="str">
        <f>'1.mell._Össz_Mérleg2020'!A95&amp;" "&amp;'1.mell._Össz_Mérleg2020'!B95</f>
        <v>14.1.7. Betétek megszüntetése (belső finanszírozás) (B817)</v>
      </c>
      <c r="D161" s="1121" t="str">
        <f>+'13.mell_ÖNKfeladatok2020'!A93&amp;" "&amp;'13.mell_ÖNKfeladatok2020'!D93&amp;"-"&amp;'13.mell_ÖNKfeladatok2020'!F93</f>
        <v>81 Önkormányzatok és önkormányzati hivatalok jogalkotó és általános igazgatási tevékenysége-Önkormányzatok és társulások igazgatási tevékenysége</v>
      </c>
      <c r="I161" s="1121"/>
      <c r="J161" s="1121"/>
      <c r="K161" s="1121"/>
      <c r="L161" s="1121"/>
      <c r="M161" s="1121"/>
      <c r="N161" s="1118"/>
    </row>
    <row r="162" spans="1:14" hidden="1">
      <c r="A162" s="1118"/>
      <c r="B162" s="1118"/>
      <c r="C162" s="1121" t="str">
        <f>'1.mell._Össz_Mérleg2020'!A96&amp;" "&amp;'1.mell._Össz_Mérleg2020'!B96</f>
        <v>14.1.8. Központi költségvetés sajátos finanszírozási bevételei (B818)</v>
      </c>
      <c r="D162" s="1121" t="str">
        <f>+'13.mell_ÖNKfeladatok2020'!A94&amp;" "&amp;'13.mell_ÖNKfeladatok2020'!D94&amp;"-"&amp;'13.mell_ÖNKfeladatok2020'!F94</f>
        <v>82 A gyermekek, fiatalok és családok életminőségét javító programok (EFOP 1.2.9)-A gyermekek, fiatalok és családok életminőségét javító programok (EFOP-1.2.9-17 Nők a családban és a munkahelyen)</v>
      </c>
      <c r="I162" s="1121"/>
      <c r="J162" s="1121"/>
      <c r="K162" s="1121"/>
      <c r="L162" s="1121"/>
      <c r="M162" s="1121"/>
      <c r="N162" s="1118"/>
    </row>
    <row r="163" spans="1:14" hidden="1">
      <c r="A163" s="1118"/>
      <c r="B163" s="1118"/>
      <c r="C163" s="1121" t="str">
        <f>'1.mell._Össz_Mérleg2020'!A97&amp;" "&amp;'1.mell._Össz_Mérleg2020'!B97</f>
        <v>14.1.9. Tulajdonosi kölcsönök bevételei (B819)</v>
      </c>
      <c r="D163" s="1121" t="str">
        <f>+'13.mell_ÖNKfeladatok2020'!A95&amp;" "&amp;'13.mell_ÖNKfeladatok2020'!D95&amp;"-"&amp;'13.mell_ÖNKfeladatok2020'!F95</f>
        <v>83 Más szerv részére végzett pénzügyi-gazdálkodási, üzemeltetési, egyéb szolgáltatások-Építményüzemeltetés</v>
      </c>
      <c r="I163" s="1121"/>
      <c r="J163" s="1121"/>
      <c r="K163" s="1121"/>
      <c r="L163" s="1121"/>
      <c r="M163" s="1121"/>
      <c r="N163" s="1118"/>
    </row>
    <row r="164" spans="1:14" hidden="1">
      <c r="A164" s="1118"/>
      <c r="B164" s="1118"/>
      <c r="C164" s="1121" t="str">
        <f>'1.mell._Össz_Mérleg2020'!A98&amp;" "&amp;'1.mell._Össz_Mérleg2020'!B98</f>
        <v>14.2. Külföldi finanszírozás bevételei (B82)</v>
      </c>
      <c r="D164" s="1121" t="str">
        <f>+'13.mell_ÖNKfeladatok2020'!A96&amp;" "&amp;'13.mell_ÖNKfeladatok2020'!D96&amp;"-"&amp;'13.mell_ÖNKfeladatok2020'!F96</f>
        <v>84 Más szerv részére végzett pénzügyi-gazdálkodási, üzemeltetési, egyéb szolgáltatások-Építményüzemeltetés (intézmények)</v>
      </c>
      <c r="I164" s="1121"/>
      <c r="J164" s="1121"/>
      <c r="K164" s="1121"/>
      <c r="L164" s="1121"/>
      <c r="M164" s="1121"/>
      <c r="N164" s="1118"/>
    </row>
    <row r="165" spans="1:14" hidden="1">
      <c r="A165" s="1118"/>
      <c r="B165" s="1118"/>
      <c r="C165" s="1121" t="str">
        <f>'1.mell._Össz_Mérleg2020'!A99&amp;" "&amp;'1.mell._Össz_Mérleg2020'!B99</f>
        <v>14.3. Adóssághoz nem kapcsolódó származékos ügyletek bevételei (B83)</v>
      </c>
      <c r="D165" s="1121" t="str">
        <f>+'13.mell_ÖNKfeladatok2020'!A97&amp;" "&amp;'13.mell_ÖNKfeladatok2020'!D97&amp;"-"&amp;'13.mell_ÖNKfeladatok2020'!F97</f>
        <v>85 Támogatási célú finanszírozási műveletek-Önkormányzatok és társulások igazgatási tevékenysége</v>
      </c>
      <c r="I165" s="1121"/>
      <c r="J165" s="1121"/>
      <c r="K165" s="1121"/>
      <c r="L165" s="1121"/>
      <c r="M165" s="1121"/>
      <c r="N165" s="1118"/>
    </row>
    <row r="166" spans="1:14" hidden="1">
      <c r="A166" s="1118"/>
      <c r="B166" s="1118"/>
      <c r="C166" s="1121" t="str">
        <f>'1.mell._Össz_Mérleg2020'!A100&amp;" "&amp;'1.mell._Össz_Mérleg2020'!B100</f>
        <v>14.4. Váltóbevételek (B84)</v>
      </c>
      <c r="D166" s="1121" t="str">
        <f>+'13.mell_ÖNKfeladatok2020'!A98&amp;" "&amp;'13.mell_ÖNKfeladatok2020'!C98&amp;"-"&amp;'13.mell_ÖNKfeladatok2020'!F98</f>
        <v>D Hevesi Közös Önkormányzati Hivatal kötelező feladatok-</v>
      </c>
      <c r="I166" s="1121"/>
      <c r="J166" s="1121"/>
      <c r="K166" s="1121"/>
      <c r="L166" s="1121"/>
      <c r="M166" s="1121"/>
      <c r="N166" s="1118"/>
    </row>
    <row r="167" spans="1:14" hidden="1">
      <c r="A167" s="1118"/>
      <c r="B167" s="1118"/>
      <c r="C167" s="1121" t="str">
        <f>'1.mell._Össz_Mérleg2020'!A101&amp;" "&amp;'1.mell._Össz_Mérleg2020'!B101</f>
        <v>15. FINANSZÍROZÁSI BEVÉTELEK ÖSSZESEN (B8) [=11.+13.]</v>
      </c>
      <c r="D167" s="1121" t="str">
        <f>+'13.mell_ÖNKfeladatok2020'!A99&amp;" "&amp;'13.mell_ÖNKfeladatok2020'!D99&amp;"-"&amp;'13.mell_ÖNKfeladatok2020'!F99</f>
        <v>86 Önkormányzatok és önkormányzati hivatalok jogalkotó és általános igazgatási tevékenysége-Munkahelyi étkeztetés</v>
      </c>
      <c r="I167" s="1121"/>
      <c r="J167" s="1121"/>
      <c r="K167" s="1121"/>
      <c r="L167" s="1121"/>
      <c r="M167" s="1121"/>
    </row>
    <row r="168" spans="1:14" hidden="1">
      <c r="A168" s="1118"/>
      <c r="B168" s="1118"/>
      <c r="C168" s="1121" t="str">
        <f>'1.mell._Össz_Mérleg2020'!A102&amp;" "&amp;'1.mell._Össz_Mérleg2020'!B102</f>
        <v>16. BEVÉTELEK MINDÖSSZESEN [=10.+15.]</v>
      </c>
      <c r="D168" s="1121" t="str">
        <f>+'13.mell_ÖNKfeladatok2020'!A100&amp;" "&amp;'13.mell_ÖNKfeladatok2020'!D100&amp;"-"&amp;'13.mell_ÖNKfeladatok2020'!F100</f>
        <v xml:space="preserve">87 Közbiztonság, közrend igazgatása-Közterület rendjének fenntartása </v>
      </c>
      <c r="I168" s="1121"/>
      <c r="J168" s="1121"/>
      <c r="K168" s="1121"/>
      <c r="L168" s="1121"/>
      <c r="M168" s="1121"/>
    </row>
    <row r="169" spans="1:14" hidden="1">
      <c r="A169" s="1118"/>
      <c r="B169" s="1118"/>
      <c r="C169" s="1121" t="str">
        <f>'1.mell._Össz_Mérleg2020'!A103&amp;" "&amp;'1.mell._Össz_Mérleg2020'!B103</f>
        <v xml:space="preserve"> </v>
      </c>
      <c r="D169" s="1121" t="str">
        <f>+'13.mell_ÖNKfeladatok2020'!A101&amp;" "&amp;'13.mell_ÖNKfeladatok2020'!D101&amp;"-"&amp;'13.mell_ÖNKfeladatok2020'!F101</f>
        <v xml:space="preserve">88 Lakáshoz jutást segítő támogatások-Munkáltatók által nyújtott lakástámogatás </v>
      </c>
      <c r="I169" s="1121"/>
      <c r="J169" s="1121"/>
      <c r="K169" s="1121"/>
      <c r="L169" s="1121"/>
      <c r="M169" s="1121"/>
    </row>
    <row r="170" spans="1:14" hidden="1">
      <c r="A170" s="1118"/>
      <c r="B170" s="1118"/>
      <c r="C170" s="1121" t="str">
        <f>'1.mell._Össz_Mérleg2020'!A104&amp;" "&amp;'1.mell._Össz_Mérleg2020'!B104</f>
        <v xml:space="preserve"> </v>
      </c>
      <c r="D170" s="1121" t="str">
        <f>+'13.mell_ÖNKfeladatok2020'!A102&amp;" "&amp;'13.mell_ÖNKfeladatok2020'!C102&amp;"-"&amp;'13.mell_ÖNKfeladatok2020'!F102</f>
        <v>E Hevesi Közös Önkormányzati Hivatal önként vállalt feladatok-</v>
      </c>
      <c r="I170" s="1121"/>
      <c r="J170" s="1121"/>
      <c r="K170" s="1121"/>
      <c r="L170" s="1121"/>
      <c r="M170" s="1121"/>
    </row>
    <row r="171" spans="1:14" hidden="1">
      <c r="A171" s="1118"/>
      <c r="B171" s="1118"/>
      <c r="C171" s="1121" t="str">
        <f>'1.mell._Össz_Mérleg2020'!A105&amp;" "&amp;'1.mell._Össz_Mérleg2020'!B105</f>
        <v xml:space="preserve">KIADÁSOK </v>
      </c>
      <c r="D171" s="1121" t="str">
        <f>+'13.mell_ÖNKfeladatok2020'!A103&amp;" "&amp;'13.mell_ÖNKfeladatok2020'!D103&amp;"-"&amp;'13.mell_ÖNKfeladatok2020'!F103</f>
        <v>89 Országgyűlési, önkormányzati és európai parlamenti képviselőválasztásokhoz kapcsolódó tevékenységek-Országgyűlési képviselőválasztáshoz kapcsolódó tevékenységek</v>
      </c>
      <c r="I171" s="1121"/>
      <c r="J171" s="1121"/>
      <c r="K171" s="1121"/>
      <c r="L171" s="1121"/>
      <c r="M171" s="1121"/>
    </row>
    <row r="172" spans="1:14" hidden="1">
      <c r="A172" s="1118"/>
      <c r="B172" s="1118"/>
      <c r="C172" s="1121" t="str">
        <f>'1.mell._Össz_Mérleg2020'!A106&amp;" "&amp;'1.mell._Össz_Mérleg2020'!B106</f>
        <v xml:space="preserve">2. táblázat </v>
      </c>
      <c r="D172" s="1121" t="str">
        <f>+'13.mell_ÖNKfeladatok2020'!A104&amp;" "&amp;'13.mell_ÖNKfeladatok2020'!D104&amp;"-"&amp;'13.mell_ÖNKfeladatok2020'!F104</f>
        <v xml:space="preserve">90 Országgyűlési, önkormányzati és európai parlamenti képviselőválasztásokhoz kapcsolódó tevékenységek-Önkormányzati képviselőválasztáshoz kapcsolódó tevékenységek </v>
      </c>
      <c r="I172" s="1121"/>
      <c r="J172" s="1121"/>
      <c r="K172" s="1121"/>
      <c r="L172" s="1121"/>
      <c r="M172" s="1121"/>
    </row>
    <row r="173" spans="1:14" hidden="1">
      <c r="A173" s="1118"/>
      <c r="B173" s="1118"/>
      <c r="C173" s="1121" t="str">
        <f>'1.mell._Össz_Mérleg2020'!A107&amp;" "&amp;'1.mell._Össz_Mérleg2020'!B107</f>
        <v>Sor-szám Kiadási jogcím (rovatszám) [képlet]</v>
      </c>
      <c r="D173" s="1121" t="str">
        <f>+'13.mell_ÖNKfeladatok2020'!A105&amp;" "&amp;'13.mell_ÖNKfeladatok2020'!D105&amp;"-"&amp;'13.mell_ÖNKfeladatok2020'!F105</f>
        <v>91 Országgyűlési, önkormányzati és európai parlamenti képviselőválasztásokhoz kapcsolódó tevékenységek-Országos és helyi nemzetiségi önkormányzati választásokhoz kapcsolódó tevékenységek</v>
      </c>
      <c r="I173" s="1121"/>
      <c r="J173" s="1121"/>
      <c r="K173" s="1121"/>
      <c r="L173" s="1121"/>
      <c r="M173" s="1121"/>
    </row>
    <row r="174" spans="1:14" hidden="1">
      <c r="A174" s="1118"/>
      <c r="B174" s="1118"/>
      <c r="C174" s="1121" t="str">
        <f>'1.mell._Össz_Mérleg2020'!A108&amp;" "&amp;'1.mell._Össz_Mérleg2020'!B108</f>
        <v>a. b.</v>
      </c>
      <c r="D174" s="1121" t="str">
        <f>+'13.mell_ÖNKfeladatok2020'!A106&amp;" "&amp;'13.mell_ÖNKfeladatok2020'!D106&amp;"-"&amp;'13.mell_ÖNKfeladatok2020'!F106</f>
        <v xml:space="preserve">92 Országgyűlési, önkormányzati és európai parlamenti képviselőválasztásokhoz kapcsolódó tevékenységek-Európai parlamenti képviselőválasztáshoz kapcsolódó tevékenységek </v>
      </c>
      <c r="I174" s="1121"/>
      <c r="J174" s="1121"/>
      <c r="K174" s="1121"/>
      <c r="L174" s="1121"/>
      <c r="M174" s="1121"/>
    </row>
    <row r="175" spans="1:14" hidden="1">
      <c r="A175" s="1118"/>
      <c r="B175" s="1118"/>
      <c r="C175" s="1121" t="str">
        <f>'1.mell._Össz_Mérleg2020'!A109&amp;" "&amp;'1.mell._Össz_Mérleg2020'!B109</f>
        <v>1. I. Működési költségvetés kiadásai [=2.+...+6.]</v>
      </c>
      <c r="D175" s="1121" t="str">
        <f>+'13.mell_ÖNKfeladatok2020'!A107&amp;" "&amp;'13.mell_ÖNKfeladatok2020'!D107&amp;"-"&amp;'13.mell_ÖNKfeladatok2020'!F107</f>
        <v xml:space="preserve">93 Országos és helyi népszavazással kapcsolatos tevékenységek-Országos és helyi népszavazáshoz kapcsolódó tevékenységek </v>
      </c>
      <c r="I175" s="1121"/>
      <c r="J175" s="1121"/>
      <c r="K175" s="1121"/>
      <c r="L175" s="1121"/>
      <c r="M175" s="1121"/>
    </row>
    <row r="176" spans="1:14" hidden="1">
      <c r="A176" s="1118"/>
      <c r="B176" s="1118"/>
      <c r="C176" s="1121" t="str">
        <f>'1.mell._Össz_Mérleg2020'!A110&amp;" "&amp;'1.mell._Össz_Mérleg2020'!B110</f>
        <v>2. I/1. Személyi juttatások (K1) [=2.1.+2.2.]</v>
      </c>
      <c r="D176" s="1121" t="str">
        <f>+'13.mell_ÖNKfeladatok2020'!A108&amp;" "&amp;'13.mell_ÖNKfeladatok2020'!D108&amp;"-"&amp;'13.mell_ÖNKfeladatok2020'!F108</f>
        <v>94 Állampolgársági ügyek-Területi általános végrehajtó igazgatási tevékenység</v>
      </c>
      <c r="I176" s="1121"/>
      <c r="J176" s="1121"/>
      <c r="K176" s="1121"/>
      <c r="L176" s="1121"/>
      <c r="M176" s="1121"/>
    </row>
    <row r="177" spans="1:14" hidden="1">
      <c r="A177" s="1118"/>
      <c r="B177" s="1118"/>
      <c r="C177" s="1121" t="str">
        <f>'1.mell._Össz_Mérleg2020'!A111&amp;" "&amp;'1.mell._Össz_Mérleg2020'!B111</f>
        <v>2.a. - ebből: EU-s forrásból finanszírozott támogatással megvalósuló programok, projektek személyi juttatás kiadásai (K1)</v>
      </c>
      <c r="D177" s="1121" t="str">
        <f>+'13.mell_ÖNKfeladatok2020'!A109&amp;" "&amp;'13.mell_ÖNKfeladatok2020'!D109&amp;"-"&amp;'13.mell_ÖNKfeladatok2020'!F109</f>
        <v>95 Építésügy igazgatása-Területi általános végrehajtó igazgatási tevékenység</v>
      </c>
      <c r="I177" s="1121"/>
      <c r="J177" s="1121"/>
      <c r="K177" s="1121"/>
      <c r="L177" s="1121"/>
      <c r="M177" s="1121"/>
      <c r="N177" s="1121"/>
    </row>
    <row r="178" spans="1:14" hidden="1">
      <c r="A178" s="1118"/>
      <c r="B178" s="1118"/>
      <c r="C178" s="1121" t="str">
        <f>'1.mell._Össz_Mérleg2020'!A112&amp;" "&amp;'1.mell._Össz_Mérleg2020'!B112</f>
        <v>2.1. Foglalkoztatottak személyi juttatásai (K11)</v>
      </c>
      <c r="D178" s="1121" t="str">
        <f>+'13.mell_ÖNKfeladatok2020'!A110&amp;" "&amp;'13.mell_ÖNKfeladatok2020'!C110&amp;"-"&amp;'13.mell_ÖNKfeladatok2020'!F110</f>
        <v>F Hevesi Közös Önkormányzati Hivatal állami (államigazgatási) feladatok-</v>
      </c>
      <c r="I178" s="1121"/>
      <c r="J178" s="1121"/>
      <c r="K178" s="1121"/>
      <c r="L178" s="1121"/>
      <c r="M178" s="1121"/>
      <c r="N178" s="1121"/>
    </row>
    <row r="179" spans="1:14" hidden="1">
      <c r="A179" s="1118"/>
      <c r="B179" s="1118"/>
      <c r="C179" s="1121" t="str">
        <f>'1.mell._Össz_Mérleg2020'!A113&amp;" "&amp;'1.mell._Össz_Mérleg2020'!B113</f>
        <v>2.2. Külső személyi juttatások (K12)</v>
      </c>
      <c r="D179" s="1121" t="str">
        <f>+'13.mell_ÖNKfeladatok2020'!A111&amp;" "&amp;'13.mell_ÖNKfeladatok2020'!C111&amp;"-"&amp;'13.mell_ÖNKfeladatok2020'!F111</f>
        <v>II. Hevesi Közös Önkormányzati Hivatal összesen-</v>
      </c>
      <c r="I179" s="1121"/>
      <c r="J179" s="1121"/>
      <c r="K179" s="1121"/>
      <c r="L179" s="1121"/>
      <c r="M179" s="1121"/>
    </row>
    <row r="180" spans="1:14" hidden="1">
      <c r="A180" s="1118"/>
      <c r="B180" s="1118"/>
      <c r="C180" s="1121" t="str">
        <f>'1.mell._Össz_Mérleg2020'!A114&amp;" "&amp;'1.mell._Össz_Mérleg2020'!B114</f>
        <v>3. I/2. Munkaadókat terhelő járulékok és szociális hozzájárulási adó (K2)</v>
      </c>
      <c r="D180" s="1121" t="str">
        <f>+'13.mell_ÖNKfeladatok2020'!A112&amp;" "&amp;'13.mell_ÖNKfeladatok2020'!D112&amp;"-"&amp;'13.mell_ÖNKfeladatok2020'!F112</f>
        <v xml:space="preserve"> -</v>
      </c>
      <c r="I180" s="1121"/>
      <c r="J180" s="1121"/>
      <c r="K180" s="1121"/>
      <c r="L180" s="1121"/>
      <c r="M180" s="1121"/>
    </row>
    <row r="181" spans="1:14" hidden="1">
      <c r="A181" s="1118"/>
      <c r="B181" s="1118"/>
      <c r="C181" s="1121" t="str">
        <f>'1.mell._Össz_Mérleg2020'!A115&amp;" "&amp;'1.mell._Össz_Mérleg2020'!B115</f>
        <v>3.a. - ebből: EU-s forrásból finanszírozott támogatással megvalósuló programok, projektek járulék kiadásai (K2)</v>
      </c>
      <c r="D181" s="1121" t="str">
        <f>+'13.mell_ÖNKfeladatok2020'!A113&amp;" "&amp;'13.mell_ÖNKfeladatok2020'!D113&amp;"-"&amp;'13.mell_ÖNKfeladatok2020'!F113</f>
        <v>96 Óvodai nevelés, ellátás szakmai feladatai-Óvodai nevelés</v>
      </c>
      <c r="I181" s="1121"/>
      <c r="J181" s="1121"/>
      <c r="K181" s="1121"/>
      <c r="L181" s="1121"/>
      <c r="M181" s="1121"/>
    </row>
    <row r="182" spans="1:14" hidden="1">
      <c r="A182" s="1118"/>
      <c r="B182" s="1118"/>
      <c r="C182" s="1121" t="str">
        <f>'1.mell._Össz_Mérleg2020'!A116&amp;" "&amp;'1.mell._Össz_Mérleg2020'!B116</f>
        <v>4. I/3. Dologi kiadások (K3) [=4.1.+…+4.5.]</v>
      </c>
      <c r="D182" s="1121" t="str">
        <f>+'13.mell_ÖNKfeladatok2020'!A114&amp;" "&amp;'13.mell_ÖNKfeladatok2020'!D114&amp;"-"&amp;'13.mell_ÖNKfeladatok2020'!F114</f>
        <v>97 Gyermekétkeztetés köznevelési intézményben-Óvodai intézményi étkeztetés</v>
      </c>
      <c r="I182" s="1121"/>
      <c r="J182" s="1121"/>
      <c r="K182" s="1121"/>
      <c r="L182" s="1121"/>
      <c r="M182" s="1121"/>
    </row>
    <row r="183" spans="1:14" hidden="1">
      <c r="A183" s="1118"/>
      <c r="B183" s="1118"/>
      <c r="C183" s="1121" t="str">
        <f>'1.mell._Össz_Mérleg2020'!A117&amp;" "&amp;'1.mell._Össz_Mérleg2020'!B117</f>
        <v>4.a. - ebből: EU-s forrásból finanszírozott támogatással megvalósuló programok, projektek dologi kiadásai (K3)</v>
      </c>
      <c r="D183" s="1121" t="str">
        <f>+'13.mell_ÖNKfeladatok2020'!A115&amp;" "&amp;'13.mell_ÖNKfeladatok2020'!D115&amp;"-"&amp;'13.mell_ÖNKfeladatok2020'!F115</f>
        <v>98 Gyermekétkeztetés köznevelési intézményben-Iskolai intézményi étkeztetés</v>
      </c>
      <c r="I183" s="1121"/>
      <c r="J183" s="1121"/>
      <c r="K183" s="1121"/>
      <c r="L183" s="1121"/>
      <c r="M183" s="1121"/>
    </row>
    <row r="184" spans="1:14" hidden="1">
      <c r="A184" s="1118"/>
      <c r="B184" s="1118"/>
      <c r="C184" s="1121" t="str">
        <f>'1.mell._Össz_Mérleg2020'!A118&amp;" "&amp;'1.mell._Össz_Mérleg2020'!B118</f>
        <v>4.1. Készletbeszerzés (K31)</v>
      </c>
      <c r="D184" s="1121" t="str">
        <f>+'13.mell_ÖNKfeladatok2020'!A116&amp;" "&amp;'13.mell_ÖNKfeladatok2020'!D116&amp;"-"&amp;'13.mell_ÖNKfeladatok2020'!F116</f>
        <v>99 Gyermekek bölcsődében és mini bölcsődében történő ellátása-Bölcsődei ellátás</v>
      </c>
      <c r="I184" s="1121"/>
      <c r="J184" s="1121"/>
      <c r="K184" s="1121"/>
      <c r="L184" s="1121"/>
      <c r="M184" s="1121"/>
    </row>
    <row r="185" spans="1:14" hidden="1">
      <c r="A185" s="1118"/>
      <c r="B185" s="1118"/>
      <c r="C185" s="1121" t="str">
        <f>'1.mell._Össz_Mérleg2020'!A119&amp;" "&amp;'1.mell._Össz_Mérleg2020'!B119</f>
        <v>4.2. Kommunikációs szolgáltatások (K32)</v>
      </c>
      <c r="D185" s="1121" t="str">
        <f>+'13.mell_ÖNKfeladatok2020'!A117&amp;" "&amp;'13.mell_ÖNKfeladatok2020'!D117&amp;"-"&amp;'13.mell_ÖNKfeladatok2020'!F117</f>
        <v>100 Gyermekétkeztetés bölcsődében, fogyatékosok nappali intézményében-Gyermekétkeztetés bölcsődésben és fogyatékosok nappali intézményében</v>
      </c>
      <c r="I185" s="1121"/>
      <c r="J185" s="1121"/>
      <c r="K185" s="1121"/>
      <c r="L185" s="1121"/>
      <c r="M185" s="1121"/>
      <c r="N185" s="1121"/>
    </row>
    <row r="186" spans="1:14" hidden="1">
      <c r="A186" s="1118"/>
      <c r="B186" s="1118"/>
      <c r="C186" s="1121" t="str">
        <f>'1.mell._Össz_Mérleg2020'!A120&amp;" "&amp;'1.mell._Össz_Mérleg2020'!B120</f>
        <v>4.3. Szolgáltatási kiadások (K33)</v>
      </c>
      <c r="D186" s="1121" t="str">
        <f>+'13.mell_ÖNKfeladatok2020'!A118&amp;" "&amp;'13.mell_ÖNKfeladatok2020'!D118&amp;"-"&amp;'13.mell_ÖNKfeladatok2020'!F118</f>
        <v>101 Támogatási célú finanszírozási műveletek-Óvodai nevelés</v>
      </c>
      <c r="I186" s="1121"/>
      <c r="J186" s="1121"/>
      <c r="K186" s="1121"/>
      <c r="L186" s="1121"/>
      <c r="M186" s="1121"/>
      <c r="N186" s="1121"/>
    </row>
    <row r="187" spans="1:14" hidden="1">
      <c r="A187" s="1118"/>
      <c r="B187" s="1118"/>
      <c r="C187" s="1121" t="str">
        <f>'1.mell._Össz_Mérleg2020'!A121&amp;" "&amp;'1.mell._Össz_Mérleg2020'!B121</f>
        <v>4.4. Kiküldetések, reklám- és propagandakiadások (K34)</v>
      </c>
      <c r="D187" s="1121" t="str">
        <f>+'13.mell_ÖNKfeladatok2020'!A119&amp;" "&amp;'13.mell_ÖNKfeladatok2020'!C119&amp;"-"&amp;'13.mell_ÖNKfeladatok2020'!F119</f>
        <v>G Heves Városi Óvodák és Bölcsőde Köznevelési Intézmény kötelező feladatok-</v>
      </c>
      <c r="I187" s="1121"/>
      <c r="J187" s="1121"/>
      <c r="K187" s="1121"/>
      <c r="L187" s="1121"/>
      <c r="M187" s="1121"/>
      <c r="N187" s="1121"/>
    </row>
    <row r="188" spans="1:14" hidden="1">
      <c r="A188" s="1118"/>
      <c r="B188" s="1118"/>
      <c r="C188" s="1121" t="str">
        <f>'1.mell._Össz_Mérleg2020'!A122&amp;" "&amp;'1.mell._Össz_Mérleg2020'!B122</f>
        <v>4.5. Különféle befizetések és egyéb dologi kiadások (K35)</v>
      </c>
      <c r="D188" s="1121" t="str">
        <f>+'13.mell_ÖNKfeladatok2020'!A120&amp;" "&amp;'13.mell_ÖNKfeladatok2020'!D120&amp;"-"&amp;'13.mell_ÖNKfeladatok2020'!F120</f>
        <v>102 ---</v>
      </c>
      <c r="I188" s="1121"/>
      <c r="J188" s="1121"/>
      <c r="K188" s="1121"/>
      <c r="L188" s="1121"/>
      <c r="M188" s="1121"/>
      <c r="N188" s="1121"/>
    </row>
    <row r="189" spans="1:14" hidden="1">
      <c r="A189" s="1118"/>
      <c r="B189" s="1118"/>
      <c r="C189" s="1121" t="str">
        <f>'1.mell._Össz_Mérleg2020'!A123&amp;" "&amp;'1.mell._Össz_Mérleg2020'!B123</f>
        <v>5. I/4. Ellátottak pénzbeli juttatásai (K4) [=5.1.+…+5.8.]</v>
      </c>
      <c r="D189" s="1121" t="str">
        <f>+'13.mell_ÖNKfeladatok2020'!A121&amp;" "&amp;'13.mell_ÖNKfeladatok2020'!C121&amp;"-"&amp;'13.mell_ÖNKfeladatok2020'!F121</f>
        <v>H Heves Városi Óvodák és Bölcsőde Köznevelési Intézmény önként vállalt feladatok-</v>
      </c>
    </row>
    <row r="190" spans="1:14" hidden="1">
      <c r="A190" s="1118"/>
      <c r="B190" s="1118"/>
      <c r="C190" s="1121" t="str">
        <f>'1.mell._Össz_Mérleg2020'!A124&amp;" "&amp;'1.mell._Össz_Mérleg2020'!B124</f>
        <v>5.1. Társadalombiztosítási ellátások (K41)</v>
      </c>
      <c r="D190" s="1121" t="str">
        <f>+'13.mell_ÖNKfeladatok2020'!A122&amp;" "&amp;'13.mell_ÖNKfeladatok2020'!D122&amp;"-"&amp;'13.mell_ÖNKfeladatok2020'!F122</f>
        <v>103 ---</v>
      </c>
    </row>
    <row r="191" spans="1:14" hidden="1">
      <c r="A191" s="1118"/>
      <c r="B191" s="1118"/>
      <c r="C191" s="1121" t="str">
        <f>'1.mell._Össz_Mérleg2020'!A125&amp;" "&amp;'1.mell._Össz_Mérleg2020'!B125</f>
        <v>5.2. Családi támogatások (K42)</v>
      </c>
      <c r="D191" s="1121" t="str">
        <f>+'13.mell_ÖNKfeladatok2020'!A123&amp;" "&amp;'13.mell_ÖNKfeladatok2020'!C123&amp;"-"&amp;'13.mell_ÖNKfeladatok2020'!F123</f>
        <v>I Heves Városi Óvodák és Bölcsőde Köznevelési Intézmény állami (államigazgatási) feladatok-</v>
      </c>
      <c r="G191" s="1117"/>
      <c r="H191" s="1117"/>
    </row>
    <row r="192" spans="1:14" hidden="1">
      <c r="A192" s="1118"/>
      <c r="B192" s="1118"/>
      <c r="C192" s="1121" t="str">
        <f>'1.mell._Össz_Mérleg2020'!A126&amp;" "&amp;'1.mell._Össz_Mérleg2020'!B126</f>
        <v>5.3. Pénzbeli kárpótlások, kártérítések (K43)</v>
      </c>
      <c r="D192" s="1121" t="str">
        <f>+'13.mell_ÖNKfeladatok2020'!A124&amp;" "&amp;'13.mell_ÖNKfeladatok2020'!C124&amp;"-"&amp;'13.mell_ÖNKfeladatok2020'!F124</f>
        <v>III. Heves Városi Óvodák és Bölcsőde Köznevelési Intézmény összesen-</v>
      </c>
    </row>
    <row r="193" spans="1:14" hidden="1">
      <c r="A193" s="1118"/>
      <c r="B193" s="1118"/>
      <c r="C193" s="1121" t="str">
        <f>'1.mell._Össz_Mérleg2020'!A127&amp;" "&amp;'1.mell._Össz_Mérleg2020'!B127</f>
        <v>5.4. Betegséggel kapcsolatos (nem társadalombiztosítási) ellátások (K44)</v>
      </c>
      <c r="D193" s="1121" t="str">
        <f>+'13.mell_ÖNKfeladatok2020'!A125&amp;" "&amp;'13.mell_ÖNKfeladatok2020'!D125&amp;"-"&amp;'13.mell_ÖNKfeladatok2020'!F125</f>
        <v xml:space="preserve"> -</v>
      </c>
      <c r="E193" s="1117"/>
      <c r="F193" s="1117"/>
      <c r="G193" s="1117"/>
      <c r="H193" s="1117"/>
    </row>
    <row r="194" spans="1:14" hidden="1">
      <c r="A194" s="1118"/>
      <c r="B194" s="1118"/>
      <c r="C194" s="1121" t="str">
        <f>'1.mell._Össz_Mérleg2020'!A128&amp;" "&amp;'1.mell._Össz_Mérleg2020'!B128</f>
        <v>5.5. Foglalkoztatással, munkanélküliséggel kapcsolatos ellátások (K45)</v>
      </c>
      <c r="D194" s="1121" t="str">
        <f>+'13.mell_ÖNKfeladatok2020'!A126&amp;" "&amp;'13.mell_ÖNKfeladatok2020'!D126&amp;"-"&amp;'13.mell_ÖNKfeladatok2020'!F126</f>
        <v>104 Könyvtári állomány gyarapítása, nyilvántartása-Könyvtári állomány gyarapítása, nyilvántartása</v>
      </c>
      <c r="E194" s="1117"/>
      <c r="G194" s="1117"/>
      <c r="H194" s="1117"/>
    </row>
    <row r="195" spans="1:14" hidden="1">
      <c r="A195" s="1118"/>
      <c r="B195" s="1118"/>
      <c r="C195" s="1121" t="str">
        <f>'1.mell._Össz_Mérleg2020'!A129&amp;" "&amp;'1.mell._Össz_Mérleg2020'!B129</f>
        <v>5.6. Lakhatással kapcsolatos ellátások (K46)</v>
      </c>
      <c r="D195" s="1121" t="str">
        <f>+'13.mell_ÖNKfeladatok2020'!A127&amp;" "&amp;'13.mell_ÖNKfeladatok2020'!D127&amp;"-"&amp;'13.mell_ÖNKfeladatok2020'!F127</f>
        <v>105 Könyvtári szolgáltatások-Könyvtári szolgáltatások</v>
      </c>
      <c r="G195" s="1117"/>
      <c r="H195" s="1117"/>
      <c r="I195" s="1121"/>
      <c r="J195" s="1121"/>
      <c r="K195" s="1121"/>
      <c r="L195" s="1121"/>
      <c r="M195" s="1121"/>
      <c r="N195" s="1121"/>
    </row>
    <row r="196" spans="1:14" hidden="1">
      <c r="A196" s="1118"/>
      <c r="B196" s="1118"/>
      <c r="C196" s="1121" t="str">
        <f>'1.mell._Össz_Mérleg2020'!A130&amp;" "&amp;'1.mell._Össz_Mérleg2020'!B130</f>
        <v>5.7. Intézményi ellátottak pénzbeli juttatásai (K47)</v>
      </c>
      <c r="D196" s="1121" t="str">
        <f>+'13.mell_ÖNKfeladatok2020'!A128&amp;" "&amp;'13.mell_ÖNKfeladatok2020'!D128&amp;"-"&amp;'13.mell_ÖNKfeladatok2020'!F128</f>
        <v>106 Múzeumi gyűjteményi tevékenység-Múzeumi állandó kiállítási tevékenység</v>
      </c>
      <c r="I196" s="1121"/>
      <c r="J196" s="1121"/>
      <c r="K196" s="1121"/>
      <c r="L196" s="1121"/>
      <c r="M196" s="1121"/>
      <c r="N196" s="1121"/>
    </row>
    <row r="197" spans="1:14" hidden="1">
      <c r="A197" s="1118"/>
      <c r="B197" s="1118"/>
      <c r="C197" s="1121" t="str">
        <f>'1.mell._Össz_Mérleg2020'!A131&amp;" "&amp;'1.mell._Össz_Mérleg2020'!B131</f>
        <v>5.8. Egyéb nem intézményi ellátások (K48)</v>
      </c>
      <c r="D197" s="1121" t="str">
        <f>+'13.mell_ÖNKfeladatok2020'!A129&amp;" "&amp;'13.mell_ÖNKfeladatok2020'!D129&amp;"-"&amp;'13.mell_ÖNKfeladatok2020'!F129</f>
        <v>107 Közművelődés - közösségi és társadalmi részvétel fejlesztése-Közművelődési intézmények, közösségi színterek működtetése</v>
      </c>
      <c r="I197" s="1121"/>
      <c r="J197" s="1121"/>
      <c r="K197" s="1121"/>
      <c r="L197" s="1121"/>
      <c r="M197" s="1121"/>
      <c r="N197" s="1121"/>
    </row>
    <row r="198" spans="1:14" hidden="1">
      <c r="A198" s="1118"/>
      <c r="B198" s="1118"/>
      <c r="C198" s="1121" t="str">
        <f>'1.mell._Össz_Mérleg2020'!A132&amp;" "&amp;'1.mell._Össz_Mérleg2020'!B132</f>
        <v>6. I/5. Egyéb működési célú kiadások (K5) [=6.1.+…+6.13.]</v>
      </c>
      <c r="D198" s="1121" t="str">
        <f>+'13.mell_ÖNKfeladatok2020'!A130&amp;" "&amp;'13.mell_ÖNKfeladatok2020'!D130&amp;"-"&amp;'13.mell_ÖNKfeladatok2020'!F130</f>
        <v>108 Támogatási célú finanszírozási műveletek-Könyvtári szolgáltatások</v>
      </c>
      <c r="I198" s="1121"/>
      <c r="J198" s="1121"/>
      <c r="K198" s="1121"/>
      <c r="L198" s="1121"/>
      <c r="M198" s="1121"/>
      <c r="N198" s="1121"/>
    </row>
    <row r="199" spans="1:14" hidden="1">
      <c r="C199" s="1121" t="str">
        <f>'1.mell._Össz_Mérleg2020'!A133&amp;" "&amp;'1.mell._Össz_Mérleg2020'!B133</f>
        <v>6.1. Nemzetközi kötelezettségek (K501)</v>
      </c>
      <c r="D199" s="1121" t="str">
        <f>+'13.mell_ÖNKfeladatok2020'!A131&amp;" "&amp;'13.mell_ÖNKfeladatok2020'!C131&amp;"-"&amp;'13.mell_ÖNKfeladatok2020'!F131</f>
        <v>J Hevesi Kulturális Központ kötelező feladatok-</v>
      </c>
      <c r="I199" s="1121"/>
      <c r="J199" s="1121"/>
      <c r="K199" s="1121"/>
      <c r="L199" s="1121"/>
      <c r="M199" s="1121"/>
      <c r="N199" s="1121"/>
    </row>
    <row r="200" spans="1:14" hidden="1">
      <c r="C200" s="1121" t="str">
        <f>'1.mell._Össz_Mérleg2020'!A134&amp;" "&amp;'1.mell._Össz_Mérleg2020'!B134</f>
        <v>6.2. Elvonások és befizetések (K502)</v>
      </c>
      <c r="D200" s="1121" t="str">
        <f>+'13.mell_ÖNKfeladatok2020'!A132&amp;" "&amp;'13.mell_ÖNKfeladatok2020'!D132&amp;"-"&amp;'13.mell_ÖNKfeladatok2020'!F132</f>
        <v>109 ---</v>
      </c>
      <c r="I200" s="1121"/>
      <c r="J200" s="1121"/>
      <c r="K200" s="1121"/>
      <c r="L200" s="1121"/>
      <c r="M200" s="1121"/>
      <c r="N200" s="1121"/>
    </row>
    <row r="201" spans="1:14" hidden="1">
      <c r="C201" s="1121" t="str">
        <f>'1.mell._Össz_Mérleg2020'!A135&amp;" "&amp;'1.mell._Össz_Mérleg2020'!B135</f>
        <v>6.3. Működési célú garancia- és kezességvállalásból származó kifizetés államháztartáson belülre (K503)</v>
      </c>
      <c r="D201" s="1121" t="str">
        <f>+'13.mell_ÖNKfeladatok2020'!A133&amp;" "&amp;'13.mell_ÖNKfeladatok2020'!C133&amp;"-"&amp;'13.mell_ÖNKfeladatok2020'!F133</f>
        <v>K Hevesi Kulturális Központ önként vállalt feladatok-</v>
      </c>
      <c r="I201" s="1121"/>
      <c r="J201" s="1121"/>
      <c r="K201" s="1121"/>
      <c r="L201" s="1121"/>
      <c r="M201" s="1121"/>
      <c r="N201" s="1121"/>
    </row>
    <row r="202" spans="1:14" hidden="1">
      <c r="C202" s="1121" t="str">
        <f>'1.mell._Össz_Mérleg2020'!A136&amp;" "&amp;'1.mell._Össz_Mérleg2020'!B136</f>
        <v>6.4. Működési célú visszatérítendő támogatások, kölcsönök nyújtása államháztartáson belülre (K504)</v>
      </c>
      <c r="D202" s="1121" t="str">
        <f>+'13.mell_ÖNKfeladatok2020'!A134&amp;" "&amp;'13.mell_ÖNKfeladatok2020'!D134&amp;"-"&amp;'13.mell_ÖNKfeladatok2020'!F134</f>
        <v>110 ---</v>
      </c>
      <c r="I202" s="1121"/>
      <c r="J202" s="1121"/>
      <c r="K202" s="1121"/>
      <c r="L202" s="1121"/>
      <c r="M202" s="1121"/>
      <c r="N202" s="1121"/>
    </row>
    <row r="203" spans="1:14" hidden="1">
      <c r="C203" s="1121" t="str">
        <f>'1.mell._Össz_Mérleg2020'!A137&amp;" "&amp;'1.mell._Össz_Mérleg2020'!B137</f>
        <v>6.5. Működési célú visszatérítendő támogatások, kölcsönök törlesztése államháztartáson belülre (K505)</v>
      </c>
      <c r="D203" s="1121" t="str">
        <f>+'13.mell_ÖNKfeladatok2020'!A135&amp;" "&amp;'13.mell_ÖNKfeladatok2020'!C135&amp;"-"&amp;'13.mell_ÖNKfeladatok2020'!F135</f>
        <v>L Hevesi Kulturális Központ állami (államigazgatási) feladatok-</v>
      </c>
      <c r="I203" s="1121"/>
      <c r="J203" s="1121"/>
      <c r="K203" s="1121"/>
      <c r="L203" s="1121"/>
      <c r="M203" s="1121"/>
      <c r="N203" s="1121"/>
    </row>
    <row r="204" spans="1:14" hidden="1">
      <c r="C204" s="1121" t="str">
        <f>'1.mell._Össz_Mérleg2020'!A138&amp;" "&amp;'1.mell._Össz_Mérleg2020'!B138</f>
        <v>6.6. Egyéb működési célú támogatások államháztartáson belülre (K506)</v>
      </c>
      <c r="D204" s="1121" t="str">
        <f>+'13.mell_ÖNKfeladatok2020'!A136&amp;" "&amp;'13.mell_ÖNKfeladatok2020'!C136&amp;"-"&amp;'13.mell_ÖNKfeladatok2020'!F136</f>
        <v>IV. Hevesi Kulturális Központ összesen-</v>
      </c>
      <c r="I204" s="1121"/>
      <c r="J204" s="1121"/>
      <c r="K204" s="1121"/>
      <c r="L204" s="1121"/>
      <c r="M204" s="1121"/>
      <c r="N204" s="1121"/>
    </row>
    <row r="205" spans="1:14" hidden="1">
      <c r="C205" s="1121" t="str">
        <f>'1.mell._Össz_Mérleg2020'!A139&amp;" "&amp;'1.mell._Össz_Mérleg2020'!B139</f>
        <v>6.6.a. - ebből: Működési célú fejezeti kezelésű előirányzatok EU-s programok és azok hazai társfinanszírozása (K506)</v>
      </c>
      <c r="D205" s="1121" t="str">
        <f>+'13.mell_ÖNKfeladatok2020'!A137&amp;" "&amp;'13.mell_ÖNKfeladatok2020'!D137&amp;"-"&amp;'13.mell_ÖNKfeladatok2020'!F137</f>
        <v xml:space="preserve"> -</v>
      </c>
      <c r="I205" s="1121"/>
      <c r="J205" s="1121"/>
      <c r="K205" s="1121"/>
      <c r="L205" s="1121"/>
      <c r="M205" s="1121"/>
      <c r="N205" s="1121"/>
    </row>
    <row r="206" spans="1:14" hidden="1">
      <c r="A206" s="1164"/>
      <c r="C206" s="1121" t="str">
        <f>'1.mell._Össz_Mérleg2020'!A140&amp;" "&amp;'1.mell._Össz_Mérleg2020'!B140</f>
        <v>6.7. Működési célú garancia- és kezességvállalásból származó kifizetés államháztartáson kívülre (K507)</v>
      </c>
      <c r="D206" s="1121" t="str">
        <f>+'13.mell_ÖNKfeladatok2020'!A138&amp;" "&amp;'13.mell_ÖNKfeladatok2020'!D138&amp;"-"&amp;'13.mell_ÖNKfeladatok2020'!F138</f>
        <v>111 ---</v>
      </c>
      <c r="I206" s="1121"/>
      <c r="J206" s="1121"/>
      <c r="K206" s="1121"/>
      <c r="L206" s="1121"/>
      <c r="M206" s="1121"/>
      <c r="N206" s="1121"/>
    </row>
    <row r="207" spans="1:14" hidden="1">
      <c r="A207" s="1164"/>
      <c r="C207" s="1121" t="str">
        <f>'1.mell._Össz_Mérleg2020'!A141&amp;" "&amp;'1.mell._Össz_Mérleg2020'!B141</f>
        <v>6.8. Működési célú visszatérítendő támogatások, kölcsönök nyújtása államháztartáson kívülre (K508)</v>
      </c>
      <c r="D207" s="1121" t="str">
        <f>+'13.mell_ÖNKfeladatok2020'!A139&amp;" "&amp;'13.mell_ÖNKfeladatok2020'!C139&amp;"-"&amp;'13.mell_ÖNKfeladatok2020'!F139</f>
        <v>M Heves Városi Mezei Őrszolgálat kötelező feladatok-</v>
      </c>
      <c r="I207" s="1121"/>
      <c r="J207" s="1121"/>
      <c r="K207" s="1121"/>
      <c r="L207" s="1121"/>
      <c r="M207" s="1121"/>
      <c r="N207" s="1121"/>
    </row>
    <row r="208" spans="1:14" hidden="1">
      <c r="A208" s="1164"/>
      <c r="C208" s="1121" t="str">
        <f>'1.mell._Össz_Mérleg2020'!A142&amp;" "&amp;'1.mell._Össz_Mérleg2020'!B142</f>
        <v>6.9. Árkiegészítések, ártámogatások (K509)</v>
      </c>
      <c r="D208" s="1121" t="str">
        <f>+'13.mell_ÖNKfeladatok2020'!A140&amp;" "&amp;'13.mell_ÖNKfeladatok2020'!D140&amp;"-"&amp;'13.mell_ÖNKfeladatok2020'!F140</f>
        <v>112 Közterület rendjének fenntartása-Közterület rendjének fenntartása</v>
      </c>
      <c r="I208" s="1121"/>
      <c r="J208" s="1121"/>
      <c r="K208" s="1121"/>
      <c r="L208" s="1121"/>
      <c r="M208" s="1121"/>
      <c r="N208" s="1121"/>
    </row>
    <row r="209" spans="1:14" hidden="1">
      <c r="A209" s="1164"/>
      <c r="C209" s="1121" t="str">
        <f>'1.mell._Össz_Mérleg2020'!A143&amp;" "&amp;'1.mell._Össz_Mérleg2020'!B143</f>
        <v>6.10. Kamattámogatások (K510)</v>
      </c>
      <c r="D209" s="1121" t="str">
        <f>+'13.mell_ÖNKfeladatok2020'!A141&amp;" "&amp;'13.mell_ÖNKfeladatok2020'!D141&amp;"-"&amp;'13.mell_ÖNKfeladatok2020'!F141</f>
        <v>113 Támogatási célú finanszírozási műveletek-Közterület rendjének fenntartása</v>
      </c>
      <c r="I209" s="1121"/>
      <c r="J209" s="1121"/>
      <c r="K209" s="1121"/>
      <c r="L209" s="1121"/>
      <c r="M209" s="1121"/>
      <c r="N209" s="1121"/>
    </row>
    <row r="210" spans="1:14" hidden="1">
      <c r="A210" s="1164"/>
      <c r="C210" s="1121" t="str">
        <f>'1.mell._Össz_Mérleg2020'!A144&amp;" "&amp;'1.mell._Össz_Mérleg2020'!B144</f>
        <v>6.11. Működési célú támogatások az Európai Uniónak (K511)</v>
      </c>
      <c r="D210" s="1121" t="str">
        <f>+'13.mell_ÖNKfeladatok2020'!A142&amp;" "&amp;'13.mell_ÖNKfeladatok2020'!C142&amp;"-"&amp;'13.mell_ÖNKfeladatok2020'!F142</f>
        <v>N Heves Városi Mezei Őrszolgálat önként vállalt feladatok-</v>
      </c>
      <c r="I210" s="1121"/>
      <c r="J210" s="1121"/>
      <c r="K210" s="1121"/>
      <c r="L210" s="1121"/>
      <c r="M210" s="1121"/>
      <c r="N210" s="1121"/>
    </row>
    <row r="211" spans="1:14" hidden="1">
      <c r="A211" s="1164"/>
      <c r="C211" s="1121" t="str">
        <f>'1.mell._Össz_Mérleg2020'!A145&amp;" "&amp;'1.mell._Össz_Mérleg2020'!B145</f>
        <v>6.12. Egyéb működési célú támogatások államháztartáson kívülre (K512)</v>
      </c>
      <c r="D211" s="1121" t="str">
        <f>+'13.mell_ÖNKfeladatok2020'!A143&amp;" "&amp;'13.mell_ÖNKfeladatok2020'!D143&amp;"-"&amp;'13.mell_ÖNKfeladatok2020'!F143</f>
        <v>114 ---</v>
      </c>
      <c r="I211" s="1121"/>
      <c r="J211" s="1121"/>
      <c r="K211" s="1121"/>
      <c r="L211" s="1121"/>
      <c r="M211" s="1121"/>
      <c r="N211" s="1121"/>
    </row>
    <row r="212" spans="1:14" hidden="1">
      <c r="A212" s="1164"/>
      <c r="C212" s="1121" t="str">
        <f>'1.mell._Össz_Mérleg2020'!A146&amp;" "&amp;'1.mell._Össz_Mérleg2020'!B146</f>
        <v>6.13. Tartalékok (K513) [=6.13.1.+6.13.2.]</v>
      </c>
      <c r="D212" s="1121" t="str">
        <f>+'13.mell_ÖNKfeladatok2020'!A144&amp;" "&amp;'13.mell_ÖNKfeladatok2020'!C144&amp;"-"&amp;'13.mell_ÖNKfeladatok2020'!F144</f>
        <v>O Heves Városi Mezei Őrszolgálat állami (államigazgatási) feladatok-</v>
      </c>
      <c r="I212" s="1121"/>
      <c r="J212" s="1121"/>
      <c r="K212" s="1121"/>
      <c r="L212" s="1121"/>
      <c r="M212" s="1121"/>
      <c r="N212" s="1121"/>
    </row>
    <row r="213" spans="1:14" hidden="1">
      <c r="A213" s="1164"/>
      <c r="C213" s="1121" t="str">
        <f>'1.mell._Össz_Mérleg2020'!A147&amp;" "&amp;'1.mell._Össz_Mérleg2020'!B147</f>
        <v>6.13.1. Általános tartalék (K513)</v>
      </c>
      <c r="D213" s="1121" t="str">
        <f>+'13.mell_ÖNKfeladatok2020'!A145&amp;" "&amp;'13.mell_ÖNKfeladatok2020'!C145&amp;"-"&amp;'13.mell_ÖNKfeladatok2020'!F145</f>
        <v>V. Heves Városi Mezei Őrszolgálat összesen-</v>
      </c>
      <c r="I213" s="1121"/>
      <c r="J213" s="1121"/>
      <c r="K213" s="1121"/>
      <c r="L213" s="1121"/>
      <c r="M213" s="1121"/>
      <c r="N213" s="1121"/>
    </row>
    <row r="214" spans="1:14" hidden="1">
      <c r="A214" s="1164"/>
      <c r="C214" s="1121" t="str">
        <f>'1.mell._Össz_Mérleg2020'!A148&amp;" "&amp;'1.mell._Össz_Mérleg2020'!B148</f>
        <v>6.13.2. Céltartalék (K513)</v>
      </c>
      <c r="D214" s="1121" t="str">
        <f>+'13.mell_ÖNKfeladatok2020'!A146&amp;" "&amp;'13.mell_ÖNKfeladatok2020'!D146&amp;"-"&amp;'13.mell_ÖNKfeladatok2020'!F146</f>
        <v xml:space="preserve"> -</v>
      </c>
      <c r="I214" s="1121"/>
      <c r="J214" s="1121"/>
      <c r="K214" s="1121"/>
      <c r="L214" s="1121"/>
      <c r="M214" s="1121"/>
      <c r="N214" s="1121"/>
    </row>
    <row r="215" spans="1:14" hidden="1">
      <c r="A215" s="1164"/>
      <c r="C215" s="1121" t="str">
        <f>'1.mell._Össz_Mérleg2020'!A149&amp;" "&amp;'1.mell._Össz_Mérleg2020'!B149</f>
        <v>7. II. Felhalmozási költségvetés kiadásai [=8.+…+10.]</v>
      </c>
      <c r="D215" s="1121" t="str">
        <f>+'13.mell_ÖNKfeladatok2020'!A147&amp;" "&amp;'13.mell_ÖNKfeladatok2020'!D147&amp;"-"&amp;'13.mell_ÖNKfeladatok2020'!F147</f>
        <v>115 Család- és gyermekjóléti szolgáltatások-Gyermekjóléti szolgáltatás</v>
      </c>
      <c r="I215" s="1121"/>
      <c r="J215" s="1121"/>
      <c r="K215" s="1121"/>
      <c r="L215" s="1121"/>
      <c r="M215" s="1121"/>
      <c r="N215" s="1121"/>
    </row>
    <row r="216" spans="1:14" hidden="1">
      <c r="A216" s="1164"/>
      <c r="C216" s="1121" t="str">
        <f>'1.mell._Össz_Mérleg2020'!A150&amp;" "&amp;'1.mell._Össz_Mérleg2020'!B150</f>
        <v>8. II/1. Beruházások (K6) [=8.1.+…+8.7.]</v>
      </c>
      <c r="D216" s="1121" t="str">
        <f>+'13.mell_ÖNKfeladatok2020'!A148&amp;" "&amp;'13.mell_ÖNKfeladatok2020'!D148&amp;"-"&amp;'13.mell_ÖNKfeladatok2020'!F148</f>
        <v>116 Család- és gyermekjóléti szolgáltatások-Családsegítés</v>
      </c>
      <c r="I216" s="1121"/>
      <c r="J216" s="1121"/>
      <c r="K216" s="1121"/>
      <c r="L216" s="1121"/>
      <c r="M216" s="1121"/>
      <c r="N216" s="1121"/>
    </row>
    <row r="217" spans="1:14" hidden="1">
      <c r="A217" s="1164"/>
      <c r="C217" s="1121" t="str">
        <f>'1.mell._Össz_Mérleg2020'!A151&amp;" "&amp;'1.mell._Össz_Mérleg2020'!B151</f>
        <v>8.a. - ebből: EU-s forrásból finanszírozott támogatással megvalósuló programok, projektek beruházási kiadásai (K6)</v>
      </c>
      <c r="D217" s="1121" t="str">
        <f>+'13.mell_ÖNKfeladatok2020'!A149&amp;" "&amp;'13.mell_ÖNKfeladatok2020'!D149&amp;"-"&amp;'13.mell_ÖNKfeladatok2020'!F149</f>
        <v>117 Család és gyermekjóléti központ-Gyermekjóléti szolgáltatás</v>
      </c>
      <c r="I217" s="1121"/>
      <c r="J217" s="1121"/>
      <c r="K217" s="1121"/>
      <c r="L217" s="1121"/>
      <c r="M217" s="1121"/>
      <c r="N217" s="1121"/>
    </row>
    <row r="218" spans="1:14" hidden="1">
      <c r="A218" s="1164"/>
      <c r="C218" s="1121" t="str">
        <f>'1.mell._Össz_Mérleg2020'!A152&amp;" "&amp;'1.mell._Össz_Mérleg2020'!B152</f>
        <v>8.1. Immateriális javak beszerzése, létesítése (K61)</v>
      </c>
      <c r="D218" s="1121" t="str">
        <f>+'13.mell_ÖNKfeladatok2020'!A150&amp;" "&amp;'13.mell_ÖNKfeladatok2020'!D150&amp;"-"&amp;'13.mell_ÖNKfeladatok2020'!F150</f>
        <v>118 Család és gyermekjóléti központ-Családsegítés</v>
      </c>
      <c r="I218" s="1121"/>
      <c r="J218" s="1121"/>
      <c r="K218" s="1121"/>
      <c r="L218" s="1121"/>
      <c r="M218" s="1121"/>
      <c r="N218" s="1121"/>
    </row>
    <row r="219" spans="1:14" hidden="1">
      <c r="A219" s="1164"/>
      <c r="C219" s="1121" t="str">
        <f>'1.mell._Össz_Mérleg2020'!A153&amp;" "&amp;'1.mell._Össz_Mérleg2020'!B153</f>
        <v>8.2. Ingatlanok beszerzése, létesítése (K62)</v>
      </c>
      <c r="D219" s="1121" t="str">
        <f>+'13.mell_ÖNKfeladatok2020'!A151&amp;" "&amp;'13.mell_ÖNKfeladatok2020'!D151&amp;"-"&amp;'13.mell_ÖNKfeladatok2020'!F151</f>
        <v>119 Támogatási célú finanszírozási műveletek-Gyermekjóléti szolgáltatás</v>
      </c>
      <c r="I219" s="1121"/>
      <c r="J219" s="1121"/>
      <c r="K219" s="1121"/>
      <c r="L219" s="1121"/>
      <c r="M219" s="1121"/>
      <c r="N219" s="1121"/>
    </row>
    <row r="220" spans="1:14" hidden="1">
      <c r="A220" s="1164"/>
      <c r="C220" s="1121" t="str">
        <f>'1.mell._Össz_Mérleg2020'!A154&amp;" "&amp;'1.mell._Össz_Mérleg2020'!B154</f>
        <v>8.3. Informatikai eszközök beszerzése, létesítése (K63)</v>
      </c>
      <c r="D220" s="1121" t="str">
        <f>+'13.mell_ÖNKfeladatok2020'!A152&amp;" "&amp;'13.mell_ÖNKfeladatok2020'!C152&amp;"-"&amp;'13.mell_ÖNKfeladatok2020'!F152</f>
        <v>P Heves Város Gyermekjóléti Központja és Családsegítő Szolgálata kötelező feladatok-</v>
      </c>
      <c r="I220" s="1121"/>
      <c r="J220" s="1121"/>
      <c r="K220" s="1121"/>
      <c r="L220" s="1121"/>
      <c r="M220" s="1121"/>
      <c r="N220" s="1121"/>
    </row>
    <row r="221" spans="1:14" hidden="1">
      <c r="A221" s="1164"/>
      <c r="C221" s="1121" t="str">
        <f>'1.mell._Össz_Mérleg2020'!A155&amp;" "&amp;'1.mell._Össz_Mérleg2020'!B155</f>
        <v>8.4. Egyéb tárgyi eszközök beszerzése, létesítése (K64)</v>
      </c>
      <c r="D221" s="1121" t="str">
        <f>+'13.mell_ÖNKfeladatok2020'!A153&amp;" "&amp;'13.mell_ÖNKfeladatok2020'!D153&amp;"-"&amp;'13.mell_ÖNKfeladatok2020'!F153</f>
        <v>120 ---</v>
      </c>
      <c r="I221" s="1121"/>
      <c r="J221" s="1121"/>
      <c r="K221" s="1121"/>
      <c r="L221" s="1121"/>
      <c r="M221" s="1121"/>
      <c r="N221" s="1121"/>
    </row>
    <row r="222" spans="1:14" hidden="1">
      <c r="A222" s="1164"/>
      <c r="C222" s="1121" t="str">
        <f>'1.mell._Össz_Mérleg2020'!A156&amp;" "&amp;'1.mell._Össz_Mérleg2020'!B156</f>
        <v>8.5. Részesedések beszerzése (K65)</v>
      </c>
      <c r="D222" s="1121" t="str">
        <f>+'13.mell_ÖNKfeladatok2020'!A154&amp;" "&amp;'13.mell_ÖNKfeladatok2020'!C154&amp;"-"&amp;'13.mell_ÖNKfeladatok2020'!F154</f>
        <v>Q Heves Város Gyermekjóléti Központja és Családsegítő Szolgálata önként vállalt feladatok-</v>
      </c>
      <c r="I222" s="1121"/>
      <c r="J222" s="1121"/>
      <c r="K222" s="1121"/>
      <c r="L222" s="1121"/>
      <c r="M222" s="1121"/>
      <c r="N222" s="1121"/>
    </row>
    <row r="223" spans="1:14" hidden="1">
      <c r="A223" s="1164"/>
      <c r="C223" s="1121" t="str">
        <f>'1.mell._Össz_Mérleg2020'!A157&amp;" "&amp;'1.mell._Össz_Mérleg2020'!B157</f>
        <v>8.6. Meglévő részesedések növeléséhez kapcsolódó kiadások (K66)</v>
      </c>
      <c r="D223" s="1121" t="str">
        <f>+'13.mell_ÖNKfeladatok2020'!A155&amp;" "&amp;'13.mell_ÖNKfeladatok2020'!D155&amp;"-"&amp;'13.mell_ÖNKfeladatok2020'!F155</f>
        <v>121 ---</v>
      </c>
      <c r="I223" s="1121"/>
      <c r="J223" s="1121"/>
      <c r="K223" s="1121"/>
      <c r="L223" s="1121"/>
      <c r="M223" s="1121"/>
      <c r="N223" s="1121"/>
    </row>
    <row r="224" spans="1:14" hidden="1">
      <c r="A224" s="1164"/>
      <c r="C224" s="1121" t="str">
        <f>'1.mell._Össz_Mérleg2020'!A158&amp;" "&amp;'1.mell._Össz_Mérleg2020'!B158</f>
        <v>8.7. Beruházási célú előzetesen felszámított általános forgalmi adó (K67)</v>
      </c>
      <c r="D224" s="1121" t="str">
        <f>+'13.mell_ÖNKfeladatok2020'!A156&amp;" "&amp;'13.mell_ÖNKfeladatok2020'!C156&amp;"-"&amp;'13.mell_ÖNKfeladatok2020'!F156</f>
        <v>R Heves Város Gyermekjóléti Központja és Családsegítő Szolgálata állami (államigazgatási) feladatok-</v>
      </c>
      <c r="I224" s="1121"/>
      <c r="J224" s="1121"/>
      <c r="K224" s="1121"/>
      <c r="L224" s="1121"/>
      <c r="M224" s="1121"/>
      <c r="N224" s="1121"/>
    </row>
    <row r="225" spans="1:14" hidden="1">
      <c r="A225" s="1164"/>
      <c r="C225" s="1121" t="str">
        <f>'1.mell._Össz_Mérleg2020'!A159&amp;" "&amp;'1.mell._Össz_Mérleg2020'!B159</f>
        <v>9. II/2. Felújítások (K7) [9.1.+…+9.4.]</v>
      </c>
      <c r="D225" s="1121" t="str">
        <f>+'13.mell_ÖNKfeladatok2020'!A157&amp;" "&amp;'13.mell_ÖNKfeladatok2020'!C157&amp;"-"&amp;'13.mell_ÖNKfeladatok2020'!F157</f>
        <v>VI. Heves Város Gyermekjóléti Központja és Családsegítő Szolgálata összesen-</v>
      </c>
      <c r="I225" s="1121"/>
      <c r="J225" s="1121"/>
      <c r="K225" s="1121"/>
      <c r="L225" s="1121"/>
      <c r="M225" s="1121"/>
      <c r="N225" s="1121"/>
    </row>
    <row r="226" spans="1:14" hidden="1">
      <c r="A226" s="1164"/>
      <c r="C226" s="1121" t="str">
        <f>'1.mell._Össz_Mérleg2020'!A160&amp;" "&amp;'1.mell._Össz_Mérleg2020'!B160</f>
        <v>9.a. - ebből: EU-s forrásból finanszírozott támogatással megvalósuló programok, projektek felújítási kiadásai (K7)</v>
      </c>
      <c r="D226" s="1121" t="str">
        <f>+'13.mell_ÖNKfeladatok2020'!A158&amp;" "&amp;'13.mell_ÖNKfeladatok2020'!D158&amp;"-"&amp;'13.mell_ÖNKfeladatok2020'!F158</f>
        <v xml:space="preserve"> -</v>
      </c>
      <c r="I226" s="1121"/>
      <c r="J226" s="1121"/>
      <c r="K226" s="1121"/>
      <c r="L226" s="1121"/>
      <c r="M226" s="1121"/>
      <c r="N226" s="1121"/>
    </row>
    <row r="227" spans="1:14" hidden="1">
      <c r="A227" s="1164"/>
      <c r="C227" s="1121" t="str">
        <f>'1.mell._Össz_Mérleg2020'!A161&amp;" "&amp;'1.mell._Össz_Mérleg2020'!B161</f>
        <v>9.1. Ingatlanok felújítása (K71)</v>
      </c>
      <c r="D227" s="1121" t="str">
        <f>+'13.mell_ÖNKfeladatok2020'!A159&amp;" "&amp;'13.mell_ÖNKfeladatok2020'!C159&amp;"-"&amp;'13.mell_ÖNKfeladatok2020'!F159</f>
        <v>VII. KÖLTSÉGVETÉSI BEVÉTELEK ÖSSZESEN:-</v>
      </c>
      <c r="I227" s="1121"/>
      <c r="J227" s="1121"/>
      <c r="K227" s="1121"/>
      <c r="L227" s="1121"/>
      <c r="M227" s="1121"/>
      <c r="N227" s="1121"/>
    </row>
    <row r="228" spans="1:14" hidden="1">
      <c r="A228" s="1164"/>
      <c r="C228" s="1121" t="str">
        <f>'1.mell._Össz_Mérleg2020'!A162&amp;" "&amp;'1.mell._Össz_Mérleg2020'!B162</f>
        <v>9.2. Informatikai eszközök felújítása (K72)</v>
      </c>
      <c r="D228" s="1121" t="str">
        <f>+'13.mell_ÖNKfeladatok2020'!A160&amp;" "&amp;'13.mell_ÖNKfeladatok2020'!D160&amp;"-"&amp;'13.mell_ÖNKfeladatok2020'!F160</f>
        <v xml:space="preserve"> -</v>
      </c>
      <c r="I228" s="1121"/>
      <c r="J228" s="1121"/>
      <c r="K228" s="1121"/>
      <c r="L228" s="1121"/>
      <c r="M228" s="1121"/>
      <c r="N228" s="1121"/>
    </row>
    <row r="229" spans="1:14" hidden="1">
      <c r="A229" s="1164"/>
      <c r="C229" s="1121" t="str">
        <f>'1.mell._Össz_Mérleg2020'!A163&amp;" "&amp;'1.mell._Össz_Mérleg2020'!B163</f>
        <v>9.3. Egyéb tárgyi eszközök felújítása  (K73)</v>
      </c>
      <c r="D229" s="1121" t="str">
        <f>+'13.mell_ÖNKfeladatok2020'!A161&amp;" "&amp;'13.mell_ÖNKfeladatok2020'!D161&amp;"-"&amp;'13.mell_ÖNKfeladatok2020'!F161</f>
        <v xml:space="preserve"> -</v>
      </c>
      <c r="I229" s="1121"/>
      <c r="J229" s="1121"/>
      <c r="K229" s="1121"/>
      <c r="L229" s="1121"/>
      <c r="M229" s="1121"/>
      <c r="N229" s="1121"/>
    </row>
    <row r="230" spans="1:14" hidden="1">
      <c r="A230" s="1164"/>
      <c r="C230" s="1121" t="str">
        <f>'1.mell._Össz_Mérleg2020'!A164&amp;" "&amp;'1.mell._Össz_Mérleg2020'!B164</f>
        <v>9.4. Felújítási célú előzetesen felszámított általános forgalmi adó (K74)</v>
      </c>
      <c r="D230" s="1121" t="str">
        <f>+'13.mell_ÖNKfeladatok2020'!A162&amp;" "&amp;'13.mell_ÖNKfeladatok2020'!D162&amp;"-"&amp;'13.mell_ÖNKfeladatok2020'!F162</f>
        <v xml:space="preserve"> -</v>
      </c>
      <c r="I230" s="1121"/>
      <c r="J230" s="1121"/>
      <c r="K230" s="1121"/>
      <c r="L230" s="1121"/>
      <c r="M230" s="1121"/>
      <c r="N230" s="1121"/>
    </row>
    <row r="231" spans="1:14" hidden="1">
      <c r="A231" s="1164"/>
      <c r="C231" s="1121" t="str">
        <f>'1.mell._Össz_Mérleg2020'!A165&amp;" "&amp;'1.mell._Össz_Mérleg2020'!B165</f>
        <v>10. II/3. Egyéb felhalmozási célú kiadások (K8) [=10.1.+…+10.9.]</v>
      </c>
      <c r="D231" s="1121" t="str">
        <f>+'13.mell_ÖNKfeladatok2020'!A163&amp;" "&amp;'13.mell_ÖNKfeladatok2020'!D163&amp;"-"&amp;'13.mell_ÖNKfeladatok2020'!F163</f>
        <v xml:space="preserve"> -</v>
      </c>
      <c r="I231" s="1121"/>
      <c r="J231" s="1121"/>
      <c r="K231" s="1121"/>
      <c r="L231" s="1121"/>
      <c r="M231" s="1121"/>
      <c r="N231" s="1121"/>
    </row>
    <row r="232" spans="1:14" hidden="1">
      <c r="A232" s="1164"/>
      <c r="C232" s="1121" t="str">
        <f>'1.mell._Össz_Mérleg2020'!A166&amp;" "&amp;'1.mell._Össz_Mérleg2020'!B166</f>
        <v>10.1. Felhalmozási célú garancia- és kezességvállalásból származó kifizetés államháztartáson belülre (K81)</v>
      </c>
      <c r="D232" s="1121" t="str">
        <f>+'13.mell_ÖNKfeladatok2020'!A164&amp;" "&amp;'13.mell_ÖNKfeladatok2020'!D164&amp;"-"&amp;'13.mell_ÖNKfeladatok2020'!F164</f>
        <v xml:space="preserve"> -</v>
      </c>
      <c r="I232" s="1121"/>
      <c r="J232" s="1121"/>
      <c r="K232" s="1121"/>
      <c r="L232" s="1121"/>
      <c r="M232" s="1121"/>
      <c r="N232" s="1121"/>
    </row>
    <row r="233" spans="1:14" hidden="1">
      <c r="A233" s="1164"/>
      <c r="C233" s="1121" t="str">
        <f>'1.mell._Össz_Mérleg2020'!A167&amp;" "&amp;'1.mell._Össz_Mérleg2020'!B167</f>
        <v>10.2. Felhalmozási célú visszatérítendő támogatások, kölcsönök nyújtása államháztartáson belülre (K82)</v>
      </c>
      <c r="D233" s="1121" t="str">
        <f>+'13.mell_ÖNKfeladatok2020'!A165&amp;" "&amp;'13.mell_ÖNKfeladatok2020'!D165&amp;"-"&amp;'13.mell_ÖNKfeladatok2020'!F165</f>
        <v>HEVES VÁROS ÖNKORMÁNYZATA ÉS KÖLTSÉGVETÉSI SZERVEI KÖLTSÉGVETÉSI BEVÉTELI ÉS KIADÁSI ELŐIRÁNYZATAI FELADATONKÉNT -</v>
      </c>
      <c r="I233" s="1121"/>
      <c r="J233" s="1121"/>
      <c r="K233" s="1121"/>
      <c r="L233" s="1121"/>
      <c r="M233" s="1121"/>
      <c r="N233" s="1121"/>
    </row>
    <row r="234" spans="1:14" hidden="1">
      <c r="A234" s="1164"/>
      <c r="C234" s="1121" t="str">
        <f>'1.mell._Össz_Mérleg2020'!A168&amp;" "&amp;'1.mell._Össz_Mérleg2020'!B168</f>
        <v>10.3. Felhalmozási célú visszatérítendő támogatások, kölcsönök törlesztése államháztartáson belülre (K83)</v>
      </c>
      <c r="D234" s="1121" t="str">
        <f>+'13.mell_ÖNKfeladatok2020'!A166&amp;" "&amp;'13.mell_ÖNKfeladatok2020'!D166&amp;"-"&amp;'13.mell_ÖNKfeladatok2020'!F166</f>
        <v xml:space="preserve"> -</v>
      </c>
      <c r="I234" s="1121"/>
      <c r="J234" s="1121"/>
      <c r="K234" s="1121"/>
      <c r="L234" s="1121"/>
      <c r="M234" s="1121"/>
      <c r="N234" s="1121"/>
    </row>
    <row r="235" spans="1:14" hidden="1">
      <c r="A235" s="1164"/>
      <c r="C235" s="1121" t="str">
        <f>'1.mell._Össz_Mérleg2020'!A169&amp;" "&amp;'1.mell._Össz_Mérleg2020'!B169</f>
        <v>10.4. Egyéb felhalmozási célú támogatások államháztartáson belülre (K84)</v>
      </c>
      <c r="D235" s="1121" t="str">
        <f>+'13.mell_ÖNKfeladatok2020'!A167&amp;" "&amp;'13.mell_ÖNKfeladatok2020'!D167&amp;"-"&amp;'13.mell_ÖNKfeladatok2020'!F167</f>
        <v>Sor-szám Kormányzati funkció elnevezése-KIADÁSI JOGCÍMEK feladatonként</v>
      </c>
      <c r="I235" s="1121"/>
      <c r="J235" s="1121"/>
      <c r="K235" s="1121"/>
      <c r="L235" s="1121"/>
      <c r="M235" s="1121"/>
      <c r="N235" s="1121"/>
    </row>
    <row r="236" spans="1:14" hidden="1">
      <c r="A236" s="1164"/>
      <c r="C236" s="1121" t="str">
        <f>'1.mell._Össz_Mérleg2020'!A170&amp;" "&amp;'1.mell._Össz_Mérleg2020'!B170</f>
        <v>10.4.a. - ebből: Felhalmozási célú  fejezeti kezelésű előirányzatok EU-s programok és azok hazai társfinanszírozása (K84)</v>
      </c>
      <c r="D236" s="1121" t="str">
        <f>+'13.mell_ÖNKfeladatok2020'!A169&amp;" "&amp;'13.mell_ÖNKfeladatok2020'!D169&amp;"-"&amp;'13.mell_ÖNKfeladatok2020'!F169</f>
        <v xml:space="preserve"> -</v>
      </c>
      <c r="I236" s="1121"/>
      <c r="J236" s="1121"/>
      <c r="K236" s="1121"/>
      <c r="L236" s="1121"/>
      <c r="M236" s="1121"/>
      <c r="N236" s="1121"/>
    </row>
    <row r="237" spans="1:14" hidden="1">
      <c r="A237" s="1164"/>
      <c r="C237" s="1121" t="str">
        <f>'1.mell._Össz_Mérleg2020'!A171&amp;" "&amp;'1.mell._Össz_Mérleg2020'!B171</f>
        <v>10.5. Felhalmozási célú garancia- és kezességvállalásból származó kifizetés államháztartáson kívülre (K85)</v>
      </c>
      <c r="D237" s="1121" t="str">
        <f>+'13.mell_ÖNKfeladatok2020'!A170&amp;" "&amp;'13.mell_ÖNKfeladatok2020'!D170&amp;"-"&amp;'13.mell_ÖNKfeladatok2020'!F170</f>
        <v>1 Önkormányzatok és önkormányzati hivatalok jogalkotó és általános igazgatási tevékenysége-Önkormányzati jogalkotás</v>
      </c>
      <c r="I237" s="1121"/>
      <c r="J237" s="1121"/>
      <c r="K237" s="1121"/>
      <c r="L237" s="1121"/>
      <c r="M237" s="1121"/>
      <c r="N237" s="1121"/>
    </row>
    <row r="238" spans="1:14" hidden="1">
      <c r="A238" s="1164"/>
      <c r="C238" s="1121" t="str">
        <f>'1.mell._Össz_Mérleg2020'!A172&amp;" "&amp;'1.mell._Össz_Mérleg2020'!B172</f>
        <v>10.6. Felhalmozási célú visszatérítendő támogatások, kölcsönök nyújtása államháztartáson kívülre (K86)</v>
      </c>
      <c r="D238" s="1121" t="str">
        <f>+'13.mell_ÖNKfeladatok2020'!A171&amp;" "&amp;'13.mell_ÖNKfeladatok2020'!D171&amp;"-"&amp;'13.mell_ÖNKfeladatok2020'!F171</f>
        <v>2 Önkormányzatok és önkormányzati hivatalok jogalkotó és általános igazgatási tevékenysége-Önkormányzatok és társulások igazgatási tevékenysége</v>
      </c>
      <c r="I238" s="1121"/>
      <c r="J238" s="1121"/>
      <c r="K238" s="1121"/>
      <c r="L238" s="1121"/>
      <c r="M238" s="1121"/>
      <c r="N238" s="1121"/>
    </row>
    <row r="239" spans="1:14" hidden="1">
      <c r="A239" s="1164"/>
      <c r="C239" s="1121" t="str">
        <f>'1.mell._Össz_Mérleg2020'!A173&amp;" "&amp;'1.mell._Össz_Mérleg2020'!B173</f>
        <v>10.7. Lakástámogatás (K87)</v>
      </c>
      <c r="D239" s="1121" t="str">
        <f>+'13.mell_ÖNKfeladatok2020'!A172&amp;" "&amp;'13.mell_ÖNKfeladatok2020'!D172&amp;"-"&amp;'13.mell_ÖNKfeladatok2020'!F172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239" s="1121"/>
      <c r="J239" s="1121"/>
      <c r="K239" s="1121"/>
      <c r="L239" s="1121"/>
      <c r="M239" s="1121"/>
      <c r="N239" s="1121"/>
    </row>
    <row r="240" spans="1:14" hidden="1">
      <c r="A240" s="1164"/>
      <c r="C240" s="1121" t="str">
        <f>'1.mell._Össz_Mérleg2020'!A174&amp;" "&amp;'1.mell._Össz_Mérleg2020'!B174</f>
        <v>10.8. Felhalmozási célú támogatások az Európai Uniónak (K88)</v>
      </c>
      <c r="D240" s="1121" t="str">
        <f>+'13.mell_ÖNKfeladatok2020'!A173&amp;" "&amp;'13.mell_ÖNKfeladatok2020'!D173&amp;"-"&amp;'13.mell_ÖNKfeladatok2020'!F173</f>
        <v>4 Országos és helyi nemzetiségi önkormányzatok igazgatási tevékenysége-Helyi nemzetiségi önkormányzatok igazgatási tevékenysége</v>
      </c>
      <c r="I240" s="1121"/>
      <c r="J240" s="1121"/>
      <c r="K240" s="1121"/>
      <c r="L240" s="1121"/>
      <c r="M240" s="1121"/>
      <c r="N240" s="1121"/>
    </row>
    <row r="241" spans="1:14" hidden="1">
      <c r="A241" s="1164"/>
      <c r="C241" s="1121" t="str">
        <f>'1.mell._Össz_Mérleg2020'!A175&amp;" "&amp;'1.mell._Össz_Mérleg2020'!B175</f>
        <v>10.9. Egyéb felhalmozási célú támogatások államháztartáson kívülre  (K89)</v>
      </c>
      <c r="D241" s="1121" t="str">
        <f>+'13.mell_ÖNKfeladatok2020'!A174&amp;" "&amp;'13.mell_ÖNKfeladatok2020'!D174&amp;"-"&amp;'13.mell_ÖNKfeladatok2020'!F174</f>
        <v>5 Adó-, vám- és jövedéki igazgatás-Adó, illeték kiszabása, beszedése, adóellenőrzés</v>
      </c>
      <c r="I241" s="1121"/>
      <c r="J241" s="1121"/>
      <c r="K241" s="1121"/>
      <c r="L241" s="1121"/>
      <c r="M241" s="1121"/>
      <c r="N241" s="1121"/>
    </row>
    <row r="242" spans="1:14" hidden="1">
      <c r="A242" s="1164"/>
      <c r="C242" s="1121" t="str">
        <f>'1.mell._Össz_Mérleg2020'!A176&amp;" "&amp;'1.mell._Össz_Mérleg2020'!B176</f>
        <v>11. KÖLTSÉGVETÉSI KIADÁSOK ÖSSZESEN [=1.+7.]</v>
      </c>
      <c r="D242" s="1121" t="str">
        <f>+'13.mell_ÖNKfeladatok2020'!A175&amp;" "&amp;'13.mell_ÖNKfeladatok2020'!D175&amp;"-"&amp;'13.mell_ÖNKfeladatok2020'!F175</f>
        <v>6 Köztemető-fenntartás és -működtetés-Köztemető-fenntartás és -működtetés</v>
      </c>
      <c r="I242" s="1121"/>
      <c r="J242" s="1121"/>
      <c r="K242" s="1121"/>
      <c r="L242" s="1121"/>
      <c r="M242" s="1121"/>
      <c r="N242" s="1121"/>
    </row>
    <row r="243" spans="1:14" hidden="1">
      <c r="A243" s="1164"/>
      <c r="C243" s="1121" t="str">
        <f>'1.mell._Össz_Mérleg2020'!A177&amp;" "&amp;'1.mell._Össz_Mérleg2020'!B177</f>
        <v>12. III. Működési finanszírozási kiadások (K91) [=12.]</v>
      </c>
      <c r="D243" s="1121" t="str">
        <f>+'13.mell_ÖNKfeladatok2020'!A176&amp;" "&amp;'13.mell_ÖNKfeladatok2020'!D176&amp;"-"&amp;'13.mell_ÖNKfeladatok2020'!F176</f>
        <v>7 Az önkormányzati vagyonnal való gazdálkodással kapcsolatos feladatok-Lakóingatlan bérbeadása, üzemeltetése (nem szociális célú)</v>
      </c>
      <c r="I243" s="1121"/>
      <c r="J243" s="1121"/>
      <c r="K243" s="1121"/>
      <c r="L243" s="1121"/>
      <c r="M243" s="1121"/>
      <c r="N243" s="1121"/>
    </row>
    <row r="244" spans="1:14" hidden="1">
      <c r="A244" s="1164"/>
      <c r="C244" s="1121" t="str">
        <f>'1.mell._Össz_Mérleg2020'!A178&amp;" "&amp;'1.mell._Össz_Mérleg2020'!B178</f>
        <v>13. III/1. Működési célú finanszírozási kiadások (K91) [=12.1.+…+12.4.]</v>
      </c>
      <c r="D244" s="1121" t="str">
        <f>+'13.mell_ÖNKfeladatok2020'!A177&amp;" "&amp;'13.mell_ÖNKfeladatok2020'!D177&amp;"-"&amp;'13.mell_ÖNKfeladatok2020'!F177</f>
        <v>8 Az önkormányzati vagyonnal való gazdálkodással kapcsolatos feladatok-Nem lakóingatlan bérbeadása, üzemeltetése</v>
      </c>
      <c r="I244" s="1121"/>
      <c r="J244" s="1121"/>
      <c r="K244" s="1121"/>
      <c r="L244" s="1121"/>
      <c r="M244" s="1121"/>
      <c r="N244" s="1121"/>
    </row>
    <row r="245" spans="1:14" hidden="1">
      <c r="A245" s="1164"/>
      <c r="C245" s="1121" t="str">
        <f>'1.mell._Össz_Mérleg2020'!A179&amp;" "&amp;'1.mell._Össz_Mérleg2020'!B179</f>
        <v>13.1. Belföldi finanszírozás kiadásai (K91) [=13.1.1.+…+13.1.9.]</v>
      </c>
      <c r="D245" s="1121" t="str">
        <f>+'13.mell_ÖNKfeladatok2020'!A178&amp;" "&amp;'13.mell_ÖNKfeladatok2020'!D178&amp;"-"&amp;'13.mell_ÖNKfeladatok2020'!F178</f>
        <v>9 Más szerv részére végzett pénzügyi-gazdálkodási, üzemeltetési, egyéb szolgáltatások-Építményüzemeltetés</v>
      </c>
      <c r="I245" s="1121"/>
      <c r="J245" s="1121"/>
      <c r="K245" s="1121"/>
      <c r="L245" s="1121"/>
      <c r="M245" s="1121"/>
      <c r="N245" s="1121"/>
    </row>
    <row r="246" spans="1:14" hidden="1">
      <c r="A246" s="1164"/>
      <c r="C246" s="1121" t="str">
        <f>'1.mell._Össz_Mérleg2020'!A180&amp;" "&amp;'1.mell._Össz_Mérleg2020'!B180</f>
        <v>13.1.1. Hitel-, kölcsöntörlesztés államháztartáson kívülre (K911)</v>
      </c>
      <c r="D246" s="1121" t="str">
        <f>+'13.mell_ÖNKfeladatok2020'!A179&amp;" "&amp;'13.mell_ÖNKfeladatok2020'!D179&amp;"-"&amp;'13.mell_ÖNKfeladatok2020'!F179</f>
        <v>10 Kiemelt állami és önkormányzati rendezvények-Nemzeti ünnepek programjai</v>
      </c>
      <c r="I246" s="1121"/>
      <c r="J246" s="1121"/>
      <c r="K246" s="1121"/>
      <c r="L246" s="1121"/>
      <c r="M246" s="1121"/>
      <c r="N246" s="1121"/>
    </row>
    <row r="247" spans="1:14" hidden="1">
      <c r="A247" s="1164"/>
      <c r="C247" s="1121" t="str">
        <f>'1.mell._Össz_Mérleg2020'!A181&amp;" "&amp;'1.mell._Össz_Mérleg2020'!B181</f>
        <v>13.1.2. Belföldi értékpapírok kiadásai (K912)</v>
      </c>
      <c r="D247" s="1121" t="str">
        <f>+'13.mell_ÖNKfeladatok2020'!A180&amp;" "&amp;'13.mell_ÖNKfeladatok2020'!D180&amp;"-"&amp;'13.mell_ÖNKfeladatok2020'!F180</f>
        <v>11 Önkormányzatok elszámolásai a központi költségvetéssel-Önkormányzatok és társulások elszámolásai a központi költségvetéssel</v>
      </c>
      <c r="I247" s="1121"/>
      <c r="J247" s="1121"/>
      <c r="K247" s="1121"/>
      <c r="L247" s="1121"/>
      <c r="M247" s="1121"/>
      <c r="N247" s="1121"/>
    </row>
    <row r="248" spans="1:14" hidden="1">
      <c r="A248" s="1164"/>
      <c r="C248" s="1121" t="str">
        <f>'1.mell._Össz_Mérleg2020'!A182&amp;" "&amp;'1.mell._Össz_Mérleg2020'!B182</f>
        <v>13.1.3. Államháztartáson belüli megelőlegezések folyósítása (K913)</v>
      </c>
      <c r="D248" s="1121" t="str">
        <f>+'13.mell_ÖNKfeladatok2020'!A181&amp;" "&amp;'13.mell_ÖNKfeladatok2020'!D181&amp;"-"&amp;'13.mell_ÖNKfeladatok2020'!F181</f>
        <v xml:space="preserve">12 Központi költségvetési befizetések-Központi költségvetési befizetések </v>
      </c>
      <c r="I248" s="1121"/>
      <c r="J248" s="1121"/>
      <c r="K248" s="1121"/>
      <c r="L248" s="1121"/>
      <c r="M248" s="1121"/>
      <c r="N248" s="1121"/>
    </row>
    <row r="249" spans="1:14" hidden="1">
      <c r="A249" s="1164"/>
      <c r="C249" s="1121" t="str">
        <f>'1.mell._Össz_Mérleg2020'!A183&amp;" "&amp;'1.mell._Össz_Mérleg2020'!B183</f>
        <v>13.1.4. Államháztartáson belüli megelőlegezések visszafizetése (K914)</v>
      </c>
      <c r="D249" s="1121" t="str">
        <f>+'13.mell_ÖNKfeladatok2020'!A182&amp;" "&amp;'13.mell_ÖNKfeladatok2020'!D182&amp;"-"&amp;'13.mell_ÖNKfeladatok2020'!F182</f>
        <v>13 Támogatási célú finanszírozási műveletek-Önkormányzatok és társulások igazgatási tevékenysége</v>
      </c>
      <c r="I249" s="1121"/>
      <c r="J249" s="1121"/>
      <c r="K249" s="1121"/>
      <c r="L249" s="1121"/>
      <c r="M249" s="1121"/>
      <c r="N249" s="1121"/>
    </row>
    <row r="250" spans="1:14" hidden="1">
      <c r="A250" s="1164"/>
      <c r="C250" s="1121" t="str">
        <f>'1.mell._Össz_Mérleg2020'!A184&amp;" "&amp;'1.mell._Össz_Mérleg2020'!B184</f>
        <v>13.1.5. Központi, irányító szervi támogatások folyósítása (K915)</v>
      </c>
      <c r="D250" s="1121" t="str">
        <f>+'13.mell_ÖNKfeladatok2020'!A183&amp;" "&amp;'13.mell_ÖNKfeladatok2020'!D183&amp;"-"&amp;'13.mell_ÖNKfeladatok2020'!F183</f>
        <v>14 A polgári honvédelem ágazati feladatai, a lakosság felkészítése-A polgári védelem ágazati feladatai</v>
      </c>
      <c r="I250" s="1121"/>
      <c r="J250" s="1121"/>
      <c r="K250" s="1121"/>
      <c r="L250" s="1121"/>
      <c r="M250" s="1121"/>
      <c r="N250" s="1121"/>
    </row>
    <row r="251" spans="1:14" hidden="1">
      <c r="A251" s="1164"/>
      <c r="C251" s="1121" t="str">
        <f>'1.mell._Össz_Mérleg2020'!A185&amp;" "&amp;'1.mell._Össz_Mérleg2020'!B185</f>
        <v>13.1.6. Pénzeszközök betétként elhelyezése (belső finanszírozás) (K916)</v>
      </c>
      <c r="D251" s="1121" t="str">
        <f>+'13.mell_ÖNKfeladatok2020'!A184&amp;" "&amp;'13.mell_ÖNKfeladatok2020'!D184&amp;"-"&amp;'13.mell_ÖNKfeladatok2020'!F184</f>
        <v>15 Rövid időtartamú közfoglalkoztatás -Rövid időtartamú közfoglalkoztatás</v>
      </c>
      <c r="I251" s="1121"/>
      <c r="J251" s="1121"/>
      <c r="K251" s="1121"/>
      <c r="L251" s="1121"/>
      <c r="M251" s="1121"/>
      <c r="N251" s="1121"/>
    </row>
    <row r="252" spans="1:14" hidden="1">
      <c r="A252" s="1164"/>
      <c r="C252" s="1121" t="str">
        <f>'1.mell._Össz_Mérleg2020'!A186&amp;" "&amp;'1.mell._Össz_Mérleg2020'!B186</f>
        <v>13.1.7. Pénzügyi lízing kiadásai (K917)</v>
      </c>
      <c r="D252" s="1121" t="str">
        <f>+'13.mell_ÖNKfeladatok2020'!A185&amp;" "&amp;'13.mell_ÖNKfeladatok2020'!D185&amp;"-"&amp;'13.mell_ÖNKfeladatok2020'!F185</f>
        <v>16 Start-munka program – Téli közfoglalkoztatás-Rövid időtartamú közfoglalkoztatás</v>
      </c>
      <c r="I252" s="1121"/>
      <c r="J252" s="1121"/>
      <c r="K252" s="1121"/>
      <c r="L252" s="1121"/>
      <c r="M252" s="1121"/>
      <c r="N252" s="1121"/>
    </row>
    <row r="253" spans="1:14" hidden="1">
      <c r="A253" s="1164"/>
      <c r="C253" s="1121" t="str">
        <f>'1.mell._Össz_Mérleg2020'!A187&amp;" "&amp;'1.mell._Össz_Mérleg2020'!B187</f>
        <v>13.1.8. Központi költségvetés sajátos finanszírozási kiadásai (K918)</v>
      </c>
      <c r="D253" s="1121" t="str">
        <f>+'13.mell_ÖNKfeladatok2020'!A186&amp;" "&amp;'13.mell_ÖNKfeladatok2020'!D186&amp;"-"&amp;'13.mell_ÖNKfeladatok2020'!F186</f>
        <v>17 Hosszabb időtartamú közfoglalkoztatás-Foglalkoztatást helyettesítő támogatásra jogosultak hosszabb időtartamú közfoglalkoztatása</v>
      </c>
      <c r="I253" s="1121"/>
      <c r="J253" s="1121"/>
      <c r="K253" s="1121"/>
      <c r="L253" s="1121"/>
      <c r="M253" s="1121"/>
      <c r="N253" s="1121"/>
    </row>
    <row r="254" spans="1:14" hidden="1">
      <c r="A254" s="1164"/>
      <c r="C254" s="1121" t="str">
        <f>'1.mell._Össz_Mérleg2020'!A188&amp;" "&amp;'1.mell._Össz_Mérleg2020'!B188</f>
        <v>15.1.9. Tulajdonosi kölcsönök kiadásai (K919)</v>
      </c>
      <c r="D254" s="1121" t="str">
        <f>+'13.mell_ÖNKfeladatok2020'!A187&amp;" "&amp;'13.mell_ÖNKfeladatok2020'!D187&amp;"-"&amp;'13.mell_ÖNKfeladatok2020'!F187</f>
        <v>18 Országos közfoglalkoztatási program-Egyéb közfoglalkoztatás</v>
      </c>
      <c r="I254" s="1121"/>
      <c r="J254" s="1121"/>
      <c r="K254" s="1121"/>
      <c r="L254" s="1121"/>
      <c r="M254" s="1121"/>
      <c r="N254" s="1121"/>
    </row>
    <row r="255" spans="1:14" hidden="1">
      <c r="A255" s="1164"/>
      <c r="C255" s="1121" t="str">
        <f>'1.mell._Össz_Mérleg2020'!A189&amp;" "&amp;'1.mell._Össz_Mérleg2020'!B189</f>
        <v>13.2. Külföldi finanszírozás kiadásai (K92)</v>
      </c>
      <c r="D255" s="1121" t="str">
        <f>+'13.mell_ÖNKfeladatok2020'!A188&amp;" "&amp;'13.mell_ÖNKfeladatok2020'!D188&amp;"-"&amp;'13.mell_ÖNKfeladatok2020'!F188</f>
        <v>19 Közfoglalkoztatási mintaprogram-Egyéb közfoglalkoztatás</v>
      </c>
      <c r="I255" s="1121"/>
      <c r="J255" s="1121"/>
      <c r="K255" s="1121"/>
      <c r="L255" s="1121"/>
      <c r="M255" s="1121"/>
      <c r="N255" s="1121"/>
    </row>
    <row r="256" spans="1:14" hidden="1">
      <c r="A256" s="1164"/>
      <c r="C256" s="1121" t="str">
        <f>'1.mell._Össz_Mérleg2020'!A190&amp;" "&amp;'1.mell._Össz_Mérleg2020'!B190</f>
        <v>13.3. Adóssághoz nem kapcsolódó származékos ügyletek kiadásai (K93)</v>
      </c>
      <c r="D256" s="1121" t="str">
        <f>+'13.mell_ÖNKfeladatok2020'!A189&amp;" "&amp;'13.mell_ÖNKfeladatok2020'!D189&amp;"-"&amp;'13.mell_ÖNKfeladatok2020'!F189</f>
        <v>20 Állat-egészségügy-Állat-egészségügyi ellátás</v>
      </c>
      <c r="I256" s="1121"/>
      <c r="J256" s="1121"/>
      <c r="K256" s="1121"/>
      <c r="L256" s="1121"/>
      <c r="M256" s="1121"/>
      <c r="N256" s="1121"/>
    </row>
    <row r="257" spans="1:14" hidden="1">
      <c r="A257" s="1164"/>
      <c r="C257" s="1121" t="str">
        <f>'1.mell._Össz_Mérleg2020'!A191&amp;" "&amp;'1.mell._Össz_Mérleg2020'!B191</f>
        <v>13.4. Váltókiadások (K94)</v>
      </c>
      <c r="D257" s="1121" t="str">
        <f>+'13.mell_ÖNKfeladatok2020'!A190&amp;" "&amp;'13.mell_ÖNKfeladatok2020'!D190&amp;"-"&amp;'13.mell_ÖNKfeladatok2020'!F190</f>
        <v>21 Út, autópálya építése-Út, autópálya építése</v>
      </c>
      <c r="I257" s="1121"/>
      <c r="J257" s="1121"/>
      <c r="K257" s="1121"/>
      <c r="L257" s="1121"/>
      <c r="M257" s="1121"/>
      <c r="N257" s="1121"/>
    </row>
    <row r="258" spans="1:14" hidden="1">
      <c r="A258" s="1164"/>
      <c r="C258" s="1121" t="str">
        <f>'1.mell._Össz_Mérleg2020'!A192&amp;" "&amp;'1.mell._Össz_Mérleg2020'!B192</f>
        <v>14. IV. Felhalmozási finanszírozási kiadások (K91) [=15.]</v>
      </c>
      <c r="D258" s="1121" t="str">
        <f>+'13.mell_ÖNKfeladatok2020'!A191&amp;" "&amp;'13.mell_ÖNKfeladatok2020'!D191&amp;"-"&amp;'13.mell_ÖNKfeladatok2020'!F191</f>
        <v>22 Városi és elővárosi közúti személyszállítás-Városi és elővárosi közúti személyszállítás</v>
      </c>
      <c r="I258" s="1121"/>
      <c r="J258" s="1121"/>
      <c r="K258" s="1121"/>
      <c r="L258" s="1121"/>
      <c r="M258" s="1121"/>
      <c r="N258" s="1121"/>
    </row>
    <row r="259" spans="1:14" hidden="1">
      <c r="A259" s="1164"/>
      <c r="C259" s="1121" t="str">
        <f>'1.mell._Össz_Mérleg2020'!A193&amp;" "&amp;'1.mell._Össz_Mérleg2020'!B193</f>
        <v>15. IV/1. Felhalmozási célú finanszírozási kiadások (K91) [=15.1.+…+15.4.]</v>
      </c>
      <c r="D259" s="1121" t="str">
        <f>+'13.mell_ÖNKfeladatok2020'!A192&amp;" "&amp;'13.mell_ÖNKfeladatok2020'!D192&amp;"-"&amp;'13.mell_ÖNKfeladatok2020'!F192</f>
        <v>23 Közutak, hidak, alagutak üzemeltetése, fenntartása-Közutak, hidak, alagutak üzemeltetése, fenntartása</v>
      </c>
      <c r="I259" s="1121"/>
      <c r="J259" s="1121"/>
      <c r="K259" s="1121"/>
      <c r="L259" s="1121"/>
      <c r="M259" s="1121"/>
      <c r="N259" s="1121"/>
    </row>
    <row r="260" spans="1:14" hidden="1">
      <c r="A260" s="1164"/>
      <c r="C260" s="1121" t="str">
        <f>'1.mell._Össz_Mérleg2020'!A194&amp;" "&amp;'1.mell._Össz_Mérleg2020'!B194</f>
        <v>15.1. Belföldi finanszírozás kiadásai (K91) [=15.1.1.+…+15.1.9.]</v>
      </c>
      <c r="D260" s="1121" t="str">
        <f>+'13.mell_ÖNKfeladatok2020'!A193&amp;" "&amp;'13.mell_ÖNKfeladatok2020'!D193&amp;"-"&amp;'13.mell_ÖNKfeladatok2020'!F193</f>
        <v>24 Ár- és belvízvédelemmel összefüggő tevékenységek-Ár- és belvízvédelemmel összefüggő tevékenységek</v>
      </c>
      <c r="I260" s="1121"/>
      <c r="J260" s="1121"/>
      <c r="K260" s="1121"/>
      <c r="L260" s="1121"/>
      <c r="M260" s="1121"/>
      <c r="N260" s="1121"/>
    </row>
    <row r="261" spans="1:14" hidden="1">
      <c r="A261" s="1164"/>
      <c r="C261" s="1121" t="str">
        <f>'1.mell._Össz_Mérleg2020'!A195&amp;" "&amp;'1.mell._Össz_Mérleg2020'!B195</f>
        <v>15.1.1. Hitel-, kölcsöntörlesztés államháztartáson kívülre (K911)</v>
      </c>
      <c r="D261" s="1121" t="str">
        <f>+'13.mell_ÖNKfeladatok2020'!A194&amp;" "&amp;'13.mell_ÖNKfeladatok2020'!D194&amp;"-"&amp;'13.mell_ÖNKfeladatok2020'!F194</f>
        <v>25 Nem veszélyes (települési) hulladék vegyes (ömlesztett) begyűjtése, szállítása, átrakása-Települési hulladék vegyes (ömlesztett) begyűjtése, szállítása, átrakása
begyűjtése, szállítása, átrakása</v>
      </c>
      <c r="I261" s="1121"/>
      <c r="J261" s="1121"/>
      <c r="K261" s="1121"/>
      <c r="L261" s="1121"/>
      <c r="M261" s="1121"/>
      <c r="N261" s="1121"/>
    </row>
    <row r="262" spans="1:14" hidden="1">
      <c r="A262" s="1164"/>
      <c r="C262" s="1121" t="str">
        <f>'1.mell._Össz_Mérleg2020'!A196&amp;" "&amp;'1.mell._Össz_Mérleg2020'!B196</f>
        <v>15.1.2. Belföldi értékpapírok kiadásai (K912)</v>
      </c>
      <c r="D262" s="1121" t="str">
        <f>+'13.mell_ÖNKfeladatok2020'!A195&amp;" "&amp;'13.mell_ÖNKfeladatok2020'!D195&amp;"-"&amp;'13.mell_ÖNKfeladatok2020'!F195</f>
        <v>26 Víztermelés, -kezelés, -ellátás-Víztermelés-, kezelés-, ellátás</v>
      </c>
      <c r="I262" s="1121"/>
      <c r="J262" s="1121"/>
      <c r="K262" s="1121"/>
      <c r="L262" s="1121"/>
      <c r="M262" s="1121"/>
      <c r="N262" s="1121"/>
    </row>
    <row r="263" spans="1:14" hidden="1">
      <c r="A263" s="1164"/>
      <c r="C263" s="1121" t="str">
        <f>'1.mell._Össz_Mérleg2020'!A197&amp;" "&amp;'1.mell._Össz_Mérleg2020'!B197</f>
        <v>15.1.3. Államháztartáson belüli megelőlegezések folyósítása (K913)</v>
      </c>
      <c r="D263" s="1121" t="str">
        <f>+'13.mell_ÖNKfeladatok2020'!A196&amp;" "&amp;'13.mell_ÖNKfeladatok2020'!D196&amp;"-"&amp;'13.mell_ÖNKfeladatok2020'!F196</f>
        <v>27 Közvilágítás-Közvilágítás</v>
      </c>
      <c r="I263" s="1121"/>
      <c r="J263" s="1121"/>
      <c r="K263" s="1121"/>
      <c r="L263" s="1121"/>
      <c r="M263" s="1121"/>
      <c r="N263" s="1121"/>
    </row>
    <row r="264" spans="1:14" hidden="1">
      <c r="A264" s="1164"/>
      <c r="C264" s="1121" t="str">
        <f>'1.mell._Össz_Mérleg2020'!A198&amp;" "&amp;'1.mell._Össz_Mérleg2020'!B198</f>
        <v>15.1.4. Államháztartáson belüli megelőlegezések visszafizetése (K914)</v>
      </c>
      <c r="D264" s="1121" t="str">
        <f>+'13.mell_ÖNKfeladatok2020'!A197&amp;" "&amp;'13.mell_ÖNKfeladatok2020'!D197&amp;"-"&amp;'13.mell_ÖNKfeladatok2020'!F197</f>
        <v>28 Zöldterület-kezelés-Zöldterület-kezelés</v>
      </c>
      <c r="I264" s="1121"/>
      <c r="J264" s="1121"/>
      <c r="K264" s="1121"/>
      <c r="L264" s="1121"/>
      <c r="M264" s="1121"/>
      <c r="N264" s="1121"/>
    </row>
    <row r="265" spans="1:14" hidden="1">
      <c r="A265" s="1164"/>
      <c r="C265" s="1121" t="str">
        <f>'1.mell._Össz_Mérleg2020'!A199&amp;" "&amp;'1.mell._Össz_Mérleg2020'!B199</f>
        <v>15.1.5. Központi, irányító szervi támogatások folyósítása (K915)</v>
      </c>
      <c r="D265" s="1121" t="str">
        <f>+'13.mell_ÖNKfeladatok2020'!A198&amp;" "&amp;'13.mell_ÖNKfeladatok2020'!D198&amp;"-"&amp;'13.mell_ÖNKfeladatok2020'!F198</f>
        <v xml:space="preserve">29 Város-, községgazdálkodási m.n.s. szolgáltatások -Város-, községgazdálkodási m.n.s. szolgáltatások </v>
      </c>
      <c r="I265" s="1121"/>
      <c r="J265" s="1121"/>
      <c r="K265" s="1121"/>
      <c r="L265" s="1121"/>
      <c r="M265" s="1121"/>
      <c r="N265" s="1121"/>
    </row>
    <row r="266" spans="1:14" hidden="1">
      <c r="A266" s="1164"/>
      <c r="C266" s="1121" t="str">
        <f>'1.mell._Össz_Mérleg2020'!A200&amp;" "&amp;'1.mell._Össz_Mérleg2020'!B200</f>
        <v>15.1.6. Pénzeszközök betétként elhelyezése (belső finanszírozás) (K916)</v>
      </c>
      <c r="D266" s="1121" t="str">
        <f>+'13.mell_ÖNKfeladatok2020'!A199&amp;" "&amp;'13.mell_ÖNKfeladatok2020'!D199&amp;"-"&amp;'13.mell_ÖNKfeladatok2020'!F199</f>
        <v>30 Városi és elővárosi közúti személyszállítás (TOP 3.1.1.)-Városi és elővárosi közúti személyszállítás (TOP-3.1.1-15-HE1-2016-00006 Kerékpárút fejlesztése Heves városában)</v>
      </c>
      <c r="I266" s="1121"/>
      <c r="J266" s="1121"/>
      <c r="K266" s="1121"/>
      <c r="L266" s="1121"/>
      <c r="M266" s="1121"/>
      <c r="N266" s="1121"/>
    </row>
    <row r="267" spans="1:14" hidden="1">
      <c r="A267" s="1164"/>
      <c r="C267" s="1121" t="str">
        <f>'1.mell._Össz_Mérleg2020'!A201&amp;" "&amp;'1.mell._Össz_Mérleg2020'!B201</f>
        <v>15.1.7. Pénzügyi lízing kiadásai (K917)</v>
      </c>
      <c r="D267" s="1121" t="str">
        <f>+'13.mell_ÖNKfeladatok2020'!A200&amp;" "&amp;'13.mell_ÖNKfeladatok2020'!D200&amp;"-"&amp;'13.mell_ÖNKfeladatok2020'!F200</f>
        <v>31 Városi és elővárosi közúti személyszállítás (TOP 3.1.1.)-Városi és elővárosi közúti személyszállítás (TOP-3.1.1-15-HE1-2016-00007 Kerékpáros fejlesztés Boconád, Heves és Tarnaméra községekben)</v>
      </c>
      <c r="I267" s="1121"/>
      <c r="J267" s="1121"/>
      <c r="K267" s="1121"/>
      <c r="L267" s="1121"/>
      <c r="M267" s="1121"/>
      <c r="N267" s="1121"/>
    </row>
    <row r="268" spans="1:14" hidden="1">
      <c r="A268" s="1164"/>
      <c r="C268" s="1121" t="str">
        <f>'1.mell._Össz_Mérleg2020'!A202&amp;" "&amp;'1.mell._Össz_Mérleg2020'!B202</f>
        <v>15.1.8. Központi költségvetés sajátos finanszírozási kiadásai (K918)</v>
      </c>
      <c r="D268" s="1121" t="str">
        <f>+'13.mell_ÖNKfeladatok2020'!A201&amp;" "&amp;'13.mell_ÖNKfeladatok2020'!D201&amp;"-"&amp;'13.mell_ÖNKfeladatok2020'!F201</f>
        <v>32 Városi és elővárosi közúti személyszállítás (TOP 3.1.1.)-Városi és elővárosi közúti személyszállítás (TOP-3.1.1-16-HE1-2017-00003 Kerékpáros fejlesztés Heves és Hevesvezekény településeken)</v>
      </c>
      <c r="I268" s="1121"/>
      <c r="J268" s="1121"/>
      <c r="K268" s="1121"/>
      <c r="L268" s="1121"/>
      <c r="M268" s="1121"/>
      <c r="N268" s="1121"/>
    </row>
    <row r="269" spans="1:14" hidden="1">
      <c r="A269" s="1164"/>
      <c r="C269" s="1121" t="str">
        <f>'1.mell._Össz_Mérleg2020'!A203&amp;" "&amp;'1.mell._Össz_Mérleg2020'!B203</f>
        <v>15.1.9. Tulajdonosi kölcsönök kiadásai (K919)</v>
      </c>
      <c r="D269" s="1121" t="str">
        <f>+'13.mell_ÖNKfeladatok2020'!A202&amp;" "&amp;'13.mell_ÖNKfeladatok2020'!D202&amp;"-"&amp;'13.mell_ÖNKfeladatok2020'!F202</f>
        <v>33 Turizmusfejlesztési támogatások és tevékenységek (TOP 1.2.1.)-Turizmusfejlesztési támogatások és tevékenységek (TOP-1.2.1-15-HE1-2016-00005 a Halász-kúria turisztikai fejlesztése Heves Városban)</v>
      </c>
      <c r="I269" s="1121"/>
      <c r="J269" s="1121"/>
      <c r="K269" s="1121"/>
      <c r="L269" s="1121"/>
      <c r="M269" s="1121"/>
      <c r="N269" s="1121"/>
    </row>
    <row r="270" spans="1:14" hidden="1">
      <c r="A270" s="1164"/>
      <c r="C270" s="1121" t="str">
        <f>'1.mell._Össz_Mérleg2020'!A204&amp;" "&amp;'1.mell._Össz_Mérleg2020'!B204</f>
        <v>15.2. Külföldi finanszírozás kiadásai (K92)</v>
      </c>
      <c r="D270" s="1121" t="str">
        <f>+'13.mell_ÖNKfeladatok2020'!A203&amp;" "&amp;'13.mell_ÖNKfeladatok2020'!D203&amp;"-"&amp;'13.mell_ÖNKfeladatok2020'!F203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270" s="1121"/>
      <c r="J270" s="1121"/>
      <c r="K270" s="1121"/>
      <c r="L270" s="1121"/>
      <c r="M270" s="1121"/>
      <c r="N270" s="1121"/>
    </row>
    <row r="271" spans="1:14" hidden="1">
      <c r="A271" s="1164"/>
      <c r="C271" s="1121" t="str">
        <f>'1.mell._Össz_Mérleg2020'!A205&amp;" "&amp;'1.mell._Össz_Mérleg2020'!B205</f>
        <v>15.3. Adóssághoz nem kapcsolódó származékos ügyletek kiadásai (K93)</v>
      </c>
      <c r="D271" s="1121" t="str">
        <f>+'13.mell_ÖNKfeladatok2020'!A204&amp;" "&amp;'13.mell_ÖNKfeladatok2020'!D204&amp;"-"&amp;'13.mell_ÖNKfeladatok2020'!F204</f>
        <v>35 Településfejlesztési projektek és támogatásuk (TOP 2.1.2.)-Településfejlesztési projektek és támogatásuk ( TOP-2.1.2-15-HE1-2016-00004 Heves Város Zöld szíve)</v>
      </c>
      <c r="I271" s="1121"/>
      <c r="J271" s="1121"/>
      <c r="K271" s="1121"/>
      <c r="L271" s="1121"/>
      <c r="M271" s="1121"/>
      <c r="N271" s="1121"/>
    </row>
    <row r="272" spans="1:14" hidden="1">
      <c r="A272" s="1164"/>
      <c r="C272" s="1121" t="str">
        <f>'1.mell._Össz_Mérleg2020'!A206&amp;" "&amp;'1.mell._Össz_Mérleg2020'!B206</f>
        <v>15.4. Váltókiadások (K94)</v>
      </c>
      <c r="D272" s="1121" t="str">
        <f>+'13.mell_ÖNKfeladatok2020'!A205&amp;" "&amp;'13.mell_ÖNKfeladatok2020'!D205&amp;"-"&amp;'13.mell_ÖNKfeladatok2020'!F205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272" s="1121"/>
      <c r="J272" s="1121"/>
      <c r="K272" s="1121"/>
      <c r="L272" s="1121"/>
      <c r="M272" s="1121"/>
      <c r="N272" s="1121"/>
    </row>
    <row r="273" spans="1:14" hidden="1">
      <c r="A273" s="1164"/>
      <c r="C273" s="1121" t="str">
        <f>'1.mell._Össz_Mérleg2020'!A207&amp;" "&amp;'1.mell._Össz_Mérleg2020'!B207</f>
        <v>16. FINANSZÍROZÁSI KIADÁSOK ÖSSZESEN (K9) [=12.+14.]</v>
      </c>
      <c r="D273" s="1121" t="str">
        <f>+'13.mell_ÖNKfeladatok2020'!A206&amp;" "&amp;'13.mell_ÖNKfeladatok2020'!D206&amp;"-"&amp;'13.mell_ÖNKfeladatok2020'!F206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273" s="1121"/>
      <c r="J273" s="1121"/>
      <c r="K273" s="1121"/>
      <c r="L273" s="1121"/>
      <c r="M273" s="1121"/>
      <c r="N273" s="1121"/>
    </row>
    <row r="274" spans="1:14" hidden="1">
      <c r="A274" s="1164"/>
      <c r="C274" s="1121" t="str">
        <f>'1.mell._Össz_Mérleg2020'!A208&amp;" "&amp;'1.mell._Össz_Mérleg2020'!B208</f>
        <v>17. KIADÁSOK MINDÖSSZESEN [=11.+16.]</v>
      </c>
      <c r="D274" s="1121" t="str">
        <f>+'13.mell_ÖNKfeladatok2020'!A207&amp;" "&amp;'13.mell_ÖNKfeladatok2020'!D207&amp;"-"&amp;'13.mell_ÖNKfeladatok2020'!F207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274" s="1121"/>
      <c r="J274" s="1121"/>
      <c r="K274" s="1121"/>
      <c r="L274" s="1121"/>
      <c r="M274" s="1121"/>
      <c r="N274" s="1121"/>
    </row>
    <row r="275" spans="1:14" hidden="1">
      <c r="A275" s="1164"/>
      <c r="C275" s="1121" t="str">
        <f>'1.mell._Össz_Mérleg2020'!A209&amp;" "&amp;'1.mell._Össz_Mérleg2020'!B209</f>
        <v xml:space="preserve"> </v>
      </c>
      <c r="D275" s="1121" t="str">
        <f>+'13.mell_ÖNKfeladatok2020'!A208&amp;" "&amp;'13.mell_ÖNKfeladatok2020'!D208&amp;"-"&amp;'13.mell_ÖNKfeladatok2020'!F208</f>
        <v>39 Család- és gyermekjóléti szolgáltatások  (TOP 4.2.1.)-Gyermekjóléti szolgáltatás (TOP-4.2.1-15-HE1-2016-00014 Dél-Hevesi Kistérség Gyermekjóléti Központja és Családsegítő Szolgálatának fejlesztése)</v>
      </c>
      <c r="I275" s="1121"/>
      <c r="J275" s="1121"/>
      <c r="K275" s="1121"/>
      <c r="L275" s="1121"/>
      <c r="M275" s="1121"/>
      <c r="N275" s="1121"/>
    </row>
    <row r="276" spans="1:14" hidden="1">
      <c r="A276" s="1164"/>
      <c r="C276" s="1121" t="str">
        <f>'1.mell._Össz_Mérleg2020'!A210&amp;" "&amp;'1.mell._Össz_Mérleg2020'!B210</f>
        <v xml:space="preserve"> </v>
      </c>
      <c r="D276" s="1121" t="str">
        <f>+'13.mell_ÖNKfeladatok2020'!A209&amp;" "&amp;'13.mell_ÖNKfeladatok2020'!D209&amp;"-"&amp;'13.mell_ÖNKfeladatok2020'!F209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276" s="1121"/>
      <c r="J276" s="1121"/>
      <c r="K276" s="1121"/>
      <c r="L276" s="1121"/>
      <c r="M276" s="1121"/>
      <c r="N276" s="1121"/>
    </row>
    <row r="277" spans="1:14" hidden="1">
      <c r="A277" s="1164"/>
      <c r="C277" s="1121" t="str">
        <f>'1.mell._Össz_Mérleg2020'!A211&amp;" "&amp;'1.mell._Össz_Mérleg2020'!B211</f>
        <v xml:space="preserve">KÖLTSÉGVETÉSI BEVÉTELEK ÉS KIADÁSOK EGYENLEGE </v>
      </c>
      <c r="D277" s="1121" t="str">
        <f>+'13.mell_ÖNKfeladatok2020'!A210&amp;" "&amp;'13.mell_ÖNKfeladatok2020'!D210&amp;"-"&amp;'13.mell_ÖNKfeladatok2020'!F210</f>
        <v>41 Háziorvosi alapellátás-Gyógyító-megelőző ellátások finanszírozása</v>
      </c>
      <c r="I277" s="1121"/>
      <c r="J277" s="1121"/>
      <c r="K277" s="1121"/>
      <c r="L277" s="1121"/>
      <c r="M277" s="1121"/>
      <c r="N277" s="1121"/>
    </row>
    <row r="278" spans="1:14" hidden="1">
      <c r="A278" s="1164"/>
      <c r="C278" s="1121" t="str">
        <f>'1.mell._Össz_Mérleg2020'!A212&amp;" "&amp;'1.mell._Össz_Mérleg2020'!B212</f>
        <v xml:space="preserve">3. táblázat </v>
      </c>
      <c r="D278" s="1121" t="str">
        <f>+'13.mell_ÖNKfeladatok2020'!A211&amp;" "&amp;'13.mell_ÖNKfeladatok2020'!D211&amp;"-"&amp;'13.mell_ÖNKfeladatok2020'!F211</f>
        <v>42 Háziorvosi ügyeleti ellátás-Háziorvosi ügyeleti ellátás</v>
      </c>
      <c r="I278" s="1121"/>
      <c r="J278" s="1121"/>
      <c r="K278" s="1121"/>
      <c r="L278" s="1121"/>
      <c r="M278" s="1121"/>
      <c r="N278" s="1121"/>
    </row>
    <row r="279" spans="1:14" hidden="1">
      <c r="A279" s="1164"/>
      <c r="C279" s="1121" t="str">
        <f>'1.mell._Össz_Mérleg2020'!A213&amp;" "&amp;'1.mell._Össz_Mérleg2020'!B213</f>
        <v>1. KÖLTSÉGVETÉSI HIÁNY, TÖBBLET (+/-) [=1.1.+1.2.]</v>
      </c>
      <c r="D279" s="1121" t="str">
        <f>+'13.mell_ÖNKfeladatok2020'!A212&amp;" "&amp;'13.mell_ÖNKfeladatok2020'!D212&amp;"-"&amp;'13.mell_ÖNKfeladatok2020'!F212</f>
        <v>43 Járóbetegek gyógyító szakellátása-Járóbetegek gyógyító szakellátása</v>
      </c>
      <c r="I279" s="1121"/>
      <c r="J279" s="1121"/>
      <c r="K279" s="1121"/>
      <c r="L279" s="1121"/>
      <c r="M279" s="1121"/>
      <c r="N279" s="1121"/>
    </row>
    <row r="280" spans="1:14" hidden="1">
      <c r="A280" s="1164"/>
      <c r="C280" s="1121" t="str">
        <f>'1.mell._Össz_Mérleg2020'!A214&amp;" "&amp;'1.mell._Össz_Mérleg2020'!B214</f>
        <v>1.1. Működési célú költségvetési hiány, többlet (+/-) [=1. melléklet 1. táblázat 1. sor - 1. melléklet 2. táblázat 1. sor]</v>
      </c>
      <c r="D280" s="1121" t="str">
        <f>+'13.mell_ÖNKfeladatok2020'!A213&amp;" "&amp;'13.mell_ÖNKfeladatok2020'!D213&amp;"-"&amp;'13.mell_ÖNKfeladatok2020'!F213</f>
        <v>44 Fogorvosi alapellátás-Fogorvosi alapellátás</v>
      </c>
      <c r="I280" s="1121"/>
      <c r="J280" s="1121"/>
      <c r="K280" s="1121"/>
      <c r="L280" s="1121"/>
      <c r="M280" s="1121"/>
      <c r="N280" s="1121"/>
    </row>
    <row r="281" spans="1:14" hidden="1">
      <c r="A281" s="1164"/>
      <c r="C281" s="1121" t="str">
        <f>'1.mell._Össz_Mérleg2020'!A215&amp;" "&amp;'1.mell._Össz_Mérleg2020'!B215</f>
        <v>1.2. Felhalmozási célú költségvetési hiány, többlet (+/-) [=1. melléklet 1. táblázat 6. sor - 1. melléklet 2. táblázat 7. sor]</v>
      </c>
      <c r="D281" s="1121" t="str">
        <f>+'13.mell_ÖNKfeladatok2020'!A214&amp;" "&amp;'13.mell_ÖNKfeladatok2020'!D214&amp;"-"&amp;'13.mell_ÖNKfeladatok2020'!F214</f>
        <v>45 Család és nővédelmi egészségügyi gondozás-Család- és nővédelmi egészségügyi gondozás</v>
      </c>
      <c r="I281" s="1121"/>
      <c r="J281" s="1121"/>
      <c r="K281" s="1121"/>
      <c r="L281" s="1121"/>
      <c r="M281" s="1121"/>
      <c r="N281" s="1121"/>
    </row>
    <row r="282" spans="1:14" hidden="1">
      <c r="A282" s="1164"/>
      <c r="C282" s="1121" t="str">
        <f>'1.mell._Össz_Mérleg2020'!A216&amp;" "&amp;'1.mell._Össz_Mérleg2020'!B216</f>
        <v xml:space="preserve"> </v>
      </c>
      <c r="D282" s="1121" t="str">
        <f>+'13.mell_ÖNKfeladatok2020'!A215&amp;" "&amp;'13.mell_ÖNKfeladatok2020'!D215&amp;"-"&amp;'13.mell_ÖNKfeladatok2020'!F215</f>
        <v>46 Ifjúság-egészségügyi gondozás-Ifjúság-egészségügyi gondozás</v>
      </c>
      <c r="I282" s="1121"/>
      <c r="J282" s="1121"/>
      <c r="K282" s="1121"/>
      <c r="L282" s="1121"/>
      <c r="M282" s="1121"/>
      <c r="N282" s="1121"/>
    </row>
    <row r="283" spans="1:14" hidden="1">
      <c r="A283" s="1164"/>
      <c r="C283" s="1121" t="str">
        <f>'1.mell._Össz_Mérleg2020'!A217&amp;" "&amp;'1.mell._Össz_Mérleg2020'!B217</f>
        <v xml:space="preserve"> </v>
      </c>
      <c r="D283" s="1121" t="str">
        <f>+'13.mell_ÖNKfeladatok2020'!A216&amp;" "&amp;'13.mell_ÖNKfeladatok2020'!D216&amp;"-"&amp;'13.mell_ÖNKfeladatok2020'!F216</f>
        <v xml:space="preserve">47 Sportlétesítmények, edzőtáborok működtetése és fejlesztése-Sportlétesítmények működtetése és fejlesztése </v>
      </c>
      <c r="I283" s="1121"/>
      <c r="J283" s="1121"/>
      <c r="K283" s="1121"/>
      <c r="L283" s="1121"/>
      <c r="M283" s="1121"/>
      <c r="N283" s="1121"/>
    </row>
    <row r="284" spans="1:14" hidden="1">
      <c r="A284" s="1164"/>
      <c r="C284" s="1121" t="str">
        <f>'1.mell._Össz_Mérleg2020'!A218&amp;" "&amp;'1.mell._Össz_Mérleg2020'!B218</f>
        <v xml:space="preserve">FINANSZÍROZÁSI CÉLÚ BEVÉTELEK ÉS KIADÁSOK EGYENLEGE </v>
      </c>
      <c r="D284" s="1121" t="str">
        <f>+'13.mell_ÖNKfeladatok2020'!A217&amp;" "&amp;'13.mell_ÖNKfeladatok2020'!D217&amp;"-"&amp;'13.mell_ÖNKfeladatok2020'!F217</f>
        <v xml:space="preserve">48 Versenysport-és utánpótlás-nevelési tevékenység-Versenysport-tevékenység és támogatása </v>
      </c>
      <c r="I284" s="1121"/>
      <c r="J284" s="1121"/>
      <c r="K284" s="1121"/>
      <c r="L284" s="1121"/>
      <c r="M284" s="1121"/>
      <c r="N284" s="1121"/>
    </row>
    <row r="285" spans="1:14" hidden="1">
      <c r="A285" s="1164"/>
      <c r="C285" s="1121" t="str">
        <f>'1.mell._Össz_Mérleg2020'!A219&amp;" "&amp;'1.mell._Össz_Mérleg2020'!B219</f>
        <v xml:space="preserve">4. táblázat </v>
      </c>
      <c r="D285" s="1121" t="str">
        <f>+'13.mell_ÖNKfeladatok2020'!A218&amp;" "&amp;'13.mell_ÖNKfeladatok2020'!D218&amp;"-"&amp;'13.mell_ÖNKfeladatok2020'!F218</f>
        <v>49 Iskolai, diáksport-tevékenység és támogatása-Iskolai, diáksport-tevékenység és támogatása</v>
      </c>
      <c r="I285" s="1121"/>
      <c r="J285" s="1121"/>
      <c r="K285" s="1121"/>
      <c r="L285" s="1121"/>
      <c r="M285" s="1121"/>
      <c r="N285" s="1121"/>
    </row>
    <row r="286" spans="1:14" hidden="1">
      <c r="A286" s="1164"/>
      <c r="C286" s="1121" t="str">
        <f>'1.mell._Össz_Mérleg2020'!A220&amp;" "&amp;'1.mell._Össz_Mérleg2020'!B220</f>
        <v>1. FINANSZÍROZÁSI MŰVELETEK EGYENLEGE (+/-) [=2.+3.]</v>
      </c>
      <c r="D286" s="1121" t="str">
        <f>+'13.mell_ÖNKfeladatok2020'!A219&amp;" "&amp;'13.mell_ÖNKfeladatok2020'!D219&amp;"-"&amp;'13.mell_ÖNKfeladatok2020'!F219</f>
        <v>50 Betegséggel kapcsolatos pénzbeli ellátások, támogatások-Települési támogatás (gyógyszerkiadási támogatás)</v>
      </c>
      <c r="I286" s="1121"/>
      <c r="J286" s="1121"/>
      <c r="K286" s="1121"/>
      <c r="L286" s="1121"/>
      <c r="M286" s="1121"/>
      <c r="N286" s="1121"/>
    </row>
    <row r="287" spans="1:14" hidden="1">
      <c r="A287" s="1164"/>
      <c r="C287" s="1121" t="str">
        <f>'1.mell._Össz_Mérleg2020'!A221&amp;" "&amp;'1.mell._Össz_Mérleg2020'!B221</f>
        <v>2. Működési finanszírozási műveletek egyenlege (+/-) [=2.1.-2.2.]</v>
      </c>
      <c r="D287" s="1121" t="str">
        <f>+'13.mell_ÖNKfeladatok2020'!A220&amp;" "&amp;'13.mell_ÖNKfeladatok2020'!D220&amp;"-"&amp;'13.mell_ÖNKfeladatok2020'!F220</f>
        <v>51 Elhunyt személyek hátramaradottainak pénzbeli ellátása-Települési támogatás (temetési segély)</v>
      </c>
      <c r="I287" s="1121"/>
      <c r="J287" s="1121"/>
      <c r="K287" s="1121"/>
      <c r="L287" s="1121"/>
      <c r="M287" s="1121"/>
      <c r="N287" s="1121"/>
    </row>
    <row r="288" spans="1:14" hidden="1">
      <c r="A288" s="1164"/>
      <c r="C288" s="1121" t="str">
        <f>'1.mell._Össz_Mérleg2020'!A222&amp;" "&amp;'1.mell._Össz_Mérleg2020'!B222</f>
        <v>2.1. Működési finanszírozási műveletek bevételei [=2.1.1.+2.1.2.]</v>
      </c>
      <c r="D288" s="1121" t="str">
        <f>+'13.mell_ÖNKfeladatok2020'!A221&amp;" "&amp;'13.mell_ÖNKfeladatok2020'!D221&amp;"-"&amp;'13.mell_ÖNKfeladatok2020'!F221</f>
        <v>52 Intézményen kívüli gyermekétkeztetés-Intézményen kívüli gyermekétkeztetés</v>
      </c>
      <c r="I288" s="1121"/>
      <c r="J288" s="1121"/>
      <c r="K288" s="1121"/>
      <c r="L288" s="1121"/>
      <c r="M288" s="1121"/>
      <c r="N288" s="1121"/>
    </row>
    <row r="289" spans="1:14" hidden="1">
      <c r="A289" s="1164"/>
      <c r="C289" s="1121" t="str">
        <f>'1.mell._Össz_Mérleg2020'!A223&amp;" "&amp;'1.mell._Össz_Mérleg2020'!B223</f>
        <v>2.1.1. Működési célú belső finanszírozási műveletek bevételei [=1. melléklet 1. táblázat 12.1.3.+12.1.7. sor]</v>
      </c>
      <c r="D289" s="1121" t="str">
        <f>+'13.mell_ÖNKfeladatok2020'!A222&amp;" "&amp;'13.mell_ÖNKfeladatok2020'!D222&amp;"-"&amp;'13.mell_ÖNKfeladatok2020'!F222</f>
        <v xml:space="preserve">53 Gyermekvédelmi pénzbeli és természetbeni ellátások-Rendszeres gyermekvédelmi pénzbeli ellátás </v>
      </c>
      <c r="I289" s="1121"/>
      <c r="J289" s="1121"/>
      <c r="K289" s="1121"/>
      <c r="L289" s="1121"/>
      <c r="M289" s="1121"/>
      <c r="N289" s="1121"/>
    </row>
    <row r="290" spans="1:14" hidden="1">
      <c r="A290" s="1164"/>
      <c r="C290" s="1121" t="str">
        <f>'1.mell._Össz_Mérleg2020'!A224&amp;" "&amp;'1.mell._Össz_Mérleg2020'!B224</f>
        <v>2.1.2. Működési célú külső finanszírozási műveletek bevételei [=1. melléklet 1. táblázat 12.1.1.+12.1.2.+12.1.4+…+12.1.6.+12.1.8. sor]</v>
      </c>
      <c r="D290" s="1121" t="str">
        <f>+'13.mell_ÖNKfeladatok2020'!A223&amp;" "&amp;'13.mell_ÖNKfeladatok2020'!D223&amp;"-"&amp;'13.mell_ÖNKfeladatok2020'!F223</f>
        <v xml:space="preserve">54 Gyermekvédelmi pénzbeli és természetbeni ellátások-Kiegészítő gyermekvédelmi támogatás </v>
      </c>
      <c r="I290" s="1121"/>
      <c r="J290" s="1121"/>
      <c r="K290" s="1121"/>
      <c r="L290" s="1121"/>
      <c r="M290" s="1121"/>
      <c r="N290" s="1121"/>
    </row>
    <row r="291" spans="1:14" hidden="1">
      <c r="A291" s="1164"/>
      <c r="C291" s="1121" t="str">
        <f>'1.mell._Össz_Mérleg2020'!A225&amp;" "&amp;'1.mell._Össz_Mérleg2020'!B225</f>
        <v>2.2. Működési finanszírozási műveletek kiadásai [=2.2.1.+2.2.2.]</v>
      </c>
      <c r="D291" s="1121" t="str">
        <f>+'13.mell_ÖNKfeladatok2020'!A224&amp;" "&amp;'13.mell_ÖNKfeladatok2020'!D224&amp;"-"&amp;'13.mell_ÖNKfeladatok2020'!F224</f>
        <v>55 Gyermekvédelmi pénzbeli és természetbeni ellátások-Rendkívüli gyermekvédelmi támogatás</v>
      </c>
      <c r="I291" s="1121"/>
      <c r="J291" s="1121"/>
      <c r="K291" s="1121"/>
      <c r="L291" s="1121"/>
      <c r="M291" s="1121"/>
      <c r="N291" s="1121"/>
    </row>
    <row r="292" spans="1:14" hidden="1">
      <c r="A292" s="1164"/>
      <c r="C292" s="1121" t="str">
        <f>'1.mell._Össz_Mérleg2020'!A226&amp;" "&amp;'1.mell._Össz_Mérleg2020'!B226</f>
        <v>2.2.1. Működési célú belső finanszírozási műveletek kiadásai (belső finanszírozás) [=1. melléklet 2. táblázat 13.1.6. sor]</v>
      </c>
      <c r="D292" s="1121" t="str">
        <f>+'13.mell_ÖNKfeladatok2020'!A225&amp;" "&amp;'13.mell_ÖNKfeladatok2020'!D225&amp;"-"&amp;'13.mell_ÖNKfeladatok2020'!F225</f>
        <v>56 Településfejlesztési projektek és támogatásuk (TOP 5.2.1.)-Településfejlesztési projektek és támogatásuk (TOP-5.2.1-15-HE1-2016-00004 Komplex társadalmi együttműködési program Heves városában)</v>
      </c>
      <c r="I292" s="1121"/>
      <c r="J292" s="1121"/>
      <c r="K292" s="1121"/>
      <c r="L292" s="1121"/>
      <c r="M292" s="1121"/>
      <c r="N292" s="1121"/>
    </row>
    <row r="293" spans="1:14" hidden="1">
      <c r="A293" s="1164"/>
      <c r="C293" s="1121" t="str">
        <f>'1.mell._Össz_Mérleg2020'!A227&amp;" "&amp;'1.mell._Össz_Mérleg2020'!B227</f>
        <v>2.2.2. Működési célú külső finanszírozási műveletek kiadásai [=1. melléklet 2. táblázat 13.1.1.+…+13.1.5.+13.1.7.+13.1.8. sor]</v>
      </c>
      <c r="D293" s="1121" t="str">
        <f>+'13.mell_ÖNKfeladatok2020'!A226&amp;" "&amp;'13.mell_ÖNKfeladatok2020'!D226&amp;"-"&amp;'13.mell_ÖNKfeladatok2020'!F226</f>
        <v>57 A gyermekek, fiatalok és családok életminőségét javító programok-Hátrányos helyzetű kistérségek speciális komplex felzárkóztató programjai (TÁMOP Komplex)</v>
      </c>
      <c r="I293" s="1121"/>
      <c r="J293" s="1121"/>
      <c r="K293" s="1121"/>
      <c r="L293" s="1121"/>
      <c r="M293" s="1121"/>
      <c r="N293" s="1121"/>
    </row>
    <row r="294" spans="1:14" hidden="1">
      <c r="A294" s="1164"/>
      <c r="C294" s="1121" t="str">
        <f>'1.mell._Össz_Mérleg2020'!A228&amp;" "&amp;'1.mell._Össz_Mérleg2020'!B228</f>
        <v>3. Felhalmozási finanszírozási műveletek egyenlege (+/-) [=3.1-3.2.]</v>
      </c>
      <c r="D294" s="1121" t="str">
        <f>+'13.mell_ÖNKfeladatok2020'!A227&amp;" "&amp;'13.mell_ÖNKfeladatok2020'!D227&amp;"-"&amp;'13.mell_ÖNKfeladatok2020'!F227</f>
        <v>58 Lakóingatlan szociális célú bérbeadása, üzemeltetése-Lakóingatlan szociális célú bérbeadása, üzemeltetése</v>
      </c>
      <c r="I294" s="1121"/>
      <c r="J294" s="1121"/>
      <c r="K294" s="1121"/>
      <c r="L294" s="1121"/>
      <c r="M294" s="1121"/>
      <c r="N294" s="1121"/>
    </row>
    <row r="295" spans="1:14" hidden="1">
      <c r="A295" s="1164"/>
      <c r="C295" s="1121" t="str">
        <f>'1.mell._Össz_Mérleg2020'!A229&amp;" "&amp;'1.mell._Össz_Mérleg2020'!B229</f>
        <v>3.1. Felhalmozási finanszírozási műveletek bevételei [=3.1.1.+3.1.2.]</v>
      </c>
      <c r="D295" s="1121" t="str">
        <f>+'13.mell_ÖNKfeladatok2020'!A228&amp;" "&amp;'13.mell_ÖNKfeladatok2020'!D228&amp;"-"&amp;'13.mell_ÖNKfeladatok2020'!F228</f>
        <v>59 Lakásfenntartással, lakhatással összefüggő ellátások-Települési támogatás (lakásfenntartási támogatás)</v>
      </c>
      <c r="I295" s="1121"/>
      <c r="J295" s="1121"/>
      <c r="K295" s="1121"/>
      <c r="L295" s="1121"/>
      <c r="M295" s="1121"/>
      <c r="N295" s="1121"/>
    </row>
    <row r="296" spans="1:14" hidden="1">
      <c r="A296" s="1164"/>
      <c r="C296" s="1121" t="str">
        <f>'1.mell._Össz_Mérleg2020'!A230&amp;" "&amp;'1.mell._Össz_Mérleg2020'!B230</f>
        <v>3.1.1. Felhalmozási célú belső finanszírozási műveletek bevételei [=1. melléklet 1. táblázat 14.1.3.+14.1.7. sor]</v>
      </c>
      <c r="D296" s="1121" t="str">
        <f>+'13.mell_ÖNKfeladatok2020'!A229&amp;" "&amp;'13.mell_ÖNKfeladatok2020'!D229&amp;"-"&amp;'13.mell_ÖNKfeladatok2020'!F229</f>
        <v>60 Egyéb szociális pénzbeli ellátások, támogatások-Települési támogatás (egyéb rendkívüli támogatás)</v>
      </c>
      <c r="I296" s="1121"/>
      <c r="J296" s="1121"/>
      <c r="K296" s="1121"/>
      <c r="L296" s="1121"/>
      <c r="M296" s="1121"/>
      <c r="N296" s="1121"/>
    </row>
    <row r="297" spans="1:14" hidden="1">
      <c r="A297" s="1164"/>
      <c r="C297" s="1121" t="str">
        <f>'1.mell._Össz_Mérleg2020'!A231&amp;" "&amp;'1.mell._Össz_Mérleg2020'!B231</f>
        <v>3.1.2. Felhalmozási célú külső finanszírozási műveletek bevételei [=1. melléklet 1. táblázat 14.1.1.+14.1.2.+14.1.4+…+14.1.6.+14.1.8. sor]</v>
      </c>
      <c r="D297" s="1121" t="str">
        <f>+'13.mell_ÖNKfeladatok2020'!A230&amp;" "&amp;'13.mell_ÖNKfeladatok2020'!D230&amp;"-"&amp;'13.mell_ÖNKfeladatok2020'!F230</f>
        <v>61 Egyéb szociális természetbeni és pénzbeli ellátások-Köztemetés</v>
      </c>
      <c r="I297" s="1121"/>
      <c r="J297" s="1121"/>
      <c r="K297" s="1121"/>
      <c r="L297" s="1121"/>
      <c r="M297" s="1121"/>
      <c r="N297" s="1121"/>
    </row>
    <row r="298" spans="1:14" hidden="1">
      <c r="A298" s="1164"/>
      <c r="C298" s="1121" t="str">
        <f>'1.mell._Össz_Mérleg2020'!A232&amp;" "&amp;'1.mell._Össz_Mérleg2020'!B232</f>
        <v>3.2. Felhalmozási finanszírozási műveletek kiadásai [=3.2.1.+3.2.2.]</v>
      </c>
      <c r="D298" s="1121" t="str">
        <f>+'13.mell_ÖNKfeladatok2020'!A231&amp;" "&amp;'13.mell_ÖNKfeladatok2020'!D231&amp;"-"&amp;'13.mell_ÖNKfeladatok2020'!F231</f>
        <v>62 Az önkormányzati vagyonnal való gazdálkodással kapcsolatos feladatok (TOP 1.1.1.)-Nem lakóingatlan bérbeadása, üzemeltetése (TOP-1.1.1-16HE1-2017-00002 Iparterület kialakítása Heves Városban)</v>
      </c>
      <c r="I298" s="1121"/>
      <c r="J298" s="1121"/>
      <c r="K298" s="1121"/>
      <c r="L298" s="1121"/>
      <c r="M298" s="1121"/>
      <c r="N298" s="1121"/>
    </row>
    <row r="299" spans="1:14" hidden="1">
      <c r="A299" s="1164"/>
      <c r="C299" s="1121" t="str">
        <f>'1.mell._Össz_Mérleg2020'!A233&amp;" "&amp;'1.mell._Össz_Mérleg2020'!B233</f>
        <v>3.2.1. Felhalmozási célú belső finanszírozási műveletek kiadásai (belső finanszírozás) [=1. melléklet 2. táblázat 15.1.6. sor]</v>
      </c>
      <c r="D299" s="1121" t="str">
        <f>+'13.mell_ÖNKfeladatok2020'!A232&amp;" "&amp;'13.mell_ÖNKfeladatok2020'!D232&amp;"-"&amp;'13.mell_ÖNKfeladatok2020'!F232</f>
        <v>63 Turizmusfejlesztési támogatások és tevékenységek (TOP 1.2.1.)-Turizmusfejlesztési támogatások és tevékenységek (TOP-1.2.1-16-HE1-2017-00010 Az első magyar sakkmúzeum fejlesztése Hevesen)</v>
      </c>
      <c r="I299" s="1121"/>
      <c r="J299" s="1121"/>
      <c r="K299" s="1121"/>
      <c r="L299" s="1121"/>
      <c r="M299" s="1121"/>
      <c r="N299" s="1121"/>
    </row>
    <row r="300" spans="1:14" hidden="1">
      <c r="A300" s="1164"/>
      <c r="C300" s="1121" t="str">
        <f>'1.mell._Össz_Mérleg2020'!A234&amp;" "&amp;'1.mell._Össz_Mérleg2020'!B234</f>
        <v>3.2.2. Felhalmozási célú külső finanszírozási műveletek kiadásai [=1. melléklet 2. táblázat 15.1.1.+…+15.1.5.+15.1.7.+15.1.8. sor]</v>
      </c>
      <c r="D300" s="1121" t="str">
        <f>+'13.mell_ÖNKfeladatok2020'!A233&amp;" "&amp;'13.mell_ÖNKfeladatok2020'!D233&amp;"-"&amp;'13.mell_ÖNKfeladatok2020'!F233</f>
        <v>64 Településfejlesztési projektek és támogatásuk (TOP 4.3.1.)-Településfejlesztési projektek és támogatásuk ( TOP-4.3.1-15HE1-2016-00014 Leromlott területek rehabilitációja Heves városban)</v>
      </c>
      <c r="I300" s="1121"/>
      <c r="J300" s="1121"/>
      <c r="K300" s="1121"/>
      <c r="L300" s="1121"/>
      <c r="M300" s="1121"/>
      <c r="N300" s="1121"/>
    </row>
    <row r="301" spans="1:14" hidden="1">
      <c r="A301" s="1164"/>
      <c r="C301" s="1121" t="str">
        <f>'1.mell._Össz_Mérleg2020'!A235&amp;" "&amp;'1.mell._Össz_Mérleg2020'!B235</f>
        <v xml:space="preserve"> </v>
      </c>
      <c r="D301" s="1121" t="str">
        <f>+'13.mell_ÖNKfeladatok2020'!A234&amp;" "&amp;'13.mell_ÖNKfeladatok2020'!D234&amp;"-"&amp;'13.mell_ÖNKfeladatok2020'!F234</f>
        <v>65 Egészségügy igazgatása (EFOP 1.8.2.)-Egészségügy igazgatása (EFOP -1.8.2-17-2017-00006 Praxisközösség létrehozása a Hevesi járásban)</v>
      </c>
      <c r="I301" s="1121"/>
      <c r="J301" s="1121"/>
      <c r="K301" s="1121"/>
      <c r="L301" s="1121"/>
      <c r="M301" s="1121"/>
      <c r="N301" s="1121"/>
    </row>
    <row r="302" spans="1:14" hidden="1">
      <c r="A302" s="1164"/>
      <c r="C302" s="1121" t="str">
        <f>'1.mell._Össz_Mérleg2020'!A236&amp;" "&amp;'1.mell._Össz_Mérleg2020'!B236</f>
        <v xml:space="preserve"> </v>
      </c>
      <c r="D302" s="1121" t="str">
        <f>+'13.mell_ÖNKfeladatok2020'!A235&amp;" "&amp;'13.mell_ÖNKfeladatok2020'!D235&amp;"-"&amp;'13.mell_ÖNKfeladatok2020'!F235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302" s="1121"/>
      <c r="J302" s="1121"/>
      <c r="K302" s="1121"/>
      <c r="L302" s="1121"/>
      <c r="M302" s="1121"/>
      <c r="N302" s="1121"/>
    </row>
    <row r="303" spans="1:14" hidden="1">
      <c r="A303" s="1164"/>
      <c r="C303" s="1121" t="str">
        <f>'1.mell._Össz_Mérleg2020'!A237&amp;" "&amp;'1.mell._Össz_Mérleg2020'!B237</f>
        <v xml:space="preserve"> 2020. ÉVI LÉTSZÁMKERET </v>
      </c>
      <c r="D303" s="1121" t="str">
        <f>+'13.mell_ÖNKfeladatok2020'!A236&amp;" "&amp;'13.mell_ÖNKfeladatok2020'!D236&amp;"-"&amp;'13.mell_ÖNKfeladatok2020'!F236</f>
        <v>67 Iskolarendszeren kívüli egyéb oktatás, képzés (EFOP 3.9.2.)-Iskolarendszeren kívüli egyéb oktatás, képzés (EFOP -3.9.2-16-2017-00024 Humán szolgáltatások fejlesztése a Hevesi járásban)</v>
      </c>
      <c r="I303" s="1121"/>
      <c r="J303" s="1121"/>
      <c r="K303" s="1121"/>
      <c r="L303" s="1121"/>
      <c r="M303" s="1121"/>
      <c r="N303" s="1121"/>
    </row>
    <row r="304" spans="1:14" hidden="1">
      <c r="A304" s="1164"/>
      <c r="C304" s="1121" t="str">
        <f>'1.mell._Össz_Mérleg2020'!A238&amp;" "&amp;'1.mell._Össz_Mérleg2020'!B238</f>
        <v xml:space="preserve">5. táblázat </v>
      </c>
      <c r="D304" s="1121" t="str">
        <f>+'13.mell_ÖNKfeladatok2020'!A237&amp;" "&amp;'13.mell_ÖNKfeladatok2020'!D237&amp;"-"&amp;'13.mell_ÖNKfeladatok2020'!F237</f>
        <v>68 A gyermekek, fiatalok és családok életminőségét javító programok (EFOP 1.4.2.)-Hátrányos helyzetű kistérségek speciális komplex felzárkóztató programjai (EFOP-1.4.2-16-2016-00030)</v>
      </c>
      <c r="I304" s="1121"/>
      <c r="J304" s="1121"/>
      <c r="K304" s="1121"/>
      <c r="L304" s="1121"/>
      <c r="M304" s="1121"/>
      <c r="N304" s="1121"/>
    </row>
    <row r="305" spans="1:14" hidden="1">
      <c r="A305" s="1164"/>
      <c r="C305" s="1121" t="str">
        <f>'1.mell._Össz_Mérleg2020'!A239&amp;" "&amp;'1.mell._Össz_Mérleg2020'!B239</f>
        <v>1. Éves engedélyezett létszám előirányzat (fő)</v>
      </c>
      <c r="D305" s="1121" t="str">
        <f>+'13.mell_ÖNKfeladatok2020'!A238&amp;" "&amp;'13.mell_ÖNKfeladatok2020'!D238&amp;"-"&amp;'13.mell_ÖNKfeladatok2020'!F238</f>
        <v>69 Turizmusfejlesztési támogatások és tevékenységek (TOP 1.2.1.)-Turizmusfejlesztési támogatások és tevékenységek (TOP-1.2.1-16-HE1-2017-00009 Ökoturisztikai fejlesztés Heves Városban)</v>
      </c>
      <c r="I305" s="1121"/>
      <c r="J305" s="1121"/>
      <c r="K305" s="1121"/>
      <c r="L305" s="1121"/>
      <c r="M305" s="1121"/>
      <c r="N305" s="1121"/>
    </row>
    <row r="306" spans="1:14" hidden="1">
      <c r="A306" s="1164"/>
      <c r="C306" s="1121" t="str">
        <f>'1.mell._Össz_Mérleg2020'!A240&amp;" "&amp;'1.mell._Össz_Mérleg2020'!B240</f>
        <v>1.a. - ebből: EU-s forrásból finanszírozott támogatással megvalósuló programok, projekteklétszáma</v>
      </c>
      <c r="D306" s="1121" t="str">
        <f>+'13.mell_ÖNKfeladatok2020'!A239&amp;" "&amp;'13.mell_ÖNKfeladatok2020'!D239&amp;"-"&amp;'13.mell_ÖNKfeladatok2020'!F239</f>
        <v>70 Piac üzemeltetése (TOP 1.1.3.)-Piac üzemeltetése (TOP-1.1.3-16-HE1-2017-00007 A helyi gazdaság fejlesztése Heves városban)</v>
      </c>
      <c r="I306" s="1121"/>
      <c r="J306" s="1121"/>
      <c r="K306" s="1121"/>
      <c r="L306" s="1121"/>
      <c r="M306" s="1121"/>
      <c r="N306" s="1121"/>
    </row>
    <row r="307" spans="1:14" hidden="1">
      <c r="A307" s="1164"/>
      <c r="C307" s="1121" t="str">
        <f>'1.mell._Össz_Mérleg2020'!A241&amp;" "&amp;'1.mell._Össz_Mérleg2020'!B241</f>
        <v>2. Közfoglalkoztatottak létszáma (fő)</v>
      </c>
      <c r="D307" s="1121" t="str">
        <f>+'13.mell_ÖNKfeladatok2020'!A240&amp;" "&amp;'13.mell_ÖNKfeladatok2020'!D240&amp;"-"&amp;'13.mell_ÖNKfeladatok2020'!F240</f>
        <v>71 Településfejlesztési projektek és támogatásuk (TOP 2.1.2.)-Településfejlesztési projektek és támogatásuk (TOP-2.1.2-16-HE1-2017-00001 A hevesi Vicán-tó és környezetének fejlesztése)</v>
      </c>
      <c r="I307" s="1121"/>
      <c r="J307" s="1121"/>
      <c r="K307" s="1121"/>
      <c r="L307" s="1121"/>
      <c r="M307" s="1121"/>
      <c r="N307" s="1121"/>
    </row>
    <row r="308" spans="1:14" hidden="1">
      <c r="A308" s="1164"/>
      <c r="C308" s="1121" t="str">
        <f>'1.mell._Össz_Mérleg2020'!A242&amp;" "&amp;'1.mell._Össz_Mérleg2020'!B242</f>
        <v>3. MINDÖSSZESEN LÉTSZÁM (fő) [=1.+2.]</v>
      </c>
      <c r="D308" s="1121" t="str">
        <f>+'13.mell_ÖNKfeladatok2020'!A241&amp;" "&amp;'13.mell_ÖNKfeladatok2020'!D241&amp;"-"&amp;'13.mell_ÖNKfeladatok2020'!F241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308" s="1121"/>
      <c r="J308" s="1121"/>
      <c r="K308" s="1121"/>
      <c r="L308" s="1121"/>
      <c r="M308" s="1121"/>
      <c r="N308" s="1121"/>
    </row>
    <row r="309" spans="1:14" hidden="1">
      <c r="D309" s="1121" t="str">
        <f>+'13.mell_ÖNKfeladatok2020'!A242&amp;" "&amp;'13.mell_ÖNKfeladatok2020'!D242&amp;"-"&amp;'13.mell_ÖNKfeladatok2020'!F242</f>
        <v>73 Forgatási és befektetési célú finanszírozási műveletek-Finanszírozási műveletek</v>
      </c>
      <c r="I309" s="1121"/>
    </row>
    <row r="310" spans="1:14" hidden="1">
      <c r="D310" s="1121" t="str">
        <f>+'13.mell_ÖNKfeladatok2020'!A243&amp;" "&amp;'13.mell_ÖNKfeladatok2020'!C243&amp;"-"&amp;'13.mell_ÖNKfeladatok2020'!F243</f>
        <v>A Heves Város Önkormányzata kötelező feladatok-</v>
      </c>
      <c r="I310" s="1121"/>
    </row>
    <row r="311" spans="1:14" hidden="1">
      <c r="A311" s="1121"/>
      <c r="D311" s="1121" t="str">
        <f>+'13.mell_ÖNKfeladatok2020'!A244&amp;" "&amp;'13.mell_ÖNKfeladatok2020'!D244&amp;"-"&amp;'13.mell_ÖNKfeladatok2020'!F244</f>
        <v>74 Intézményen kívüli gyermekétkeztetés-Intézményen kívüli gyermekétkeztetés (RGYK)</v>
      </c>
      <c r="I311" s="1121"/>
      <c r="J311" s="1121"/>
      <c r="K311" s="1121"/>
      <c r="L311" s="1121"/>
      <c r="M311" s="1121"/>
      <c r="N311" s="1121"/>
    </row>
    <row r="312" spans="1:14" hidden="1">
      <c r="D312" s="1121" t="str">
        <f>+'13.mell_ÖNKfeladatok2020'!A245&amp;" "&amp;'13.mell_ÖNKfeladatok2020'!D245&amp;"-"&amp;'13.mell_ÖNKfeladatok2020'!F245</f>
        <v xml:space="preserve">75 Lakáshoz jutást segítő támogatások-Önkormányzatok által nyújtott lakástámogatás </v>
      </c>
      <c r="I312" s="1121"/>
    </row>
    <row r="313" spans="1:14" hidden="1">
      <c r="D313" s="1121" t="str">
        <f>+'13.mell_ÖNKfeladatok2020'!A246&amp;" "&amp;'13.mell_ÖNKfeladatok2020'!D246&amp;"-"&amp;'13.mell_ÖNKfeladatok2020'!F246</f>
        <v xml:space="preserve">76 Szabadidős park, fürdő és strandszolgáltatás-Szabadidős park, fürdő és strandszolgáltatás </v>
      </c>
      <c r="I313" s="1121"/>
    </row>
    <row r="314" spans="1:14" hidden="1">
      <c r="D314" s="1121" t="str">
        <f>+'13.mell_ÖNKfeladatok2020'!A247&amp;" "&amp;'13.mell_ÖNKfeladatok2020'!D247&amp;"-"&amp;'13.mell_ÖNKfeladatok2020'!F247</f>
        <v xml:space="preserve">77 Civil szervezetek programtámogatása-Civil szervezetek program- és egyéb támogatása </v>
      </c>
      <c r="I314" s="1121"/>
    </row>
    <row r="315" spans="1:14" hidden="1">
      <c r="D315" s="1121" t="str">
        <f>+'13.mell_ÖNKfeladatok2020'!A248&amp;" "&amp;'13.mell_ÖNKfeladatok2020'!D248&amp;"-"&amp;'13.mell_ÖNKfeladatok2020'!F248</f>
        <v xml:space="preserve">78 Nemzetközi kulturális együttműködés-Önkormányzatok m.n.s. nemzetközi kapcsolatai </v>
      </c>
      <c r="I315" s="1121"/>
    </row>
    <row r="316" spans="1:14" hidden="1">
      <c r="D316" s="1121" t="str">
        <f>+'13.mell_ÖNKfeladatok2020'!A249&amp;" "&amp;'13.mell_ÖNKfeladatok2020'!D249&amp;"-"&amp;'13.mell_ÖNKfeladatok2020'!F249</f>
        <v>79 Hallgatói és oktatói ösztöndíjak, egyéb juttatások-Szociális ösztöndíjak</v>
      </c>
      <c r="I316" s="1121"/>
    </row>
    <row r="317" spans="1:14" hidden="1">
      <c r="D317" s="1121" t="str">
        <f>+'13.mell_ÖNKfeladatok2020'!A250&amp;" "&amp;'13.mell_ÖNKfeladatok2020'!C250&amp;"-"&amp;'13.mell_ÖNKfeladatok2020'!F250</f>
        <v>B Heves Város Önkormányzata önként vállalt feladatok-</v>
      </c>
      <c r="I317" s="1121"/>
    </row>
    <row r="318" spans="1:14" hidden="1">
      <c r="D318" s="1121" t="str">
        <f>+'13.mell_ÖNKfeladatok2020'!A251&amp;" "&amp;'13.mell_ÖNKfeladatok2020'!D251&amp;"-"&amp;'13.mell_ÖNKfeladatok2020'!F251</f>
        <v>80 ---</v>
      </c>
      <c r="I318" s="1121"/>
    </row>
    <row r="319" spans="1:14" hidden="1">
      <c r="D319" s="1121" t="str">
        <f>+'13.mell_ÖNKfeladatok2020'!A252&amp;" "&amp;'13.mell_ÖNKfeladatok2020'!C252&amp;"-"&amp;'13.mell_ÖNKfeladatok2020'!F252</f>
        <v>C Heves Város Önkormányzata állami (államigazgatási) feladatok-</v>
      </c>
      <c r="I319" s="1121"/>
    </row>
    <row r="320" spans="1:14" hidden="1">
      <c r="D320" s="1121" t="str">
        <f>+'13.mell_ÖNKfeladatok2020'!A253&amp;" "&amp;'13.mell_ÖNKfeladatok2020'!C253&amp;"-"&amp;'13.mell_ÖNKfeladatok2020'!F253</f>
        <v>I. Heves Város Önkormányzata összesen-</v>
      </c>
      <c r="I320" s="1121"/>
    </row>
    <row r="321" spans="1:14" hidden="1">
      <c r="D321" s="1121" t="str">
        <f>+'13.mell_ÖNKfeladatok2020'!A254&amp;" "&amp;'13.mell_ÖNKfeladatok2020'!D254&amp;"-"&amp;'13.mell_ÖNKfeladatok2020'!F254</f>
        <v xml:space="preserve"> -</v>
      </c>
      <c r="I321" s="1121"/>
    </row>
    <row r="322" spans="1:14" hidden="1">
      <c r="D322" s="1121" t="str">
        <f>+'13.mell_ÖNKfeladatok2020'!A255&amp;" "&amp;'13.mell_ÖNKfeladatok2020'!D255&amp;"-"&amp;'13.mell_ÖNKfeladatok2020'!F255</f>
        <v>81 Önkormányzatok és önkormányzati hivatalok jogalkotó és általános igazgatási tevékenysége-Önkormányzatok és társulások igazgatási tevékenysége</v>
      </c>
      <c r="I322" s="1121"/>
    </row>
    <row r="323" spans="1:14" hidden="1">
      <c r="D323" s="1121" t="str">
        <f>+'13.mell_ÖNKfeladatok2020'!A256&amp;" "&amp;'13.mell_ÖNKfeladatok2020'!D256&amp;"-"&amp;'13.mell_ÖNKfeladatok2020'!F256</f>
        <v>82 A gyermekek, fiatalok és családok életminőségét javító programok (EFOP 1.2.9)-A gyermekek, fiatalok és családok életminőségét javító programok (EFOP-1.2.9-17 Nők a családban és a munkahelyen)</v>
      </c>
      <c r="I323" s="1121"/>
    </row>
    <row r="324" spans="1:14" hidden="1">
      <c r="D324" s="1121" t="str">
        <f>+'13.mell_ÖNKfeladatok2020'!A257&amp;" "&amp;'13.mell_ÖNKfeladatok2020'!D257&amp;"-"&amp;'13.mell_ÖNKfeladatok2020'!F257</f>
        <v>83 Más szerv részére végzett pénzügyi-gazdálkodási, üzemeltetési, egyéb szolgáltatások-Építményüzemeltetés</v>
      </c>
      <c r="I324" s="1121"/>
    </row>
    <row r="325" spans="1:14" hidden="1">
      <c r="D325" s="1121" t="str">
        <f>+'13.mell_ÖNKfeladatok2020'!A258&amp;" "&amp;'13.mell_ÖNKfeladatok2020'!D258&amp;"-"&amp;'13.mell_ÖNKfeladatok2020'!F258</f>
        <v>84 Más szerv részére végzett pénzügyi-gazdálkodási, üzemeltetési, egyéb szolgáltatások-Építményüzemeltetés (intézmények)</v>
      </c>
      <c r="I325" s="1121"/>
    </row>
    <row r="326" spans="1:14" hidden="1">
      <c r="D326" s="1121" t="str">
        <f>+'13.mell_ÖNKfeladatok2020'!A259&amp;" "&amp;'13.mell_ÖNKfeladatok2020'!D259&amp;"-"&amp;'13.mell_ÖNKfeladatok2020'!F259</f>
        <v>85 Támogatási célú finanszírozási műveletek-Önkormányzatok és társulások igazgatási tevékenysége</v>
      </c>
      <c r="I326" s="1121"/>
    </row>
    <row r="327" spans="1:14" hidden="1">
      <c r="A327" s="1118"/>
      <c r="B327" s="1118"/>
      <c r="C327" s="1118"/>
      <c r="D327" s="1121" t="str">
        <f>+'13.mell_ÖNKfeladatok2020'!A260&amp;" "&amp;'13.mell_ÖNKfeladatok2020'!C260&amp;"-"&amp;'13.mell_ÖNKfeladatok2020'!F260</f>
        <v>D Hevesi Közös Önkormányzati Hivatal kötelező feladatok-</v>
      </c>
      <c r="I327" s="1121"/>
      <c r="J327" s="1118"/>
      <c r="K327" s="1118"/>
      <c r="L327" s="1118"/>
      <c r="M327" s="1118"/>
      <c r="N327" s="1118"/>
    </row>
    <row r="328" spans="1:14" hidden="1">
      <c r="A328" s="1118"/>
      <c r="B328" s="1118"/>
      <c r="C328" s="1118"/>
      <c r="D328" s="1121" t="str">
        <f>+'13.mell_ÖNKfeladatok2020'!A261&amp;" "&amp;'13.mell_ÖNKfeladatok2020'!D261&amp;"-"&amp;'13.mell_ÖNKfeladatok2020'!F261</f>
        <v>86 Önkormányzatok és önkormányzati hivatalok jogalkotó és általános igazgatási tevékenysége-Munkahelyi étkeztetés</v>
      </c>
      <c r="I328" s="1121"/>
      <c r="J328" s="1118"/>
      <c r="K328" s="1118"/>
      <c r="L328" s="1118"/>
      <c r="M328" s="1118"/>
      <c r="N328" s="1118"/>
    </row>
    <row r="329" spans="1:14" hidden="1">
      <c r="A329" s="1118"/>
      <c r="B329" s="1118"/>
      <c r="C329" s="1118"/>
      <c r="D329" s="1121" t="str">
        <f>+'13.mell_ÖNKfeladatok2020'!A262&amp;" "&amp;'13.mell_ÖNKfeladatok2020'!D262&amp;"-"&amp;'13.mell_ÖNKfeladatok2020'!F262</f>
        <v xml:space="preserve">87 Közbiztonság, közrend igazgatása-Közterület rendjének fenntartása </v>
      </c>
      <c r="I329" s="1121"/>
      <c r="J329" s="1118"/>
      <c r="K329" s="1118"/>
      <c r="L329" s="1118"/>
      <c r="M329" s="1118"/>
      <c r="N329" s="1118"/>
    </row>
    <row r="330" spans="1:14" hidden="1">
      <c r="A330" s="1118"/>
      <c r="B330" s="1118"/>
      <c r="C330" s="1118"/>
      <c r="D330" s="1121" t="str">
        <f>+'13.mell_ÖNKfeladatok2020'!A263&amp;" "&amp;'13.mell_ÖNKfeladatok2020'!D263&amp;"-"&amp;'13.mell_ÖNKfeladatok2020'!F263</f>
        <v xml:space="preserve">88 Lakáshoz jutást segítő támogatások-Munkáltatók által nyújtott lakástámogatás </v>
      </c>
      <c r="I330" s="1121"/>
      <c r="J330" s="1118"/>
      <c r="K330" s="1118"/>
      <c r="L330" s="1118"/>
      <c r="M330" s="1118"/>
      <c r="N330" s="1118"/>
    </row>
    <row r="331" spans="1:14" hidden="1">
      <c r="A331" s="1118"/>
      <c r="B331" s="1118"/>
      <c r="C331" s="1118"/>
      <c r="D331" s="1121" t="str">
        <f>+'13.mell_ÖNKfeladatok2020'!A264&amp;" "&amp;'13.mell_ÖNKfeladatok2020'!C264&amp;"-"&amp;'13.mell_ÖNKfeladatok2020'!F264</f>
        <v>E Hevesi Közös Önkormányzati Hivatal önként vállalt feladatok-</v>
      </c>
      <c r="I331" s="1121"/>
      <c r="J331" s="1118"/>
      <c r="K331" s="1118"/>
      <c r="L331" s="1118"/>
      <c r="M331" s="1118"/>
      <c r="N331" s="1118"/>
    </row>
    <row r="332" spans="1:14" hidden="1">
      <c r="A332" s="1118"/>
      <c r="B332" s="1118"/>
      <c r="C332" s="1118"/>
      <c r="D332" s="1121" t="str">
        <f>+'13.mell_ÖNKfeladatok2020'!A265&amp;" "&amp;'13.mell_ÖNKfeladatok2020'!D265&amp;"-"&amp;'13.mell_ÖNKfeladatok2020'!F265</f>
        <v>89 Országgyűlési, önkormányzati és európai parlamenti képviselőválasztásokhoz kapcsolódó tevékenységek-Országgyűlési képviselőválasztáshoz kapcsolódó tevékenységek</v>
      </c>
      <c r="I332" s="1121"/>
      <c r="J332" s="1118"/>
      <c r="K332" s="1118"/>
      <c r="L332" s="1118"/>
      <c r="M332" s="1118"/>
      <c r="N332" s="1118"/>
    </row>
    <row r="333" spans="1:14" hidden="1">
      <c r="A333" s="1118"/>
      <c r="B333" s="1118"/>
      <c r="C333" s="1118"/>
      <c r="D333" s="1121" t="str">
        <f>+'13.mell_ÖNKfeladatok2020'!A266&amp;" "&amp;'13.mell_ÖNKfeladatok2020'!D266&amp;"-"&amp;'13.mell_ÖNKfeladatok2020'!F266</f>
        <v xml:space="preserve">90 Országgyűlési, önkormányzati és európai parlamenti képviselőválasztásokhoz kapcsolódó tevékenységek-Önkormányzati képviselőválasztáshoz kapcsolódó tevékenységek </v>
      </c>
      <c r="I333" s="1121"/>
      <c r="J333" s="1118"/>
      <c r="K333" s="1118"/>
      <c r="L333" s="1118"/>
      <c r="M333" s="1118"/>
      <c r="N333" s="1118"/>
    </row>
    <row r="334" spans="1:14" hidden="1">
      <c r="A334" s="1118"/>
      <c r="B334" s="1118"/>
      <c r="C334" s="1118"/>
      <c r="D334" s="1121" t="str">
        <f>+'13.mell_ÖNKfeladatok2020'!A267&amp;" "&amp;'13.mell_ÖNKfeladatok2020'!D267&amp;"-"&amp;'13.mell_ÖNKfeladatok2020'!F267</f>
        <v>91 Országgyűlési, önkormányzati és európai parlamenti képviselőválasztásokhoz kapcsolódó tevékenységek-Országos és helyi nemzetiségi önkormányzati választásokhoz kapcsolódó tevékenységek</v>
      </c>
      <c r="J334" s="1118"/>
      <c r="K334" s="1118"/>
      <c r="L334" s="1118"/>
      <c r="M334" s="1118"/>
      <c r="N334" s="1118"/>
    </row>
    <row r="335" spans="1:14" hidden="1">
      <c r="A335" s="1118"/>
      <c r="B335" s="1118"/>
      <c r="C335" s="1118"/>
      <c r="D335" s="1121" t="str">
        <f>+'13.mell_ÖNKfeladatok2020'!A268&amp;" "&amp;'13.mell_ÖNKfeladatok2020'!D268&amp;"-"&amp;'13.mell_ÖNKfeladatok2020'!F268</f>
        <v xml:space="preserve">92 Országgyűlési, önkormányzati és európai parlamenti képviselőválasztásokhoz kapcsolódó tevékenységek-Európai parlamenti képviselőválasztáshoz kapcsolódó tevékenységek </v>
      </c>
      <c r="J335" s="1118"/>
      <c r="K335" s="1118"/>
      <c r="L335" s="1118"/>
      <c r="M335" s="1118"/>
      <c r="N335" s="1118"/>
    </row>
    <row r="336" spans="1:14" hidden="1">
      <c r="A336" s="1118"/>
      <c r="B336" s="1118"/>
      <c r="C336" s="1118"/>
      <c r="D336" s="1121" t="str">
        <f>+'13.mell_ÖNKfeladatok2020'!A269&amp;" "&amp;'13.mell_ÖNKfeladatok2020'!D269&amp;"-"&amp;'13.mell_ÖNKfeladatok2020'!F269</f>
        <v xml:space="preserve">93 Országos és helyi népszavazással kapcsolatos tevékenységek-Országos és helyi népszavazáshoz kapcsolódó tevékenységek </v>
      </c>
      <c r="J336" s="1118"/>
      <c r="K336" s="1118"/>
      <c r="L336" s="1118"/>
      <c r="M336" s="1118"/>
      <c r="N336" s="1118"/>
    </row>
    <row r="337" spans="1:14" hidden="1">
      <c r="A337" s="1118"/>
      <c r="B337" s="1118"/>
      <c r="C337" s="1118"/>
      <c r="D337" s="1121" t="str">
        <f>+'13.mell_ÖNKfeladatok2020'!A270&amp;" "&amp;'13.mell_ÖNKfeladatok2020'!D270&amp;"-"&amp;'13.mell_ÖNKfeladatok2020'!F270</f>
        <v>94 Állampolgársági ügyek-Területi általános végrehajtó igazgatási tevékenység</v>
      </c>
      <c r="J337" s="1118"/>
      <c r="K337" s="1118"/>
      <c r="L337" s="1118"/>
      <c r="M337" s="1118"/>
      <c r="N337" s="1118"/>
    </row>
    <row r="338" spans="1:14" hidden="1">
      <c r="A338" s="1118"/>
      <c r="B338" s="1118"/>
      <c r="C338" s="1118"/>
      <c r="D338" s="1121" t="str">
        <f>+'13.mell_ÖNKfeladatok2020'!A271&amp;" "&amp;'13.mell_ÖNKfeladatok2020'!D271&amp;"-"&amp;'13.mell_ÖNKfeladatok2020'!F271</f>
        <v>95 Építésügy igazgatása-Területi általános végrehajtó igazgatási tevékenység</v>
      </c>
      <c r="J338" s="1118"/>
      <c r="K338" s="1118"/>
      <c r="L338" s="1118"/>
      <c r="M338" s="1118"/>
      <c r="N338" s="1118"/>
    </row>
    <row r="339" spans="1:14" hidden="1">
      <c r="A339" s="1118"/>
      <c r="B339" s="1118"/>
      <c r="C339" s="1118"/>
      <c r="D339" s="1121" t="str">
        <f>+'13.mell_ÖNKfeladatok2020'!A272&amp;" "&amp;'13.mell_ÖNKfeladatok2020'!C272&amp;"-"&amp;'13.mell_ÖNKfeladatok2020'!F272</f>
        <v>F Hevesi Közös Önkormányzati Hivatal állami (államigazgatási) feladatok-</v>
      </c>
      <c r="J339" s="1118"/>
      <c r="K339" s="1118"/>
      <c r="L339" s="1118"/>
      <c r="M339" s="1118"/>
      <c r="N339" s="1118"/>
    </row>
    <row r="340" spans="1:14" hidden="1">
      <c r="A340" s="1118"/>
      <c r="B340" s="1118"/>
      <c r="C340" s="1118"/>
      <c r="D340" s="1121" t="str">
        <f>+'13.mell_ÖNKfeladatok2020'!A273&amp;" "&amp;'13.mell_ÖNKfeladatok2020'!C273&amp;"-"&amp;'13.mell_ÖNKfeladatok2020'!F273</f>
        <v>II. Hevesi Közös Önkormányzati Hivatal összesen-</v>
      </c>
      <c r="J340" s="1118"/>
      <c r="K340" s="1118"/>
      <c r="L340" s="1118"/>
      <c r="M340" s="1118"/>
      <c r="N340" s="1118"/>
    </row>
    <row r="341" spans="1:14" hidden="1">
      <c r="A341" s="1118"/>
      <c r="B341" s="1118"/>
      <c r="C341" s="1118"/>
      <c r="D341" s="1121" t="str">
        <f>+'13.mell_ÖNKfeladatok2020'!A274&amp;" "&amp;'13.mell_ÖNKfeladatok2020'!D274&amp;"-"&amp;'13.mell_ÖNKfeladatok2020'!F274</f>
        <v xml:space="preserve"> -</v>
      </c>
      <c r="J341" s="1118"/>
      <c r="K341" s="1118"/>
      <c r="L341" s="1118"/>
      <c r="M341" s="1118"/>
      <c r="N341" s="1118"/>
    </row>
    <row r="342" spans="1:14" hidden="1">
      <c r="A342" s="1118"/>
      <c r="B342" s="1118"/>
      <c r="C342" s="1118"/>
      <c r="D342" s="1121" t="str">
        <f>+'13.mell_ÖNKfeladatok2020'!A275&amp;" "&amp;'13.mell_ÖNKfeladatok2020'!D275&amp;"-"&amp;'13.mell_ÖNKfeladatok2020'!F275</f>
        <v>96 Óvodai nevelés, ellátás szakmai feladatai-Óvodai nevelés</v>
      </c>
      <c r="J342" s="1118"/>
      <c r="K342" s="1118"/>
      <c r="L342" s="1118"/>
      <c r="M342" s="1118"/>
      <c r="N342" s="1118"/>
    </row>
    <row r="343" spans="1:14" hidden="1">
      <c r="A343" s="1118"/>
      <c r="B343" s="1118"/>
      <c r="C343" s="1118"/>
      <c r="D343" s="1121" t="str">
        <f>+'13.mell_ÖNKfeladatok2020'!A276&amp;" "&amp;'13.mell_ÖNKfeladatok2020'!D276&amp;"-"&amp;'13.mell_ÖNKfeladatok2020'!F276</f>
        <v>97 Gyermekétkeztetés köznevelési intézményben-Óvodai intézményi étkeztetés</v>
      </c>
      <c r="E343" s="1118"/>
      <c r="F343" s="1118"/>
      <c r="G343" s="1118"/>
      <c r="H343" s="1118"/>
      <c r="I343" s="1118"/>
      <c r="J343" s="1118"/>
      <c r="K343" s="1118"/>
      <c r="L343" s="1118"/>
      <c r="M343" s="1118"/>
      <c r="N343" s="1118"/>
    </row>
    <row r="344" spans="1:14" hidden="1">
      <c r="A344" s="1118"/>
      <c r="B344" s="1118"/>
      <c r="C344" s="1118"/>
      <c r="D344" s="1121" t="str">
        <f>+'13.mell_ÖNKfeladatok2020'!A277&amp;" "&amp;'13.mell_ÖNKfeladatok2020'!D277&amp;"-"&amp;'13.mell_ÖNKfeladatok2020'!F277</f>
        <v>98 Gyermekétkeztetés köznevelési intézményben-Iskolai intézményi étkeztetés</v>
      </c>
      <c r="E344" s="1118"/>
      <c r="F344" s="1118"/>
      <c r="G344" s="1118"/>
      <c r="H344" s="1118"/>
      <c r="I344" s="1118"/>
      <c r="J344" s="1118"/>
      <c r="K344" s="1118"/>
      <c r="L344" s="1118"/>
      <c r="M344" s="1118"/>
      <c r="N344" s="1118"/>
    </row>
    <row r="345" spans="1:14" hidden="1">
      <c r="A345" s="1118"/>
      <c r="B345" s="1118"/>
      <c r="C345" s="1118"/>
      <c r="D345" s="1121" t="str">
        <f>+'13.mell_ÖNKfeladatok2020'!A278&amp;" "&amp;'13.mell_ÖNKfeladatok2020'!D278&amp;"-"&amp;'13.mell_ÖNKfeladatok2020'!F278</f>
        <v>99 Gyermekek bölcsődében és mini bölcsődében történő ellátása-Bölcsődei ellátás</v>
      </c>
      <c r="E345" s="1118"/>
      <c r="F345" s="1118"/>
      <c r="G345" s="1118"/>
      <c r="H345" s="1118"/>
      <c r="I345" s="1118"/>
      <c r="J345" s="1118"/>
      <c r="K345" s="1118"/>
      <c r="L345" s="1118"/>
      <c r="M345" s="1118"/>
      <c r="N345" s="1118"/>
    </row>
    <row r="346" spans="1:14" hidden="1">
      <c r="A346" s="1118"/>
      <c r="B346" s="1118"/>
      <c r="C346" s="1118"/>
      <c r="D346" s="1121" t="str">
        <f>+'13.mell_ÖNKfeladatok2020'!A279&amp;" "&amp;'13.mell_ÖNKfeladatok2020'!D279&amp;"-"&amp;'13.mell_ÖNKfeladatok2020'!F279</f>
        <v>100 Gyermekétkeztetés bölcsődében, fogyatékosok nappali intézményében-Gyermekétkeztetés bölcsődésben és fogyatékosok nappali intézményében</v>
      </c>
      <c r="E346" s="1118"/>
      <c r="F346" s="1118"/>
      <c r="G346" s="1118"/>
      <c r="H346" s="1118"/>
      <c r="I346" s="1118"/>
      <c r="J346" s="1118"/>
      <c r="K346" s="1118"/>
      <c r="L346" s="1118"/>
      <c r="M346" s="1118"/>
      <c r="N346" s="1118"/>
    </row>
    <row r="347" spans="1:14" hidden="1">
      <c r="A347" s="1118"/>
      <c r="B347" s="1118"/>
      <c r="C347" s="1118"/>
      <c r="D347" s="1121" t="str">
        <f>+'13.mell_ÖNKfeladatok2020'!A280&amp;" "&amp;'13.mell_ÖNKfeladatok2020'!D280&amp;"-"&amp;'13.mell_ÖNKfeladatok2020'!F280</f>
        <v>101 Támogatási célú finanszírozási műveletek-Óvodai nevelés</v>
      </c>
      <c r="E347" s="1118"/>
      <c r="F347" s="1118"/>
      <c r="G347" s="1118"/>
      <c r="H347" s="1118"/>
      <c r="I347" s="1118"/>
      <c r="J347" s="1118"/>
      <c r="K347" s="1118"/>
      <c r="L347" s="1118"/>
      <c r="M347" s="1118"/>
      <c r="N347" s="1118"/>
    </row>
    <row r="348" spans="1:14" hidden="1">
      <c r="A348" s="1118"/>
      <c r="B348" s="1118"/>
      <c r="C348" s="1118"/>
      <c r="D348" s="1121" t="str">
        <f>+'13.mell_ÖNKfeladatok2020'!A281&amp;" "&amp;'13.mell_ÖNKfeladatok2020'!C281&amp;"-"&amp;'13.mell_ÖNKfeladatok2020'!F281</f>
        <v>G Heves Városi Óvodák és Bölcsőde Köznevelési Intézmény kötelező feladatok-</v>
      </c>
      <c r="E348" s="1118"/>
      <c r="F348" s="1118"/>
      <c r="G348" s="1118"/>
      <c r="H348" s="1118"/>
      <c r="I348" s="1118"/>
      <c r="J348" s="1118"/>
      <c r="K348" s="1118"/>
      <c r="L348" s="1118"/>
      <c r="M348" s="1118"/>
      <c r="N348" s="1118"/>
    </row>
    <row r="349" spans="1:14" hidden="1">
      <c r="A349" s="1118"/>
      <c r="B349" s="1118"/>
      <c r="C349" s="1118"/>
      <c r="D349" s="1121" t="str">
        <f>+'13.mell_ÖNKfeladatok2020'!A282&amp;" "&amp;'13.mell_ÖNKfeladatok2020'!D282&amp;"-"&amp;'13.mell_ÖNKfeladatok2020'!F282</f>
        <v>102 ---</v>
      </c>
      <c r="E349" s="1118"/>
      <c r="F349" s="1118"/>
      <c r="G349" s="1118"/>
      <c r="H349" s="1118"/>
      <c r="I349" s="1118"/>
      <c r="J349" s="1118"/>
      <c r="K349" s="1118"/>
      <c r="L349" s="1118"/>
      <c r="M349" s="1118"/>
      <c r="N349" s="1118"/>
    </row>
    <row r="350" spans="1:14" hidden="1">
      <c r="A350" s="1118"/>
      <c r="B350" s="1118"/>
      <c r="C350" s="1118"/>
      <c r="D350" s="1121" t="str">
        <f>+'13.mell_ÖNKfeladatok2020'!A283&amp;" "&amp;'13.mell_ÖNKfeladatok2020'!C283&amp;"-"&amp;'13.mell_ÖNKfeladatok2020'!F283</f>
        <v>H Heves Városi Óvodák és Bölcsőde Köznevelési Intézmény önként vállalt feladatok-</v>
      </c>
      <c r="E350" s="1118"/>
      <c r="F350" s="1118"/>
      <c r="G350" s="1118"/>
      <c r="H350" s="1118"/>
      <c r="I350" s="1118"/>
      <c r="J350" s="1118"/>
      <c r="K350" s="1118"/>
      <c r="L350" s="1118"/>
      <c r="M350" s="1118"/>
      <c r="N350" s="1118"/>
    </row>
    <row r="351" spans="1:14" hidden="1">
      <c r="A351" s="1118"/>
      <c r="B351" s="1118"/>
      <c r="C351" s="1118"/>
      <c r="D351" s="1121" t="str">
        <f>+'13.mell_ÖNKfeladatok2020'!A284&amp;" "&amp;'13.mell_ÖNKfeladatok2020'!D284&amp;"-"&amp;'13.mell_ÖNKfeladatok2020'!F284</f>
        <v>103 ---</v>
      </c>
      <c r="E351" s="1118"/>
      <c r="F351" s="1118"/>
      <c r="G351" s="1118"/>
      <c r="H351" s="1118"/>
      <c r="I351" s="1118"/>
      <c r="J351" s="1118"/>
      <c r="K351" s="1118"/>
      <c r="L351" s="1118"/>
      <c r="M351" s="1118"/>
      <c r="N351" s="1118"/>
    </row>
    <row r="352" spans="1:14" hidden="1">
      <c r="A352" s="1118"/>
      <c r="B352" s="1118"/>
      <c r="C352" s="1118"/>
      <c r="D352" s="1121" t="str">
        <f>+'13.mell_ÖNKfeladatok2020'!A285&amp;" "&amp;'13.mell_ÖNKfeladatok2020'!C285&amp;"-"&amp;'13.mell_ÖNKfeladatok2020'!F285</f>
        <v>I Heves Városi Óvodák és Bölcsőde Köznevelési Intézmény állami (államigazgatási) feladatok-</v>
      </c>
      <c r="E352" s="1118"/>
      <c r="F352" s="1118"/>
      <c r="G352" s="1118"/>
      <c r="H352" s="1118"/>
      <c r="I352" s="1118"/>
      <c r="J352" s="1118"/>
      <c r="K352" s="1118"/>
      <c r="L352" s="1118"/>
      <c r="M352" s="1118"/>
      <c r="N352" s="1118"/>
    </row>
    <row r="353" spans="1:14" hidden="1">
      <c r="A353" s="1118"/>
      <c r="B353" s="1118"/>
      <c r="C353" s="1118"/>
      <c r="D353" s="1121" t="str">
        <f>+'13.mell_ÖNKfeladatok2020'!A286&amp;" "&amp;'13.mell_ÖNKfeladatok2020'!C286&amp;"-"&amp;'13.mell_ÖNKfeladatok2020'!F286</f>
        <v>III. Heves Városi Óvodák és Bölcsőde Köznevelési Intézmény összesen-</v>
      </c>
      <c r="E353" s="1118"/>
      <c r="F353" s="1118"/>
      <c r="G353" s="1118"/>
      <c r="H353" s="1118"/>
      <c r="I353" s="1118"/>
      <c r="J353" s="1118"/>
      <c r="K353" s="1118"/>
      <c r="L353" s="1118"/>
      <c r="M353" s="1118"/>
      <c r="N353" s="1118"/>
    </row>
    <row r="354" spans="1:14" hidden="1">
      <c r="A354" s="1118"/>
      <c r="B354" s="1118"/>
      <c r="C354" s="1118"/>
      <c r="D354" s="1121" t="str">
        <f>+'13.mell_ÖNKfeladatok2020'!A287&amp;" "&amp;'13.mell_ÖNKfeladatok2020'!D287&amp;"-"&amp;'13.mell_ÖNKfeladatok2020'!F287</f>
        <v xml:space="preserve"> -</v>
      </c>
      <c r="E354" s="1118"/>
      <c r="F354" s="1118"/>
      <c r="G354" s="1118"/>
      <c r="H354" s="1118"/>
      <c r="I354" s="1118"/>
      <c r="J354" s="1118"/>
      <c r="K354" s="1118"/>
      <c r="L354" s="1118"/>
      <c r="M354" s="1118"/>
      <c r="N354" s="1118"/>
    </row>
    <row r="355" spans="1:14" hidden="1">
      <c r="A355" s="1118"/>
      <c r="B355" s="1118"/>
      <c r="C355" s="1118"/>
      <c r="D355" s="1121" t="str">
        <f>+'13.mell_ÖNKfeladatok2020'!A288&amp;" "&amp;'13.mell_ÖNKfeladatok2020'!D288&amp;"-"&amp;'13.mell_ÖNKfeladatok2020'!F288</f>
        <v>104 Könyvtári állomány gyarapítása, nyilvántartása-Könyvtári állomány gyarapítása, nyilvántartása</v>
      </c>
      <c r="E355" s="1118"/>
      <c r="F355" s="1118"/>
      <c r="G355" s="1118"/>
      <c r="H355" s="1118"/>
      <c r="I355" s="1118"/>
      <c r="J355" s="1118"/>
      <c r="K355" s="1118"/>
      <c r="L355" s="1118"/>
      <c r="M355" s="1118"/>
      <c r="N355" s="1118"/>
    </row>
    <row r="356" spans="1:14" hidden="1">
      <c r="A356" s="1118"/>
      <c r="B356" s="1118"/>
      <c r="C356" s="1118"/>
      <c r="D356" s="1121" t="str">
        <f>+'13.mell_ÖNKfeladatok2020'!A289&amp;" "&amp;'13.mell_ÖNKfeladatok2020'!D289&amp;"-"&amp;'13.mell_ÖNKfeladatok2020'!F289</f>
        <v>105 Könyvtári szolgáltatások-Könyvtári szolgáltatások</v>
      </c>
      <c r="E356" s="1118"/>
      <c r="F356" s="1118"/>
      <c r="G356" s="1118"/>
      <c r="H356" s="1118"/>
      <c r="I356" s="1118"/>
      <c r="J356" s="1118"/>
      <c r="K356" s="1118"/>
      <c r="L356" s="1118"/>
      <c r="M356" s="1118"/>
      <c r="N356" s="1118"/>
    </row>
    <row r="357" spans="1:14" hidden="1">
      <c r="A357" s="1118"/>
      <c r="B357" s="1118"/>
      <c r="C357" s="1118"/>
      <c r="D357" s="1121" t="str">
        <f>+'13.mell_ÖNKfeladatok2020'!A290&amp;" "&amp;'13.mell_ÖNKfeladatok2020'!D290&amp;"-"&amp;'13.mell_ÖNKfeladatok2020'!F290</f>
        <v>106 Múzeumi gyűjteményi tevékenység-Múzeumi állandó kiállítási tevékenység</v>
      </c>
      <c r="E357" s="1118"/>
      <c r="F357" s="1118"/>
      <c r="G357" s="1118"/>
      <c r="H357" s="1118"/>
      <c r="I357" s="1118"/>
      <c r="J357" s="1118"/>
      <c r="K357" s="1118"/>
      <c r="L357" s="1118"/>
      <c r="M357" s="1118"/>
      <c r="N357" s="1118"/>
    </row>
    <row r="358" spans="1:14" hidden="1">
      <c r="A358" s="1118"/>
      <c r="B358" s="1118"/>
      <c r="C358" s="1118"/>
      <c r="D358" s="1121" t="str">
        <f>+'13.mell_ÖNKfeladatok2020'!A291&amp;" "&amp;'13.mell_ÖNKfeladatok2020'!D291&amp;"-"&amp;'13.mell_ÖNKfeladatok2020'!F291</f>
        <v>107 Közművelődés - közösségi és társadalmi részvétel fejlesztése-Közművelődési intézmények, közösségi színterek működtetése</v>
      </c>
      <c r="E358" s="1118"/>
      <c r="F358" s="1118"/>
      <c r="G358" s="1118"/>
      <c r="H358" s="1118"/>
      <c r="I358" s="1118"/>
      <c r="J358" s="1118"/>
      <c r="K358" s="1118"/>
      <c r="L358" s="1118"/>
      <c r="M358" s="1118"/>
      <c r="N358" s="1118"/>
    </row>
    <row r="359" spans="1:14" hidden="1">
      <c r="A359" s="1118"/>
      <c r="B359" s="1118"/>
      <c r="C359" s="1118"/>
      <c r="D359" s="1121" t="str">
        <f>+'13.mell_ÖNKfeladatok2020'!A292&amp;" "&amp;'13.mell_ÖNKfeladatok2020'!D292&amp;"-"&amp;'13.mell_ÖNKfeladatok2020'!F292</f>
        <v>108 Támogatási célú finanszírozási műveletek-Könyvtári szolgáltatások</v>
      </c>
    </row>
    <row r="360" spans="1:14" hidden="1">
      <c r="A360" s="1118"/>
      <c r="B360" s="1118"/>
      <c r="C360" s="1118"/>
      <c r="D360" s="1121" t="str">
        <f>+'13.mell_ÖNKfeladatok2020'!A293&amp;" "&amp;'13.mell_ÖNKfeladatok2020'!C293&amp;"-"&amp;'13.mell_ÖNKfeladatok2020'!F293</f>
        <v>J Hevesi Kulturális Központ kötelező feladatok-</v>
      </c>
    </row>
    <row r="361" spans="1:14" hidden="1">
      <c r="A361" s="1118"/>
      <c r="B361" s="1118"/>
      <c r="C361" s="1118"/>
      <c r="D361" s="1121" t="str">
        <f>+'13.mell_ÖNKfeladatok2020'!A294&amp;" "&amp;'13.mell_ÖNKfeladatok2020'!D294&amp;"-"&amp;'13.mell_ÖNKfeladatok2020'!F294</f>
        <v>109 ---</v>
      </c>
    </row>
    <row r="362" spans="1:14" hidden="1">
      <c r="A362" s="1118"/>
      <c r="B362" s="1118"/>
      <c r="C362" s="1118"/>
      <c r="D362" s="1121" t="str">
        <f>+'13.mell_ÖNKfeladatok2020'!A295&amp;" "&amp;'13.mell_ÖNKfeladatok2020'!C295&amp;"-"&amp;'13.mell_ÖNKfeladatok2020'!F295</f>
        <v>K Hevesi Kulturális Központ önként vállalt feladatok-</v>
      </c>
    </row>
    <row r="363" spans="1:14" hidden="1">
      <c r="A363" s="1118"/>
      <c r="B363" s="1118"/>
      <c r="C363" s="1118"/>
      <c r="D363" s="1121" t="str">
        <f>+'13.mell_ÖNKfeladatok2020'!A296&amp;" "&amp;'13.mell_ÖNKfeladatok2020'!D296&amp;"-"&amp;'13.mell_ÖNKfeladatok2020'!F296</f>
        <v>110 ---</v>
      </c>
    </row>
    <row r="364" spans="1:14" hidden="1">
      <c r="A364" s="1118"/>
      <c r="B364" s="1118"/>
      <c r="C364" s="1118"/>
      <c r="D364" s="1121" t="str">
        <f>+'13.mell_ÖNKfeladatok2020'!A297&amp;" "&amp;'13.mell_ÖNKfeladatok2020'!C297&amp;"-"&amp;'13.mell_ÖNKfeladatok2020'!F297</f>
        <v>L Hevesi Kulturális Központ állami (államigazgatási) feladatok-</v>
      </c>
    </row>
    <row r="365" spans="1:14" hidden="1">
      <c r="A365" s="1118"/>
      <c r="B365" s="1118"/>
      <c r="C365" s="1118"/>
      <c r="D365" s="1121" t="str">
        <f>+'13.mell_ÖNKfeladatok2020'!A298&amp;" "&amp;'13.mell_ÖNKfeladatok2020'!C298&amp;"-"&amp;'13.mell_ÖNKfeladatok2020'!F298</f>
        <v>IV. Hevesi Kulturális Központ összesen-</v>
      </c>
    </row>
    <row r="366" spans="1:14" hidden="1">
      <c r="A366" s="1118"/>
      <c r="B366" s="1118"/>
      <c r="C366" s="1118"/>
      <c r="D366" s="1121" t="str">
        <f>+'13.mell_ÖNKfeladatok2020'!A299&amp;" "&amp;'13.mell_ÖNKfeladatok2020'!D299&amp;"-"&amp;'13.mell_ÖNKfeladatok2020'!F299</f>
        <v xml:space="preserve"> -</v>
      </c>
    </row>
    <row r="367" spans="1:14" hidden="1">
      <c r="A367" s="1118"/>
      <c r="B367" s="1118"/>
      <c r="C367" s="1118"/>
      <c r="D367" s="1121" t="str">
        <f>+'13.mell_ÖNKfeladatok2020'!A300&amp;" "&amp;'13.mell_ÖNKfeladatok2020'!D300&amp;"-"&amp;'13.mell_ÖNKfeladatok2020'!F300</f>
        <v>111 ---</v>
      </c>
    </row>
    <row r="368" spans="1:14" hidden="1">
      <c r="A368" s="1118"/>
      <c r="B368" s="1118"/>
      <c r="C368" s="1118"/>
      <c r="D368" s="1121" t="str">
        <f>+'13.mell_ÖNKfeladatok2020'!A301&amp;" "&amp;'13.mell_ÖNKfeladatok2020'!C301&amp;"-"&amp;'13.mell_ÖNKfeladatok2020'!F301</f>
        <v>M Heves Városi Mezei Őrszolgálat kötelező feladatok-</v>
      </c>
      <c r="H368" s="1117"/>
      <c r="N368" s="1118"/>
    </row>
    <row r="369" spans="1:14" hidden="1">
      <c r="A369" s="1118"/>
      <c r="B369" s="1118"/>
      <c r="C369" s="1118"/>
      <c r="D369" s="1121" t="str">
        <f>+'13.mell_ÖNKfeladatok2020'!A302&amp;" "&amp;'13.mell_ÖNKfeladatok2020'!D302&amp;"-"&amp;'13.mell_ÖNKfeladatok2020'!F302</f>
        <v>112 Közterület rendjének fenntartása-Közterület rendjének fenntartása</v>
      </c>
      <c r="H369" s="1117"/>
      <c r="N369" s="1118"/>
    </row>
    <row r="370" spans="1:14" hidden="1">
      <c r="A370" s="1118"/>
      <c r="B370" s="1118"/>
      <c r="C370" s="1118"/>
      <c r="D370" s="1121" t="str">
        <f>+'13.mell_ÖNKfeladatok2020'!A303&amp;" "&amp;'13.mell_ÖNKfeladatok2020'!D303&amp;"-"&amp;'13.mell_ÖNKfeladatok2020'!F303</f>
        <v>113 Támogatási célú finanszírozási műveletek-Közterület rendjének fenntartása</v>
      </c>
      <c r="H370" s="1117"/>
      <c r="N370" s="1118"/>
    </row>
    <row r="371" spans="1:14" hidden="1">
      <c r="A371" s="1118"/>
      <c r="B371" s="1118"/>
      <c r="C371" s="1118"/>
      <c r="D371" s="1121" t="str">
        <f>+'13.mell_ÖNKfeladatok2020'!A304&amp;" "&amp;'13.mell_ÖNKfeladatok2020'!C304&amp;"-"&amp;'13.mell_ÖNKfeladatok2020'!F304</f>
        <v>N Heves Városi Mezei Őrszolgálat önként vállalt feladatok-</v>
      </c>
      <c r="H371" s="1117"/>
      <c r="N371" s="1118"/>
    </row>
    <row r="372" spans="1:14" hidden="1">
      <c r="A372" s="1118"/>
      <c r="B372" s="1118"/>
      <c r="C372" s="1118"/>
      <c r="D372" s="1121" t="str">
        <f>+'13.mell_ÖNKfeladatok2020'!A305&amp;" "&amp;'13.mell_ÖNKfeladatok2020'!D305&amp;"-"&amp;'13.mell_ÖNKfeladatok2020'!F305</f>
        <v>114 ---</v>
      </c>
      <c r="H372" s="1117"/>
      <c r="N372" s="1118"/>
    </row>
    <row r="373" spans="1:14" hidden="1">
      <c r="A373" s="1118"/>
      <c r="B373" s="1118"/>
      <c r="C373" s="1118"/>
      <c r="D373" s="1121" t="str">
        <f>+'13.mell_ÖNKfeladatok2020'!A306&amp;" "&amp;'13.mell_ÖNKfeladatok2020'!C306&amp;"-"&amp;'13.mell_ÖNKfeladatok2020'!F306</f>
        <v>O Heves Városi Mezei Őrszolgálat állami (államigazgatási) feladatok-</v>
      </c>
      <c r="H373" s="1117"/>
      <c r="N373" s="1118"/>
    </row>
    <row r="374" spans="1:14" hidden="1">
      <c r="D374" s="1121" t="str">
        <f>+'13.mell_ÖNKfeladatok2020'!A307&amp;" "&amp;'13.mell_ÖNKfeladatok2020'!C307&amp;"-"&amp;'13.mell_ÖNKfeladatok2020'!F307</f>
        <v>V. Heves Városi Mezei Őrszolgálat összesen-</v>
      </c>
    </row>
    <row r="375" spans="1:14" hidden="1">
      <c r="D375" s="1121" t="str">
        <f>+'13.mell_ÖNKfeladatok2020'!A308&amp;" "&amp;'13.mell_ÖNKfeladatok2020'!D308&amp;"-"&amp;'13.mell_ÖNKfeladatok2020'!F308</f>
        <v xml:space="preserve"> -</v>
      </c>
    </row>
    <row r="376" spans="1:14" hidden="1">
      <c r="D376" s="1121" t="str">
        <f>+'13.mell_ÖNKfeladatok2020'!A309&amp;" "&amp;'13.mell_ÖNKfeladatok2020'!D309&amp;"-"&amp;'13.mell_ÖNKfeladatok2020'!F309</f>
        <v>115 Család- és gyermekjóléti szolgáltatások-Gyermekjóléti szolgáltatás</v>
      </c>
    </row>
    <row r="377" spans="1:14" hidden="1">
      <c r="D377" s="1121" t="str">
        <f>+'13.mell_ÖNKfeladatok2020'!A310&amp;" "&amp;'13.mell_ÖNKfeladatok2020'!D310&amp;"-"&amp;'13.mell_ÖNKfeladatok2020'!F310</f>
        <v>116 Család- és gyermekjóléti szolgáltatások-Családsegítés</v>
      </c>
    </row>
    <row r="378" spans="1:14" hidden="1">
      <c r="D378" s="1121" t="str">
        <f>+'13.mell_ÖNKfeladatok2020'!A311&amp;" "&amp;'13.mell_ÖNKfeladatok2020'!D311&amp;"-"&amp;'13.mell_ÖNKfeladatok2020'!F311</f>
        <v>117 Család és gyermekjóléti központ-Gyermekjóléti szolgáltatás</v>
      </c>
    </row>
    <row r="379" spans="1:14" hidden="1">
      <c r="D379" s="1121" t="str">
        <f>+'13.mell_ÖNKfeladatok2020'!A312&amp;" "&amp;'13.mell_ÖNKfeladatok2020'!D312&amp;"-"&amp;'13.mell_ÖNKfeladatok2020'!F312</f>
        <v>118 Család és gyermekjóléti központ-Családsegítés</v>
      </c>
    </row>
    <row r="380" spans="1:14" hidden="1">
      <c r="D380" s="1121" t="str">
        <f>+'13.mell_ÖNKfeladatok2020'!A313&amp;" "&amp;'13.mell_ÖNKfeladatok2020'!D313&amp;"-"&amp;'13.mell_ÖNKfeladatok2020'!F313</f>
        <v>119 Támogatási célú finanszírozási műveletek-Gyermekjóléti szolgáltatás</v>
      </c>
    </row>
    <row r="381" spans="1:14" hidden="1">
      <c r="D381" s="1121" t="str">
        <f>+'13.mell_ÖNKfeladatok2020'!A314&amp;" "&amp;'13.mell_ÖNKfeladatok2020'!C314&amp;"-"&amp;'13.mell_ÖNKfeladatok2020'!F314</f>
        <v>P Heves Város Gyermekjóléti Központja és Családsegítő Szolgálata kötelező feladatok-</v>
      </c>
    </row>
    <row r="382" spans="1:14" hidden="1">
      <c r="D382" s="1121" t="str">
        <f>+'13.mell_ÖNKfeladatok2020'!A315&amp;" "&amp;'13.mell_ÖNKfeladatok2020'!D315&amp;"-"&amp;'13.mell_ÖNKfeladatok2020'!F315</f>
        <v>120 ---</v>
      </c>
    </row>
    <row r="383" spans="1:14" hidden="1">
      <c r="D383" s="1121" t="str">
        <f>+'13.mell_ÖNKfeladatok2020'!A316&amp;" "&amp;'13.mell_ÖNKfeladatok2020'!C316&amp;"-"&amp;'13.mell_ÖNKfeladatok2020'!F316</f>
        <v>Q Heves Város Gyermekjóléti Központja és Családsegítő Szolgálata önként vállalt feladatok-</v>
      </c>
    </row>
    <row r="384" spans="1:14" hidden="1">
      <c r="D384" s="1121" t="str">
        <f>+'13.mell_ÖNKfeladatok2020'!A317&amp;" "&amp;'13.mell_ÖNKfeladatok2020'!D317&amp;"-"&amp;'13.mell_ÖNKfeladatok2020'!F317</f>
        <v>121 ---</v>
      </c>
    </row>
    <row r="385" spans="4:4" hidden="1">
      <c r="D385" s="1121" t="str">
        <f>+'13.mell_ÖNKfeladatok2020'!A318&amp;" "&amp;'13.mell_ÖNKfeladatok2020'!C318&amp;"-"&amp;'13.mell_ÖNKfeladatok2020'!F318</f>
        <v>R Heves Város Gyermekjóléti Központja és Családsegítő Szolgálata állami (államigazgatási) feladatok-</v>
      </c>
    </row>
    <row r="386" spans="4:4" hidden="1">
      <c r="D386" s="1121" t="str">
        <f>+'13.mell_ÖNKfeladatok2020'!A319&amp;" "&amp;'13.mell_ÖNKfeladatok2020'!C319&amp;"-"&amp;'13.mell_ÖNKfeladatok2020'!F319</f>
        <v>VI. Heves Város Gyermekjóléti Központja és Családsegítő Szolgálata összesen-</v>
      </c>
    </row>
    <row r="387" spans="4:4" hidden="1">
      <c r="D387" s="1121" t="str">
        <f>+'13.mell_ÖNKfeladatok2020'!A320&amp;" "&amp;'13.mell_ÖNKfeladatok2020'!D320&amp;"-"&amp;'13.mell_ÖNKfeladatok2020'!F320</f>
        <v xml:space="preserve"> -</v>
      </c>
    </row>
    <row r="388" spans="4:4" hidden="1">
      <c r="D388" s="1121" t="str">
        <f>+'13.mell_ÖNKfeladatok2020'!A321&amp;" "&amp;'13.mell_ÖNKfeladatok2020'!C321&amp;"-"&amp;'13.mell_ÖNKfeladatok2020'!F321</f>
        <v>VII. KÖLTSÉGVETÉSI KIADÁSOK ÖSSZESEN:-</v>
      </c>
    </row>
    <row r="389" spans="4:4" hidden="1"/>
    <row r="390" spans="4:4" hidden="1"/>
    <row r="391" spans="4:4" hidden="1"/>
    <row r="392" spans="4:4" hidden="1"/>
    <row r="393" spans="4:4" hidden="1"/>
    <row r="394" spans="4:4" hidden="1"/>
    <row r="395" spans="4:4" hidden="1"/>
    <row r="396" spans="4:4" hidden="1"/>
    <row r="397" spans="4:4" hidden="1"/>
    <row r="398" spans="4:4" hidden="1"/>
    <row r="399" spans="4:4" hidden="1"/>
    <row r="400" spans="4:4" hidden="1"/>
    <row r="401" spans="14:14" hidden="1"/>
    <row r="402" spans="14:14" hidden="1"/>
    <row r="403" spans="14:14" hidden="1"/>
    <row r="404" spans="14:14" hidden="1"/>
    <row r="405" spans="14:14" hidden="1"/>
    <row r="406" spans="14:14" hidden="1"/>
    <row r="407" spans="14:14" hidden="1"/>
    <row r="410" spans="14:14">
      <c r="N410" s="1117">
        <v>29537</v>
      </c>
    </row>
  </sheetData>
  <autoFilter ref="I1:N359"/>
  <mergeCells count="6">
    <mergeCell ref="A64:G64"/>
    <mergeCell ref="A1:G1"/>
    <mergeCell ref="A3:G3"/>
    <mergeCell ref="A4:G4"/>
    <mergeCell ref="A6:G6"/>
    <mergeCell ref="A30:G30"/>
  </mergeCells>
  <dataValidations count="4">
    <dataValidation type="list" allowBlank="1" showInputMessage="1" showErrorMessage="1" sqref="H368:H373 I1:I1048576">
      <formula1>$C$76:$C$168</formula1>
    </dataValidation>
    <dataValidation type="list" allowBlank="1" showInputMessage="1" showErrorMessage="1" sqref="K368:K373 L1:L1048576">
      <formula1>$C$171:$C$274</formula1>
    </dataValidation>
    <dataValidation type="list" allowBlank="1" showInputMessage="1" showErrorMessage="1" sqref="J1:J1048576">
      <formula1>$D$76:$D$227</formula1>
    </dataValidation>
    <dataValidation type="list" allowBlank="1" showInputMessage="1" showErrorMessage="1" sqref="M1:M1048576">
      <formula1>$D$238:$D$388</formula1>
    </dataValidation>
  </dataValidations>
  <pageMargins left="0.23622047244094491" right="0.23622047244094491" top="0.47244094488188981" bottom="0.47244094488188981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387</v>
      </c>
    </row>
    <row r="2" spans="1:17" s="50" customFormat="1" ht="15.75"/>
    <row r="3" spans="1:17" s="52" customFormat="1" ht="15.7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8"/>
      <c r="Q3" s="1448"/>
    </row>
    <row r="4" spans="1:17" s="52" customFormat="1" ht="15.75">
      <c r="A4" s="1448" t="s">
        <v>1430</v>
      </c>
      <c r="B4" s="1448"/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5" t="s">
        <v>1586</v>
      </c>
      <c r="D6" s="6" t="s">
        <v>1587</v>
      </c>
      <c r="E6" s="6" t="s">
        <v>1658</v>
      </c>
      <c r="F6" s="7" t="s">
        <v>1659</v>
      </c>
      <c r="G6" s="5" t="s">
        <v>51</v>
      </c>
      <c r="H6" s="6" t="s">
        <v>52</v>
      </c>
      <c r="I6" s="7" t="s">
        <v>53</v>
      </c>
      <c r="J6" s="80" t="s">
        <v>328</v>
      </c>
      <c r="K6" s="1165" t="s">
        <v>1586</v>
      </c>
      <c r="L6" s="6" t="s">
        <v>1587</v>
      </c>
      <c r="M6" s="6" t="s">
        <v>1658</v>
      </c>
      <c r="N6" s="7" t="s">
        <v>1659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7" t="s">
        <v>254</v>
      </c>
      <c r="D7" s="1458"/>
      <c r="E7" s="1458"/>
      <c r="F7" s="1458"/>
      <c r="G7" s="1458"/>
      <c r="H7" s="1458"/>
      <c r="I7" s="1459"/>
      <c r="J7" s="82" t="s">
        <v>360</v>
      </c>
      <c r="K7" s="1457" t="s">
        <v>361</v>
      </c>
      <c r="L7" s="1458"/>
      <c r="M7" s="1458"/>
      <c r="N7" s="1458"/>
      <c r="O7" s="1458"/>
      <c r="P7" s="1458"/>
      <c r="Q7" s="1459"/>
    </row>
    <row r="8" spans="1:17" s="3" customFormat="1" ht="12.75" thickBot="1">
      <c r="A8" s="95" t="s">
        <v>4</v>
      </c>
      <c r="B8" s="63" t="s">
        <v>370</v>
      </c>
      <c r="C8" s="407">
        <f t="shared" ref="C8:F8" si="0">+C9+C11+C13+C15</f>
        <v>1593199</v>
      </c>
      <c r="D8" s="1170">
        <f t="shared" si="0"/>
        <v>1743148</v>
      </c>
      <c r="E8" s="1170">
        <f t="shared" si="0"/>
        <v>20604</v>
      </c>
      <c r="F8" s="130">
        <f t="shared" si="0"/>
        <v>1763752</v>
      </c>
      <c r="G8" s="31">
        <f>+G9+G11+G13+G15</f>
        <v>1710808</v>
      </c>
      <c r="H8" s="32">
        <f>+H9+H11+H13+H15</f>
        <v>52944</v>
      </c>
      <c r="I8" s="33">
        <f>+I9+I11+I13+I15</f>
        <v>0</v>
      </c>
      <c r="J8" s="69" t="s">
        <v>371</v>
      </c>
      <c r="K8" s="129">
        <f t="shared" ref="K8:N8" si="1">+K9+K11+K13+K15+K16</f>
        <v>4018748</v>
      </c>
      <c r="L8" s="1171">
        <f t="shared" si="1"/>
        <v>4625310</v>
      </c>
      <c r="M8" s="1171">
        <f t="shared" si="1"/>
        <v>-15096</v>
      </c>
      <c r="N8" s="29">
        <f t="shared" si="1"/>
        <v>4610214</v>
      </c>
      <c r="O8" s="27">
        <f>+O9+O11+O13+O15+O16</f>
        <v>4542725</v>
      </c>
      <c r="P8" s="28">
        <f>+P9+P11+P13+P15+P16</f>
        <v>67489</v>
      </c>
      <c r="Q8" s="29">
        <f>+Q9+Q11+Q13+Q15+Q16</f>
        <v>0</v>
      </c>
    </row>
    <row r="9" spans="1:17" ht="12.75" customHeight="1">
      <c r="A9" s="125" t="s">
        <v>5</v>
      </c>
      <c r="B9" s="120" t="s">
        <v>373</v>
      </c>
      <c r="C9" s="1040">
        <f>+'1.mell._Össz_Mérleg2020'!C11</f>
        <v>992226</v>
      </c>
      <c r="D9" s="1283">
        <f>+'1.mell._Össz_Mérleg2020'!D11</f>
        <v>1185285</v>
      </c>
      <c r="E9" s="1283">
        <f>+'1.mell._Össz_Mérleg2020'!E11</f>
        <v>20604</v>
      </c>
      <c r="F9" s="48">
        <f>+'1.mell._Össz_Mérleg2020'!F11</f>
        <v>1205889</v>
      </c>
      <c r="G9" s="49">
        <f>+'1.mell._Össz_Mérleg2020'!G11</f>
        <v>1202649</v>
      </c>
      <c r="H9" s="47">
        <f>+'1.mell._Össz_Mérleg2020'!H11</f>
        <v>3240</v>
      </c>
      <c r="I9" s="48">
        <f>+'1.mell._Össz_Mérleg2020'!I11</f>
        <v>0</v>
      </c>
      <c r="J9" s="126" t="s">
        <v>378</v>
      </c>
      <c r="K9" s="1040">
        <f>+'1.mell._Össz_Mérleg2020'!C110</f>
        <v>715534</v>
      </c>
      <c r="L9" s="1283">
        <f>+'1.mell._Össz_Mérleg2020'!D110</f>
        <v>821897</v>
      </c>
      <c r="M9" s="1283">
        <f>+'1.mell._Össz_Mérleg2020'!E110</f>
        <v>5506</v>
      </c>
      <c r="N9" s="48">
        <f>+'1.mell._Össz_Mérleg2020'!F110</f>
        <v>827403</v>
      </c>
      <c r="O9" s="49">
        <f>+'1.mell._Össz_Mérleg2020'!G110</f>
        <v>803419</v>
      </c>
      <c r="P9" s="47">
        <f>+'1.mell._Össz_Mérleg2020'!H110</f>
        <v>23984</v>
      </c>
      <c r="Q9" s="48">
        <f>+'1.mell._Össz_Mérleg2020'!I110</f>
        <v>0</v>
      </c>
    </row>
    <row r="10" spans="1:17" s="13" customFormat="1" ht="24">
      <c r="A10" s="86" t="s">
        <v>348</v>
      </c>
      <c r="B10" s="134" t="s">
        <v>332</v>
      </c>
      <c r="C10" s="400">
        <f>+'1.mell._Össz_Mérleg2020'!C24</f>
        <v>0</v>
      </c>
      <c r="D10" s="1173">
        <f>+'1.mell._Össz_Mérleg2020'!D24</f>
        <v>0</v>
      </c>
      <c r="E10" s="1173">
        <f>+'1.mell._Össz_Mérleg2020'!E24</f>
        <v>0</v>
      </c>
      <c r="F10" s="15">
        <f>+'1.mell._Össz_Mérleg2020'!F24</f>
        <v>0</v>
      </c>
      <c r="G10" s="19">
        <f>+'1.mell._Össz_Mérleg2020'!G24</f>
        <v>0</v>
      </c>
      <c r="H10" s="12">
        <f>+'1.mell._Össz_Mérleg2020'!H24</f>
        <v>0</v>
      </c>
      <c r="I10" s="15">
        <f>+'1.mell._Össz_Mérleg2020'!I24</f>
        <v>0</v>
      </c>
      <c r="J10" s="136" t="s">
        <v>349</v>
      </c>
      <c r="K10" s="400">
        <f>+'1.mell._Össz_Mérleg2020'!C111</f>
        <v>0</v>
      </c>
      <c r="L10" s="1173">
        <f>+'1.mell._Össz_Mérleg2020'!D111</f>
        <v>0</v>
      </c>
      <c r="M10" s="1173">
        <f>+'1.mell._Össz_Mérleg2020'!E111</f>
        <v>0</v>
      </c>
      <c r="N10" s="15">
        <f>+'1.mell._Össz_Mérleg2020'!F111</f>
        <v>0</v>
      </c>
      <c r="O10" s="19">
        <f>+'1.mell._Össz_Mérleg2020'!G111</f>
        <v>0</v>
      </c>
      <c r="P10" s="12">
        <f>+'1.mell._Össz_Mérleg2020'!H111</f>
        <v>0</v>
      </c>
      <c r="Q10" s="15">
        <f>+'1.mell._Össz_Mérleg2020'!I111</f>
        <v>0</v>
      </c>
    </row>
    <row r="11" spans="1:17" ht="12.75" customHeight="1">
      <c r="A11" s="85" t="s">
        <v>6</v>
      </c>
      <c r="B11" s="127" t="s">
        <v>374</v>
      </c>
      <c r="C11" s="402">
        <f>+'1.mell._Össz_Mérleg2020'!C25</f>
        <v>414105</v>
      </c>
      <c r="D11" s="1174">
        <f>+'1.mell._Össz_Mérleg2020'!D25</f>
        <v>365505</v>
      </c>
      <c r="E11" s="1174">
        <f>+'1.mell._Össz_Mérleg2020'!E25</f>
        <v>0</v>
      </c>
      <c r="F11" s="16">
        <f>+'1.mell._Össz_Mérleg2020'!F25</f>
        <v>365505</v>
      </c>
      <c r="G11" s="20">
        <f>+'1.mell._Össz_Mérleg2020'!G25</f>
        <v>347952</v>
      </c>
      <c r="H11" s="11">
        <f>+'1.mell._Össz_Mérleg2020'!H25</f>
        <v>17553</v>
      </c>
      <c r="I11" s="16">
        <f>+'1.mell._Össz_Mérleg2020'!I25</f>
        <v>0</v>
      </c>
      <c r="J11" s="128" t="s">
        <v>372</v>
      </c>
      <c r="K11" s="402">
        <f>+'1.mell._Össz_Mérleg2020'!C114</f>
        <v>130817</v>
      </c>
      <c r="L11" s="1174">
        <f>+'1.mell._Össz_Mérleg2020'!D114</f>
        <v>142723</v>
      </c>
      <c r="M11" s="1174">
        <f>+'1.mell._Össz_Mérleg2020'!E114</f>
        <v>818</v>
      </c>
      <c r="N11" s="16">
        <f>+'1.mell._Össz_Mérleg2020'!F114</f>
        <v>143541</v>
      </c>
      <c r="O11" s="20">
        <f>+'1.mell._Össz_Mérleg2020'!G114</f>
        <v>139663</v>
      </c>
      <c r="P11" s="11">
        <f>+'1.mell._Össz_Mérleg2020'!H114</f>
        <v>3878</v>
      </c>
      <c r="Q11" s="16">
        <f>+'1.mell._Össz_Mérleg2020'!I114</f>
        <v>0</v>
      </c>
    </row>
    <row r="12" spans="1:17" s="13" customFormat="1" ht="24">
      <c r="A12" s="86" t="s">
        <v>345</v>
      </c>
      <c r="B12" s="122"/>
      <c r="C12" s="400"/>
      <c r="D12" s="1173"/>
      <c r="E12" s="1173"/>
      <c r="F12" s="15"/>
      <c r="G12" s="19"/>
      <c r="H12" s="12"/>
      <c r="I12" s="15"/>
      <c r="J12" s="136" t="s">
        <v>346</v>
      </c>
      <c r="K12" s="400">
        <f>+'1.mell._Össz_Mérleg2020'!C115</f>
        <v>0</v>
      </c>
      <c r="L12" s="1173">
        <f>+'1.mell._Össz_Mérleg2020'!D115</f>
        <v>0</v>
      </c>
      <c r="M12" s="1173">
        <f>+'1.mell._Össz_Mérleg2020'!E115</f>
        <v>0</v>
      </c>
      <c r="N12" s="15">
        <f>+'1.mell._Össz_Mérleg2020'!F115</f>
        <v>0</v>
      </c>
      <c r="O12" s="19">
        <f>+'1.mell._Össz_Mérleg2020'!G115</f>
        <v>0</v>
      </c>
      <c r="P12" s="12">
        <f>+'1.mell._Össz_Mérleg2020'!H115</f>
        <v>0</v>
      </c>
      <c r="Q12" s="15">
        <f>+'1.mell._Össz_Mérleg2020'!I115</f>
        <v>0</v>
      </c>
    </row>
    <row r="13" spans="1:17">
      <c r="A13" s="85" t="s">
        <v>3</v>
      </c>
      <c r="B13" s="127" t="s">
        <v>375</v>
      </c>
      <c r="C13" s="402">
        <f>+'1.mell._Össz_Mérleg2020'!C32</f>
        <v>186868</v>
      </c>
      <c r="D13" s="1174">
        <f>+'1.mell._Össz_Mérleg2020'!D32</f>
        <v>186868</v>
      </c>
      <c r="E13" s="1174">
        <f>+'1.mell._Össz_Mérleg2020'!E32</f>
        <v>0</v>
      </c>
      <c r="F13" s="16">
        <f>+'1.mell._Össz_Mérleg2020'!F32</f>
        <v>186868</v>
      </c>
      <c r="G13" s="20">
        <f>+'1.mell._Össz_Mérleg2020'!G32</f>
        <v>154717</v>
      </c>
      <c r="H13" s="11">
        <f>+'1.mell._Össz_Mérleg2020'!H32</f>
        <v>32151</v>
      </c>
      <c r="I13" s="16">
        <f>+'1.mell._Össz_Mérleg2020'!I32</f>
        <v>0</v>
      </c>
      <c r="J13" s="128" t="s">
        <v>379</v>
      </c>
      <c r="K13" s="402">
        <f>+'1.mell._Össz_Mérleg2020'!C116</f>
        <v>401997</v>
      </c>
      <c r="L13" s="1174">
        <f>+'1.mell._Össz_Mérleg2020'!D116</f>
        <v>394387</v>
      </c>
      <c r="M13" s="1174">
        <f>+'1.mell._Össz_Mérleg2020'!E116</f>
        <v>13320</v>
      </c>
      <c r="N13" s="16">
        <f>+'1.mell._Össz_Mérleg2020'!F116</f>
        <v>407707</v>
      </c>
      <c r="O13" s="20">
        <f>+'1.mell._Össz_Mérleg2020'!G116</f>
        <v>381542</v>
      </c>
      <c r="P13" s="11">
        <f>+'1.mell._Össz_Mérleg2020'!H116</f>
        <v>26165</v>
      </c>
      <c r="Q13" s="16">
        <f>+'1.mell._Össz_Mérleg2020'!I116</f>
        <v>0</v>
      </c>
    </row>
    <row r="14" spans="1:17" s="13" customFormat="1" ht="24">
      <c r="A14" s="86" t="s">
        <v>340</v>
      </c>
      <c r="B14" s="123"/>
      <c r="C14" s="400"/>
      <c r="D14" s="1173"/>
      <c r="E14" s="1173"/>
      <c r="F14" s="15"/>
      <c r="G14" s="19"/>
      <c r="H14" s="12"/>
      <c r="I14" s="15"/>
      <c r="J14" s="136" t="s">
        <v>347</v>
      </c>
      <c r="K14" s="400">
        <f>+'1.mell._Össz_Mérleg2020'!C117</f>
        <v>0</v>
      </c>
      <c r="L14" s="1173">
        <f>+'1.mell._Össz_Mérleg2020'!D117</f>
        <v>0</v>
      </c>
      <c r="M14" s="1173">
        <f>+'1.mell._Össz_Mérleg2020'!E117</f>
        <v>0</v>
      </c>
      <c r="N14" s="15">
        <f>+'1.mell._Össz_Mérleg2020'!F117</f>
        <v>0</v>
      </c>
      <c r="O14" s="19">
        <f>+'1.mell._Össz_Mérleg2020'!G117</f>
        <v>0</v>
      </c>
      <c r="P14" s="12">
        <f>+'1.mell._Össz_Mérleg2020'!H117</f>
        <v>0</v>
      </c>
      <c r="Q14" s="15">
        <f>+'1.mell._Össz_Mérleg2020'!I117</f>
        <v>0</v>
      </c>
    </row>
    <row r="15" spans="1:17" ht="12.75" customHeight="1">
      <c r="A15" s="85" t="s">
        <v>16</v>
      </c>
      <c r="B15" s="127" t="s">
        <v>376</v>
      </c>
      <c r="C15" s="402">
        <f>+'1.mell._Össz_Mérleg2020'!C44</f>
        <v>0</v>
      </c>
      <c r="D15" s="1174">
        <f>+'1.mell._Össz_Mérleg2020'!D44</f>
        <v>5490</v>
      </c>
      <c r="E15" s="1174">
        <f>+'1.mell._Össz_Mérleg2020'!E44</f>
        <v>0</v>
      </c>
      <c r="F15" s="16">
        <f>+'1.mell._Össz_Mérleg2020'!F44</f>
        <v>5490</v>
      </c>
      <c r="G15" s="20">
        <f>+'1.mell._Össz_Mérleg2020'!G44</f>
        <v>5490</v>
      </c>
      <c r="H15" s="11">
        <f>+'1.mell._Össz_Mérleg2020'!H44</f>
        <v>0</v>
      </c>
      <c r="I15" s="16">
        <f>+'1.mell._Össz_Mérleg2020'!I44</f>
        <v>0</v>
      </c>
      <c r="J15" s="128" t="s">
        <v>380</v>
      </c>
      <c r="K15" s="402">
        <f>+'1.mell._Össz_Mérleg2020'!C123</f>
        <v>52779</v>
      </c>
      <c r="L15" s="1174">
        <f>+'1.mell._Össz_Mérleg2020'!D123</f>
        <v>52779</v>
      </c>
      <c r="M15" s="1174">
        <f>+'1.mell._Össz_Mérleg2020'!E123</f>
        <v>0</v>
      </c>
      <c r="N15" s="16">
        <f>+'1.mell._Össz_Mérleg2020'!F123</f>
        <v>52779</v>
      </c>
      <c r="O15" s="20">
        <f>+'1.mell._Össz_Mérleg2020'!G123</f>
        <v>49355</v>
      </c>
      <c r="P15" s="11">
        <f>+'1.mell._Össz_Mérleg2020'!H123</f>
        <v>3424</v>
      </c>
      <c r="Q15" s="16">
        <f>+'1.mell._Össz_Mérleg2020'!I123</f>
        <v>0</v>
      </c>
    </row>
    <row r="16" spans="1:17" s="13" customFormat="1">
      <c r="A16" s="85" t="s">
        <v>15</v>
      </c>
      <c r="B16" s="127"/>
      <c r="C16" s="402"/>
      <c r="D16" s="1174"/>
      <c r="E16" s="1174"/>
      <c r="F16" s="16"/>
      <c r="G16" s="20"/>
      <c r="H16" s="11"/>
      <c r="I16" s="16"/>
      <c r="J16" s="128" t="s">
        <v>381</v>
      </c>
      <c r="K16" s="402">
        <f>+'1.mell._Össz_Mérleg2020'!C132</f>
        <v>2717621</v>
      </c>
      <c r="L16" s="1174">
        <f>+'1.mell._Össz_Mérleg2020'!D132</f>
        <v>3213524</v>
      </c>
      <c r="M16" s="1174">
        <f>+'1.mell._Össz_Mérleg2020'!E132</f>
        <v>-34740</v>
      </c>
      <c r="N16" s="16">
        <f>+'1.mell._Össz_Mérleg2020'!F132</f>
        <v>3178784</v>
      </c>
      <c r="O16" s="20">
        <f>+'1.mell._Össz_Mérleg2020'!G132</f>
        <v>3168746</v>
      </c>
      <c r="P16" s="11">
        <f>+'1.mell._Össz_Mérleg2020'!H132</f>
        <v>10038</v>
      </c>
      <c r="Q16" s="16">
        <f>+'1.mell._Össz_Mérleg2020'!I132</f>
        <v>0</v>
      </c>
    </row>
    <row r="17" spans="1:17" s="13" customFormat="1" ht="24.75" thickBot="1">
      <c r="A17" s="90" t="s">
        <v>359</v>
      </c>
      <c r="B17" s="124"/>
      <c r="C17" s="396"/>
      <c r="D17" s="1277"/>
      <c r="E17" s="1277"/>
      <c r="F17" s="42"/>
      <c r="G17" s="46"/>
      <c r="H17" s="41"/>
      <c r="I17" s="42"/>
      <c r="J17" s="135" t="s">
        <v>336</v>
      </c>
      <c r="K17" s="396">
        <f>+'1.mell._Össz_Mérleg2020'!C139</f>
        <v>0</v>
      </c>
      <c r="L17" s="1277">
        <f>+'1.mell._Össz_Mérleg2020'!D139</f>
        <v>0</v>
      </c>
      <c r="M17" s="1277">
        <f>+'1.mell._Össz_Mérleg2020'!E139</f>
        <v>0</v>
      </c>
      <c r="N17" s="42">
        <f>+'1.mell._Össz_Mérleg2020'!F139</f>
        <v>0</v>
      </c>
      <c r="O17" s="46">
        <f>+'1.mell._Össz_Mérleg2020'!G139</f>
        <v>0</v>
      </c>
      <c r="P17" s="41">
        <f>+'1.mell._Össz_Mérleg2020'!H139</f>
        <v>0</v>
      </c>
      <c r="Q17" s="42">
        <f>+'1.mell._Össz_Mérleg2020'!I139</f>
        <v>0</v>
      </c>
    </row>
    <row r="18" spans="1:17" s="3" customFormat="1" ht="12.75" thickBot="1">
      <c r="A18" s="83" t="s">
        <v>14</v>
      </c>
      <c r="B18" s="70" t="s">
        <v>377</v>
      </c>
      <c r="C18" s="129">
        <f t="shared" ref="C18:F18" si="2">+C19</f>
        <v>2876249</v>
      </c>
      <c r="D18" s="1171">
        <f t="shared" si="2"/>
        <v>709830</v>
      </c>
      <c r="E18" s="1171">
        <f t="shared" si="2"/>
        <v>0</v>
      </c>
      <c r="F18" s="29">
        <f t="shared" si="2"/>
        <v>709830</v>
      </c>
      <c r="G18" s="27">
        <f>+G19</f>
        <v>709806</v>
      </c>
      <c r="H18" s="28">
        <f>+H19</f>
        <v>24</v>
      </c>
      <c r="I18" s="29">
        <f>+I19</f>
        <v>0</v>
      </c>
      <c r="J18" s="70" t="s">
        <v>382</v>
      </c>
      <c r="K18" s="129">
        <f t="shared" ref="K18:N18" si="3">+K19</f>
        <v>30446</v>
      </c>
      <c r="L18" s="1171">
        <f t="shared" si="3"/>
        <v>30446</v>
      </c>
      <c r="M18" s="1171">
        <f t="shared" si="3"/>
        <v>0</v>
      </c>
      <c r="N18" s="29">
        <f t="shared" si="3"/>
        <v>30446</v>
      </c>
      <c r="O18" s="27">
        <f>+O19</f>
        <v>30446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947</v>
      </c>
      <c r="C19" s="1040">
        <f t="shared" ref="C19:F19" si="4">+C20+C30+C31+C32</f>
        <v>2876249</v>
      </c>
      <c r="D19" s="1283">
        <f t="shared" si="4"/>
        <v>709830</v>
      </c>
      <c r="E19" s="1283">
        <f t="shared" si="4"/>
        <v>0</v>
      </c>
      <c r="F19" s="48">
        <f t="shared" si="4"/>
        <v>709830</v>
      </c>
      <c r="G19" s="49">
        <f>+G20+G30+G31+G32</f>
        <v>709806</v>
      </c>
      <c r="H19" s="47">
        <f>+H20+H30+H31+H32</f>
        <v>24</v>
      </c>
      <c r="I19" s="48">
        <f>+I20+I30+I31+I32</f>
        <v>0</v>
      </c>
      <c r="J19" s="120" t="s">
        <v>946</v>
      </c>
      <c r="K19" s="1040">
        <f t="shared" ref="K19:N19" si="5">+K20+K30+K31+K32</f>
        <v>30446</v>
      </c>
      <c r="L19" s="1283">
        <f t="shared" si="5"/>
        <v>30446</v>
      </c>
      <c r="M19" s="1283">
        <f t="shared" si="5"/>
        <v>0</v>
      </c>
      <c r="N19" s="48">
        <f t="shared" si="5"/>
        <v>30446</v>
      </c>
      <c r="O19" s="49">
        <f>+O20+O30+O31+O32</f>
        <v>30446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+C21+C22+C23+C24+C25+C26+C27+C28+C29</f>
        <v>2876249</v>
      </c>
      <c r="D20" s="1172">
        <f t="shared" si="6"/>
        <v>709830</v>
      </c>
      <c r="E20" s="1172">
        <f t="shared" si="6"/>
        <v>0</v>
      </c>
      <c r="F20" s="35">
        <f t="shared" si="6"/>
        <v>709830</v>
      </c>
      <c r="G20" s="34">
        <f>+G21+G22+G23+G24+G25+G26+G27+G28+G29</f>
        <v>709806</v>
      </c>
      <c r="H20" s="10">
        <f>+H21+H22+H23+H24+H25+H26+H27+H28+H29</f>
        <v>24</v>
      </c>
      <c r="I20" s="35">
        <f>+I21+I22+I23+I24+I25+I26+I27+I28+I29</f>
        <v>0</v>
      </c>
      <c r="J20" s="65" t="s">
        <v>945</v>
      </c>
      <c r="K20" s="404">
        <f t="shared" ref="K20:N20" si="7">+K21+K22+K23+K24+K25+K26+K27+K28+K29</f>
        <v>30446</v>
      </c>
      <c r="L20" s="1172">
        <f t="shared" si="7"/>
        <v>30446</v>
      </c>
      <c r="M20" s="1172">
        <f t="shared" si="7"/>
        <v>0</v>
      </c>
      <c r="N20" s="35">
        <f t="shared" si="7"/>
        <v>30446</v>
      </c>
      <c r="O20" s="34">
        <f>+O21+O22+O23+O24+O25+O26+O27+O28+O29</f>
        <v>30446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+'1.mell._Össz_Mérleg2020'!C74</f>
        <v>0</v>
      </c>
      <c r="D21" s="1173">
        <f>+'1.mell._Össz_Mérleg2020'!D74</f>
        <v>0</v>
      </c>
      <c r="E21" s="1173">
        <f>+'1.mell._Össz_Mérleg2020'!E74</f>
        <v>0</v>
      </c>
      <c r="F21" s="15">
        <f>+'1.mell._Össz_Mérleg2020'!F74</f>
        <v>0</v>
      </c>
      <c r="G21" s="19">
        <f>+'1.mell._Össz_Mérleg2020'!G74</f>
        <v>0</v>
      </c>
      <c r="H21" s="12">
        <f>+'1.mell._Össz_Mérleg2020'!H74</f>
        <v>0</v>
      </c>
      <c r="I21" s="15">
        <f>+'1.mell._Össz_Mérleg2020'!I74</f>
        <v>0</v>
      </c>
      <c r="J21" s="66" t="s">
        <v>169</v>
      </c>
      <c r="K21" s="400">
        <f>+'1.mell._Össz_Mérleg2020'!C180</f>
        <v>0</v>
      </c>
      <c r="L21" s="1173">
        <f>+'1.mell._Össz_Mérleg2020'!D180</f>
        <v>0</v>
      </c>
      <c r="M21" s="1173">
        <f>+'1.mell._Össz_Mérleg2020'!E180</f>
        <v>0</v>
      </c>
      <c r="N21" s="15">
        <f>+'1.mell._Össz_Mérleg2020'!F180</f>
        <v>0</v>
      </c>
      <c r="O21" s="19">
        <f>+'1.mell._Össz_Mérleg2020'!G180</f>
        <v>0</v>
      </c>
      <c r="P21" s="12">
        <f>+'1.mell._Össz_Mérleg2020'!H180</f>
        <v>0</v>
      </c>
      <c r="Q21" s="15">
        <f>+'1.mell._Össz_Mérleg2020'!I180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+'1.mell._Össz_Mérleg2020'!C75</f>
        <v>0</v>
      </c>
      <c r="D22" s="1173">
        <f>+'1.mell._Össz_Mérleg2020'!D75</f>
        <v>0</v>
      </c>
      <c r="E22" s="1173">
        <f>+'1.mell._Össz_Mérleg2020'!E75</f>
        <v>0</v>
      </c>
      <c r="F22" s="15">
        <f>+'1.mell._Össz_Mérleg2020'!F75</f>
        <v>0</v>
      </c>
      <c r="G22" s="19">
        <f>+'1.mell._Össz_Mérleg2020'!G75</f>
        <v>0</v>
      </c>
      <c r="H22" s="12">
        <f>+'1.mell._Össz_Mérleg2020'!H75</f>
        <v>0</v>
      </c>
      <c r="I22" s="15">
        <f>+'1.mell._Össz_Mérleg2020'!I75</f>
        <v>0</v>
      </c>
      <c r="J22" s="66" t="s">
        <v>170</v>
      </c>
      <c r="K22" s="400">
        <f>+'1.mell._Össz_Mérleg2020'!C181</f>
        <v>0</v>
      </c>
      <c r="L22" s="1173">
        <f>+'1.mell._Össz_Mérleg2020'!D181</f>
        <v>0</v>
      </c>
      <c r="M22" s="1173">
        <f>+'1.mell._Össz_Mérleg2020'!E181</f>
        <v>0</v>
      </c>
      <c r="N22" s="15">
        <f>+'1.mell._Össz_Mérleg2020'!F181</f>
        <v>0</v>
      </c>
      <c r="O22" s="19">
        <f>+'1.mell._Össz_Mérleg2020'!G181</f>
        <v>0</v>
      </c>
      <c r="P22" s="12">
        <f>+'1.mell._Össz_Mérleg2020'!H181</f>
        <v>0</v>
      </c>
      <c r="Q22" s="15">
        <f>+'1.mell._Össz_Mérleg2020'!I181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+'1.mell._Össz_Mérleg2020'!C76</f>
        <v>2876249</v>
      </c>
      <c r="D23" s="1173">
        <f>+'1.mell._Össz_Mérleg2020'!D76</f>
        <v>709830</v>
      </c>
      <c r="E23" s="1173">
        <f>+'1.mell._Össz_Mérleg2020'!E76</f>
        <v>0</v>
      </c>
      <c r="F23" s="15">
        <f>+'1.mell._Össz_Mérleg2020'!F76</f>
        <v>709830</v>
      </c>
      <c r="G23" s="19">
        <f>+'1.mell._Össz_Mérleg2020'!G76</f>
        <v>709806</v>
      </c>
      <c r="H23" s="12">
        <f>+'1.mell._Össz_Mérleg2020'!H76</f>
        <v>24</v>
      </c>
      <c r="I23" s="15">
        <f>+'1.mell._Össz_Mérleg2020'!I76</f>
        <v>0</v>
      </c>
      <c r="J23" s="66" t="s">
        <v>171</v>
      </c>
      <c r="K23" s="400">
        <f>+'1.mell._Össz_Mérleg2020'!C182</f>
        <v>0</v>
      </c>
      <c r="L23" s="1173">
        <f>+'1.mell._Össz_Mérleg2020'!D182</f>
        <v>0</v>
      </c>
      <c r="M23" s="1173">
        <f>+'1.mell._Össz_Mérleg2020'!E182</f>
        <v>0</v>
      </c>
      <c r="N23" s="15">
        <f>+'1.mell._Össz_Mérleg2020'!F182</f>
        <v>0</v>
      </c>
      <c r="O23" s="19">
        <f>+'1.mell._Össz_Mérleg2020'!G182</f>
        <v>0</v>
      </c>
      <c r="P23" s="12">
        <f>+'1.mell._Össz_Mérleg2020'!H182</f>
        <v>0</v>
      </c>
      <c r="Q23" s="15">
        <f>+'1.mell._Össz_Mérleg2020'!I182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+'1.mell._Össz_Mérleg2020'!C77</f>
        <v>0</v>
      </c>
      <c r="D24" s="1173">
        <f>+'1.mell._Össz_Mérleg2020'!D77</f>
        <v>0</v>
      </c>
      <c r="E24" s="1173">
        <f>+'1.mell._Össz_Mérleg2020'!E77</f>
        <v>0</v>
      </c>
      <c r="F24" s="15">
        <f>+'1.mell._Össz_Mérleg2020'!F77</f>
        <v>0</v>
      </c>
      <c r="G24" s="19">
        <f>+'1.mell._Össz_Mérleg2020'!G77</f>
        <v>0</v>
      </c>
      <c r="H24" s="12">
        <f>+'1.mell._Össz_Mérleg2020'!H77</f>
        <v>0</v>
      </c>
      <c r="I24" s="15">
        <f>+'1.mell._Össz_Mérleg2020'!I77</f>
        <v>0</v>
      </c>
      <c r="J24" s="66" t="s">
        <v>172</v>
      </c>
      <c r="K24" s="400">
        <f>+'1.mell._Össz_Mérleg2020'!C183</f>
        <v>30446</v>
      </c>
      <c r="L24" s="1173">
        <f>+'1.mell._Össz_Mérleg2020'!D183</f>
        <v>30446</v>
      </c>
      <c r="M24" s="1173">
        <f>+'1.mell._Össz_Mérleg2020'!E183</f>
        <v>0</v>
      </c>
      <c r="N24" s="15">
        <f>+'1.mell._Össz_Mérleg2020'!F183</f>
        <v>30446</v>
      </c>
      <c r="O24" s="19">
        <f>+'1.mell._Össz_Mérleg2020'!G183</f>
        <v>30446</v>
      </c>
      <c r="P24" s="12">
        <f>+'1.mell._Össz_Mérleg2020'!H183</f>
        <v>0</v>
      </c>
      <c r="Q24" s="15">
        <f>+'1.mell._Össz_Mérleg2020'!I183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+'1.mell._Össz_Mérleg2020'!C78</f>
        <v>0</v>
      </c>
      <c r="D25" s="1173">
        <f>+'1.mell._Össz_Mérleg2020'!D78</f>
        <v>0</v>
      </c>
      <c r="E25" s="1173">
        <f>+'1.mell._Össz_Mérleg2020'!E78</f>
        <v>0</v>
      </c>
      <c r="F25" s="15">
        <f>+'1.mell._Össz_Mérleg2020'!F78</f>
        <v>0</v>
      </c>
      <c r="G25" s="19">
        <f>+'1.mell._Össz_Mérleg2020'!G78</f>
        <v>0</v>
      </c>
      <c r="H25" s="12">
        <f>+'1.mell._Össz_Mérleg2020'!H78</f>
        <v>0</v>
      </c>
      <c r="I25" s="15">
        <f>+'1.mell._Össz_Mérleg2020'!I78</f>
        <v>0</v>
      </c>
      <c r="J25" s="66" t="s">
        <v>173</v>
      </c>
      <c r="K25" s="400">
        <f>+'1.mell._Össz_Mérleg2020'!C184</f>
        <v>0</v>
      </c>
      <c r="L25" s="1173">
        <f>+'1.mell._Össz_Mérleg2020'!D184</f>
        <v>0</v>
      </c>
      <c r="M25" s="1173">
        <f>+'1.mell._Össz_Mérleg2020'!E184</f>
        <v>0</v>
      </c>
      <c r="N25" s="15">
        <f>+'1.mell._Össz_Mérleg2020'!F184</f>
        <v>0</v>
      </c>
      <c r="O25" s="19">
        <f>+'1.mell._Össz_Mérleg2020'!G184</f>
        <v>0</v>
      </c>
      <c r="P25" s="12">
        <f>+'1.mell._Össz_Mérleg2020'!H184</f>
        <v>0</v>
      </c>
      <c r="Q25" s="15">
        <f>+'1.mell._Össz_Mérleg2020'!I184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+'1.mell._Össz_Mérleg2020'!C79</f>
        <v>0</v>
      </c>
      <c r="D26" s="1173">
        <f>+'1.mell._Össz_Mérleg2020'!D79</f>
        <v>0</v>
      </c>
      <c r="E26" s="1173">
        <f>+'1.mell._Össz_Mérleg2020'!E79</f>
        <v>0</v>
      </c>
      <c r="F26" s="15">
        <f>+'1.mell._Össz_Mérleg2020'!F79</f>
        <v>0</v>
      </c>
      <c r="G26" s="19">
        <f>+'1.mell._Össz_Mérleg2020'!G79</f>
        <v>0</v>
      </c>
      <c r="H26" s="12">
        <f>+'1.mell._Össz_Mérleg2020'!H79</f>
        <v>0</v>
      </c>
      <c r="I26" s="15">
        <f>+'1.mell._Össz_Mérleg2020'!I79</f>
        <v>0</v>
      </c>
      <c r="J26" s="66" t="s">
        <v>178</v>
      </c>
      <c r="K26" s="400">
        <f>+'1.mell._Össz_Mérleg2020'!C185</f>
        <v>0</v>
      </c>
      <c r="L26" s="1173">
        <f>+'1.mell._Össz_Mérleg2020'!D185</f>
        <v>0</v>
      </c>
      <c r="M26" s="1173">
        <f>+'1.mell._Össz_Mérleg2020'!E185</f>
        <v>0</v>
      </c>
      <c r="N26" s="15">
        <f>+'1.mell._Össz_Mérleg2020'!F185</f>
        <v>0</v>
      </c>
      <c r="O26" s="19">
        <f>+'1.mell._Össz_Mérleg2020'!G185</f>
        <v>0</v>
      </c>
      <c r="P26" s="12">
        <f>+'1.mell._Össz_Mérleg2020'!H185</f>
        <v>0</v>
      </c>
      <c r="Q26" s="15">
        <f>+'1.mell._Össz_Mérleg2020'!I185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+'1.mell._Össz_Mérleg2020'!C80</f>
        <v>0</v>
      </c>
      <c r="D27" s="1173">
        <f>+'1.mell._Össz_Mérleg2020'!D80</f>
        <v>0</v>
      </c>
      <c r="E27" s="1173">
        <f>+'1.mell._Össz_Mérleg2020'!E80</f>
        <v>0</v>
      </c>
      <c r="F27" s="15">
        <f>+'1.mell._Össz_Mérleg2020'!F80</f>
        <v>0</v>
      </c>
      <c r="G27" s="19">
        <f>+'1.mell._Össz_Mérleg2020'!G80</f>
        <v>0</v>
      </c>
      <c r="H27" s="12">
        <f>+'1.mell._Össz_Mérleg2020'!H80</f>
        <v>0</v>
      </c>
      <c r="I27" s="15">
        <f>+'1.mell._Össz_Mérleg2020'!I80</f>
        <v>0</v>
      </c>
      <c r="J27" s="66" t="s">
        <v>174</v>
      </c>
      <c r="K27" s="400">
        <f>+'1.mell._Össz_Mérleg2020'!C186</f>
        <v>0</v>
      </c>
      <c r="L27" s="1173">
        <f>+'1.mell._Össz_Mérleg2020'!D186</f>
        <v>0</v>
      </c>
      <c r="M27" s="1173">
        <f>+'1.mell._Össz_Mérleg2020'!E186</f>
        <v>0</v>
      </c>
      <c r="N27" s="15">
        <f>+'1.mell._Össz_Mérleg2020'!F186</f>
        <v>0</v>
      </c>
      <c r="O27" s="19">
        <f>+'1.mell._Össz_Mérleg2020'!G186</f>
        <v>0</v>
      </c>
      <c r="P27" s="12">
        <f>+'1.mell._Össz_Mérleg2020'!H186</f>
        <v>0</v>
      </c>
      <c r="Q27" s="15">
        <f>+'1.mell._Össz_Mérleg2020'!I186</f>
        <v>0</v>
      </c>
    </row>
    <row r="28" spans="1:17">
      <c r="A28" s="86" t="s">
        <v>369</v>
      </c>
      <c r="B28" s="66" t="s">
        <v>244</v>
      </c>
      <c r="C28" s="400">
        <f>+'1.mell._Össz_Mérleg2020'!C81</f>
        <v>0</v>
      </c>
      <c r="D28" s="1173">
        <f>+'1.mell._Össz_Mérleg2020'!D81</f>
        <v>0</v>
      </c>
      <c r="E28" s="1173">
        <f>+'1.mell._Össz_Mérleg2020'!E81</f>
        <v>0</v>
      </c>
      <c r="F28" s="15">
        <f>+'1.mell._Össz_Mérleg2020'!F81</f>
        <v>0</v>
      </c>
      <c r="G28" s="19">
        <f>+'1.mell._Össz_Mérleg2020'!G81</f>
        <v>0</v>
      </c>
      <c r="H28" s="12">
        <f>+'1.mell._Össz_Mérleg2020'!H81</f>
        <v>0</v>
      </c>
      <c r="I28" s="15">
        <f>+'1.mell._Össz_Mérleg2020'!I81</f>
        <v>0</v>
      </c>
      <c r="J28" s="66" t="s">
        <v>175</v>
      </c>
      <c r="K28" s="400">
        <f>+'1.mell._Össz_Mérleg2020'!C187</f>
        <v>0</v>
      </c>
      <c r="L28" s="1173">
        <f>+'1.mell._Össz_Mérleg2020'!D187</f>
        <v>0</v>
      </c>
      <c r="M28" s="1173">
        <f>+'1.mell._Össz_Mérleg2020'!E187</f>
        <v>0</v>
      </c>
      <c r="N28" s="15">
        <f>+'1.mell._Össz_Mérleg2020'!F187</f>
        <v>0</v>
      </c>
      <c r="O28" s="19">
        <f>+'1.mell._Össz_Mérleg2020'!G187</f>
        <v>0</v>
      </c>
      <c r="P28" s="12">
        <f>+'1.mell._Össz_Mérleg2020'!H187</f>
        <v>0</v>
      </c>
      <c r="Q28" s="15">
        <f>+'1.mell._Össz_Mérleg2020'!I187</f>
        <v>0</v>
      </c>
    </row>
    <row r="29" spans="1:17">
      <c r="A29" s="86" t="s">
        <v>943</v>
      </c>
      <c r="B29" s="66" t="s">
        <v>913</v>
      </c>
      <c r="C29" s="400">
        <f>+'1.mell._Össz_Mérleg2020'!C82</f>
        <v>0</v>
      </c>
      <c r="D29" s="1173">
        <f>+'1.mell._Össz_Mérleg2020'!D82</f>
        <v>0</v>
      </c>
      <c r="E29" s="1173">
        <f>+'1.mell._Össz_Mérleg2020'!E82</f>
        <v>0</v>
      </c>
      <c r="F29" s="15">
        <f>+'1.mell._Össz_Mérleg2020'!F82</f>
        <v>0</v>
      </c>
      <c r="G29" s="19">
        <f>+'1.mell._Össz_Mérleg2020'!G82</f>
        <v>0</v>
      </c>
      <c r="H29" s="12">
        <f>+'1.mell._Össz_Mérleg2020'!H82</f>
        <v>0</v>
      </c>
      <c r="I29" s="15">
        <f>+'1.mell._Össz_Mérleg2020'!I82</f>
        <v>0</v>
      </c>
      <c r="J29" s="66" t="s">
        <v>937</v>
      </c>
      <c r="K29" s="400">
        <f>+'1.mell._Össz_Mérleg2020'!C188</f>
        <v>0</v>
      </c>
      <c r="L29" s="1173">
        <f>+'1.mell._Össz_Mérleg2020'!D188</f>
        <v>0</v>
      </c>
      <c r="M29" s="1173">
        <f>+'1.mell._Össz_Mérleg2020'!E188</f>
        <v>0</v>
      </c>
      <c r="N29" s="15">
        <f>+'1.mell._Össz_Mérleg2020'!F188</f>
        <v>0</v>
      </c>
      <c r="O29" s="19">
        <f>+'1.mell._Össz_Mérleg2020'!G188</f>
        <v>0</v>
      </c>
      <c r="P29" s="12">
        <f>+'1.mell._Össz_Mérleg2020'!H188</f>
        <v>0</v>
      </c>
      <c r="Q29" s="15">
        <f>+'1.mell._Össz_Mérleg2020'!I188</f>
        <v>0</v>
      </c>
    </row>
    <row r="30" spans="1:17">
      <c r="A30" s="85" t="s">
        <v>67</v>
      </c>
      <c r="B30" s="67" t="s">
        <v>242</v>
      </c>
      <c r="C30" s="402">
        <f>+'1.mell._Össz_Mérleg2020'!C83</f>
        <v>0</v>
      </c>
      <c r="D30" s="1174">
        <f>+'1.mell._Össz_Mérleg2020'!D83</f>
        <v>0</v>
      </c>
      <c r="E30" s="1174">
        <f>+'1.mell._Össz_Mérleg2020'!E83</f>
        <v>0</v>
      </c>
      <c r="F30" s="16">
        <f>+'1.mell._Össz_Mérleg2020'!F83</f>
        <v>0</v>
      </c>
      <c r="G30" s="20">
        <f>+'1.mell._Össz_Mérleg2020'!G83</f>
        <v>0</v>
      </c>
      <c r="H30" s="11">
        <f>+'1.mell._Össz_Mérleg2020'!H83</f>
        <v>0</v>
      </c>
      <c r="I30" s="16">
        <f>+'1.mell._Össz_Mérleg2020'!I83</f>
        <v>0</v>
      </c>
      <c r="J30" s="67" t="s">
        <v>176</v>
      </c>
      <c r="K30" s="402">
        <f>+'1.mell._Össz_Mérleg2020'!C189</f>
        <v>0</v>
      </c>
      <c r="L30" s="1174">
        <f>+'1.mell._Össz_Mérleg2020'!D189</f>
        <v>0</v>
      </c>
      <c r="M30" s="1174">
        <f>+'1.mell._Össz_Mérleg2020'!E189</f>
        <v>0</v>
      </c>
      <c r="N30" s="16">
        <f>+'1.mell._Össz_Mérleg2020'!F189</f>
        <v>0</v>
      </c>
      <c r="O30" s="20">
        <f>+'1.mell._Össz_Mérleg2020'!G189</f>
        <v>0</v>
      </c>
      <c r="P30" s="11">
        <f>+'1.mell._Össz_Mérleg2020'!H189</f>
        <v>0</v>
      </c>
      <c r="Q30" s="16">
        <f>+'1.mell._Össz_Mérleg2020'!I189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+'1.mell._Össz_Mérleg2020'!C84</f>
        <v>0</v>
      </c>
      <c r="D31" s="1175">
        <f>+'1.mell._Össz_Mérleg2020'!D84</f>
        <v>0</v>
      </c>
      <c r="E31" s="1175">
        <f>+'1.mell._Össz_Mérleg2020'!E84</f>
        <v>0</v>
      </c>
      <c r="F31" s="23">
        <f>+'1.mell._Össz_Mérleg2020'!F84</f>
        <v>0</v>
      </c>
      <c r="G31" s="21">
        <f>+'1.mell._Össz_Mérleg2020'!G84</f>
        <v>0</v>
      </c>
      <c r="H31" s="22">
        <f>+'1.mell._Össz_Mérleg2020'!H84</f>
        <v>0</v>
      </c>
      <c r="I31" s="23">
        <f>+'1.mell._Össz_Mérleg2020'!I84</f>
        <v>0</v>
      </c>
      <c r="J31" s="68" t="s">
        <v>177</v>
      </c>
      <c r="K31" s="403">
        <f>+'1.mell._Össz_Mérleg2020'!C190</f>
        <v>0</v>
      </c>
      <c r="L31" s="1175">
        <f>+'1.mell._Össz_Mérleg2020'!D190</f>
        <v>0</v>
      </c>
      <c r="M31" s="1175">
        <f>+'1.mell._Össz_Mérleg2020'!E190</f>
        <v>0</v>
      </c>
      <c r="N31" s="23">
        <f>+'1.mell._Össz_Mérleg2020'!F190</f>
        <v>0</v>
      </c>
      <c r="O31" s="21">
        <f>+'1.mell._Össz_Mérleg2020'!G190</f>
        <v>0</v>
      </c>
      <c r="P31" s="22">
        <f>+'1.mell._Össz_Mérleg2020'!H190</f>
        <v>0</v>
      </c>
      <c r="Q31" s="23">
        <f>+'1.mell._Össz_Mérleg2020'!I190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+'1.mell._Össz_Mérleg2020'!C85</f>
        <v>0</v>
      </c>
      <c r="D32" s="1175">
        <f>+'1.mell._Össz_Mérleg2020'!D85</f>
        <v>0</v>
      </c>
      <c r="E32" s="1175">
        <f>+'1.mell._Össz_Mérleg2020'!E85</f>
        <v>0</v>
      </c>
      <c r="F32" s="23">
        <f>+'1.mell._Össz_Mérleg2020'!F85</f>
        <v>0</v>
      </c>
      <c r="G32" s="21">
        <f>+'1.mell._Össz_Mérleg2020'!G85</f>
        <v>0</v>
      </c>
      <c r="H32" s="22">
        <f>+'1.mell._Össz_Mérleg2020'!H85</f>
        <v>0</v>
      </c>
      <c r="I32" s="23">
        <f>+'1.mell._Össz_Mérleg2020'!I85</f>
        <v>0</v>
      </c>
      <c r="J32" s="68" t="s">
        <v>938</v>
      </c>
      <c r="K32" s="403">
        <f>+'1.mell._Össz_Mérleg2020'!C191</f>
        <v>0</v>
      </c>
      <c r="L32" s="1175">
        <f>+'1.mell._Össz_Mérleg2020'!D191</f>
        <v>0</v>
      </c>
      <c r="M32" s="1175">
        <f>+'1.mell._Össz_Mérleg2020'!E191</f>
        <v>0</v>
      </c>
      <c r="N32" s="23">
        <f>+'1.mell._Össz_Mérleg2020'!F191</f>
        <v>0</v>
      </c>
      <c r="O32" s="21">
        <f>+'1.mell._Össz_Mérleg2020'!G191</f>
        <v>0</v>
      </c>
      <c r="P32" s="22">
        <f>+'1.mell._Össz_Mérleg2020'!H191</f>
        <v>0</v>
      </c>
      <c r="Q32" s="23">
        <f>+'1.mell._Össz_Mérleg2020'!I191</f>
        <v>0</v>
      </c>
    </row>
    <row r="33" spans="1:17" s="3" customFormat="1" ht="12.75" thickBot="1">
      <c r="A33" s="81" t="s">
        <v>12</v>
      </c>
      <c r="B33" s="133" t="s">
        <v>383</v>
      </c>
      <c r="C33" s="407">
        <f t="shared" ref="C33:F33" si="8">+C8+C18</f>
        <v>4469448</v>
      </c>
      <c r="D33" s="1170">
        <f t="shared" si="8"/>
        <v>2452978</v>
      </c>
      <c r="E33" s="1170">
        <f t="shared" si="8"/>
        <v>20604</v>
      </c>
      <c r="F33" s="130">
        <f t="shared" si="8"/>
        <v>2473582</v>
      </c>
      <c r="G33" s="132">
        <f>+G8+G18</f>
        <v>2420614</v>
      </c>
      <c r="H33" s="131">
        <f>+H8+H18</f>
        <v>52968</v>
      </c>
      <c r="I33" s="130">
        <f>+I8+I18</f>
        <v>0</v>
      </c>
      <c r="J33" s="121" t="s">
        <v>386</v>
      </c>
      <c r="K33" s="129">
        <f t="shared" ref="K33:N33" si="9">+K8+K18</f>
        <v>4049194</v>
      </c>
      <c r="L33" s="1171">
        <f t="shared" si="9"/>
        <v>4655756</v>
      </c>
      <c r="M33" s="1171">
        <f t="shared" si="9"/>
        <v>-15096</v>
      </c>
      <c r="N33" s="29">
        <f t="shared" si="9"/>
        <v>4640660</v>
      </c>
      <c r="O33" s="27">
        <f>+O8+O18</f>
        <v>4573171</v>
      </c>
      <c r="P33" s="28">
        <f>+P8+P18</f>
        <v>67489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384</v>
      </c>
      <c r="C34" s="1284">
        <f t="shared" ref="C34:F34" si="10">IF(((K8-C8)&gt;0),K8-C8,"----")</f>
        <v>2425549</v>
      </c>
      <c r="D34" s="1285">
        <f t="shared" si="10"/>
        <v>2882162</v>
      </c>
      <c r="E34" s="1285" t="str">
        <f t="shared" si="10"/>
        <v>----</v>
      </c>
      <c r="F34" s="137">
        <f t="shared" si="10"/>
        <v>2846462</v>
      </c>
      <c r="G34" s="139">
        <f>IF(((O8-G8)&gt;0),O8-G8,"----")</f>
        <v>2831917</v>
      </c>
      <c r="H34" s="138">
        <f>IF(((P8-H8)&gt;0),P8-H8,"----")</f>
        <v>14545</v>
      </c>
      <c r="I34" s="137" t="str">
        <f>IF(((Q8-I8)&gt;0),Q8-I8,"----")</f>
        <v>----</v>
      </c>
      <c r="J34" s="69" t="s">
        <v>385</v>
      </c>
      <c r="K34" s="1284" t="str">
        <f t="shared" ref="K34:N34" si="11">IF(((C8-K8)&gt;0),C8-K8,"----")</f>
        <v>----</v>
      </c>
      <c r="L34" s="1285" t="str">
        <f t="shared" si="11"/>
        <v>----</v>
      </c>
      <c r="M34" s="1285">
        <f t="shared" si="11"/>
        <v>35700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388</v>
      </c>
      <c r="C35" s="1284" t="str">
        <f t="shared" ref="C35:F35" si="12">IF(((K18-C18)&gt;0),K18-C18,"----")</f>
        <v>----</v>
      </c>
      <c r="D35" s="138" t="str">
        <f t="shared" si="12"/>
        <v>----</v>
      </c>
      <c r="E35" s="1285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389</v>
      </c>
      <c r="K35" s="1284">
        <f t="shared" ref="K35:N35" si="13">IF(((C18-K18)&gt;0),C18-K18,"----")</f>
        <v>2845803</v>
      </c>
      <c r="L35" s="1285">
        <f t="shared" si="13"/>
        <v>679384</v>
      </c>
      <c r="M35" s="1285" t="str">
        <f t="shared" si="13"/>
        <v>----</v>
      </c>
      <c r="N35" s="137">
        <f t="shared" si="13"/>
        <v>679384</v>
      </c>
      <c r="O35" s="139">
        <f>IF(((G18-O18)&gt;0),G18-O18,"----")</f>
        <v>679360</v>
      </c>
      <c r="P35" s="138">
        <f>IF(((H18-P18)&gt;0),H18-P18,"----")</f>
        <v>24</v>
      </c>
      <c r="Q35" s="137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390</v>
      </c>
    </row>
    <row r="2" spans="1:17" s="50" customFormat="1" ht="15.75"/>
    <row r="3" spans="1:17" s="52" customFormat="1" ht="15.7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8"/>
      <c r="Q3" s="1448"/>
    </row>
    <row r="4" spans="1:17" s="52" customFormat="1" ht="15.75">
      <c r="A4" s="1448" t="s">
        <v>1431</v>
      </c>
      <c r="B4" s="1448"/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5" t="s">
        <v>1586</v>
      </c>
      <c r="D6" s="6" t="s">
        <v>1587</v>
      </c>
      <c r="E6" s="6" t="s">
        <v>1658</v>
      </c>
      <c r="F6" s="7" t="s">
        <v>1659</v>
      </c>
      <c r="G6" s="5" t="s">
        <v>51</v>
      </c>
      <c r="H6" s="6" t="s">
        <v>52</v>
      </c>
      <c r="I6" s="7" t="s">
        <v>53</v>
      </c>
      <c r="J6" s="80" t="s">
        <v>328</v>
      </c>
      <c r="K6" s="1165" t="s">
        <v>1586</v>
      </c>
      <c r="L6" s="6" t="s">
        <v>1587</v>
      </c>
      <c r="M6" s="6" t="s">
        <v>1658</v>
      </c>
      <c r="N6" s="7" t="s">
        <v>1659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7" t="s">
        <v>254</v>
      </c>
      <c r="D7" s="1458"/>
      <c r="E7" s="1458"/>
      <c r="F7" s="1458"/>
      <c r="G7" s="1458"/>
      <c r="H7" s="1458"/>
      <c r="I7" s="1459"/>
      <c r="J7" s="82" t="s">
        <v>360</v>
      </c>
      <c r="K7" s="1457" t="s">
        <v>361</v>
      </c>
      <c r="L7" s="1458"/>
      <c r="M7" s="1458"/>
      <c r="N7" s="1458"/>
      <c r="O7" s="1458"/>
      <c r="P7" s="1458"/>
      <c r="Q7" s="1459"/>
    </row>
    <row r="8" spans="1:17" s="3" customFormat="1" ht="12.75" thickBot="1">
      <c r="A8" s="95" t="s">
        <v>4</v>
      </c>
      <c r="B8" s="63" t="s">
        <v>401</v>
      </c>
      <c r="C8" s="407">
        <f t="shared" ref="C8:F8" si="0">+C9+C11+C13+C15</f>
        <v>73726</v>
      </c>
      <c r="D8" s="1170">
        <f t="shared" si="0"/>
        <v>73726</v>
      </c>
      <c r="E8" s="1170">
        <f t="shared" si="0"/>
        <v>0</v>
      </c>
      <c r="F8" s="130">
        <f t="shared" si="0"/>
        <v>73726</v>
      </c>
      <c r="G8" s="31">
        <f>+G9+G11+G13+G15</f>
        <v>72626</v>
      </c>
      <c r="H8" s="32">
        <f>+H9+H11+H13+H15</f>
        <v>1100</v>
      </c>
      <c r="I8" s="33">
        <f>+I9+I11+I13+I15</f>
        <v>0</v>
      </c>
      <c r="J8" s="69" t="s">
        <v>402</v>
      </c>
      <c r="K8" s="129">
        <f t="shared" ref="K8:N8" si="1">+K9+K11+K13+K15+K16</f>
        <v>503980</v>
      </c>
      <c r="L8" s="1171">
        <f t="shared" si="1"/>
        <v>524980</v>
      </c>
      <c r="M8" s="1171">
        <f t="shared" si="1"/>
        <v>35700</v>
      </c>
      <c r="N8" s="29">
        <f t="shared" si="1"/>
        <v>560680</v>
      </c>
      <c r="O8" s="27">
        <f>+O9+O11+O13+O15+O16</f>
        <v>215430</v>
      </c>
      <c r="P8" s="28">
        <f>+P9+P11+P13+P15+P16</f>
        <v>345250</v>
      </c>
      <c r="Q8" s="29">
        <f>+Q9+Q11+Q13+Q15+Q16</f>
        <v>0</v>
      </c>
    </row>
    <row r="9" spans="1:17" ht="12.75" customHeight="1">
      <c r="A9" s="125" t="s">
        <v>5</v>
      </c>
      <c r="B9" s="120" t="s">
        <v>398</v>
      </c>
      <c r="C9" s="1040">
        <f>+'1.mell._Össz_Mérleg2020'!C51</f>
        <v>32276</v>
      </c>
      <c r="D9" s="1283">
        <f>+'1.mell._Össz_Mérleg2020'!D51</f>
        <v>32276</v>
      </c>
      <c r="E9" s="1283">
        <f>+'1.mell._Össz_Mérleg2020'!E51</f>
        <v>0</v>
      </c>
      <c r="F9" s="48">
        <f>+'1.mell._Össz_Mérleg2020'!F51</f>
        <v>32276</v>
      </c>
      <c r="G9" s="49">
        <f>+'1.mell._Össz_Mérleg2020'!G51</f>
        <v>32276</v>
      </c>
      <c r="H9" s="47">
        <f>+'1.mell._Össz_Mérleg2020'!H51</f>
        <v>0</v>
      </c>
      <c r="I9" s="48">
        <f>+'1.mell._Össz_Mérleg2020'!I51</f>
        <v>0</v>
      </c>
      <c r="J9" s="126" t="s">
        <v>403</v>
      </c>
      <c r="K9" s="1040">
        <f>+'1.mell._Össz_Mérleg2020'!C150</f>
        <v>436722</v>
      </c>
      <c r="L9" s="1283">
        <f>+'1.mell._Össz_Mérleg2020'!D150</f>
        <v>463722</v>
      </c>
      <c r="M9" s="1283">
        <f>+'1.mell._Össz_Mérleg2020'!E150</f>
        <v>16538</v>
      </c>
      <c r="N9" s="48">
        <f>+'1.mell._Össz_Mérleg2020'!F150</f>
        <v>480260</v>
      </c>
      <c r="O9" s="49">
        <f>+'1.mell._Össz_Mérleg2020'!G150</f>
        <v>135010</v>
      </c>
      <c r="P9" s="47">
        <f>+'1.mell._Össz_Mérleg2020'!H150</f>
        <v>345250</v>
      </c>
      <c r="Q9" s="48">
        <f>+'1.mell._Össz_Mérleg2020'!I150</f>
        <v>0</v>
      </c>
    </row>
    <row r="10" spans="1:17" s="13" customFormat="1" ht="24">
      <c r="A10" s="86" t="s">
        <v>348</v>
      </c>
      <c r="B10" s="134"/>
      <c r="C10" s="400"/>
      <c r="D10" s="1173"/>
      <c r="E10" s="1173"/>
      <c r="F10" s="15"/>
      <c r="G10" s="19"/>
      <c r="H10" s="12"/>
      <c r="I10" s="15"/>
      <c r="J10" s="136" t="s">
        <v>341</v>
      </c>
      <c r="K10" s="400">
        <f>+'1.mell._Össz_Mérleg2020'!C151</f>
        <v>0</v>
      </c>
      <c r="L10" s="1173">
        <f>+'1.mell._Össz_Mérleg2020'!D151</f>
        <v>0</v>
      </c>
      <c r="M10" s="1173">
        <f>+'1.mell._Össz_Mérleg2020'!E151</f>
        <v>0</v>
      </c>
      <c r="N10" s="15">
        <f>+'1.mell._Össz_Mérleg2020'!F151</f>
        <v>0</v>
      </c>
      <c r="O10" s="19">
        <f>+'1.mell._Össz_Mérleg2020'!G151</f>
        <v>0</v>
      </c>
      <c r="P10" s="12">
        <f>+'1.mell._Össz_Mérleg2020'!H151</f>
        <v>0</v>
      </c>
      <c r="Q10" s="15">
        <f>+'1.mell._Össz_Mérleg2020'!I151</f>
        <v>0</v>
      </c>
    </row>
    <row r="11" spans="1:17" ht="12.75" customHeight="1">
      <c r="A11" s="85" t="s">
        <v>6</v>
      </c>
      <c r="B11" s="127" t="s">
        <v>399</v>
      </c>
      <c r="C11" s="402">
        <f>+'1.mell._Össz_Mérleg2020'!C58</f>
        <v>40350</v>
      </c>
      <c r="D11" s="1174">
        <f>+'1.mell._Össz_Mérleg2020'!D58</f>
        <v>40350</v>
      </c>
      <c r="E11" s="1174">
        <f>+'1.mell._Össz_Mérleg2020'!E58</f>
        <v>0</v>
      </c>
      <c r="F11" s="16">
        <f>+'1.mell._Össz_Mérleg2020'!F58</f>
        <v>40350</v>
      </c>
      <c r="G11" s="20">
        <f>+'1.mell._Össz_Mérleg2020'!G58</f>
        <v>40350</v>
      </c>
      <c r="H11" s="11">
        <f>+'1.mell._Össz_Mérleg2020'!H58</f>
        <v>0</v>
      </c>
      <c r="I11" s="16">
        <f>+'1.mell._Össz_Mérleg2020'!I58</f>
        <v>0</v>
      </c>
      <c r="J11" s="128" t="s">
        <v>404</v>
      </c>
      <c r="K11" s="402">
        <f>+'1.mell._Össz_Mérleg2020'!C159</f>
        <v>67258</v>
      </c>
      <c r="L11" s="1174">
        <f>+'1.mell._Össz_Mérleg2020'!D159</f>
        <v>61258</v>
      </c>
      <c r="M11" s="1174">
        <f>+'1.mell._Össz_Mérleg2020'!E159</f>
        <v>0</v>
      </c>
      <c r="N11" s="16">
        <f>+'1.mell._Össz_Mérleg2020'!F159</f>
        <v>61258</v>
      </c>
      <c r="O11" s="20">
        <f>+'1.mell._Össz_Mérleg2020'!G159</f>
        <v>61258</v>
      </c>
      <c r="P11" s="11">
        <f>+'1.mell._Össz_Mérleg2020'!H159</f>
        <v>0</v>
      </c>
      <c r="Q11" s="16">
        <f>+'1.mell._Össz_Mérleg2020'!I159</f>
        <v>0</v>
      </c>
    </row>
    <row r="12" spans="1:17" s="13" customFormat="1" ht="24">
      <c r="A12" s="86" t="s">
        <v>345</v>
      </c>
      <c r="B12" s="122"/>
      <c r="C12" s="400"/>
      <c r="D12" s="1173"/>
      <c r="E12" s="1173"/>
      <c r="F12" s="15"/>
      <c r="G12" s="19"/>
      <c r="H12" s="12"/>
      <c r="I12" s="15"/>
      <c r="J12" s="136" t="s">
        <v>344</v>
      </c>
      <c r="K12" s="400">
        <f>+'1.mell._Össz_Mérleg2020'!C160</f>
        <v>0</v>
      </c>
      <c r="L12" s="1173">
        <f>+'1.mell._Össz_Mérleg2020'!D160</f>
        <v>0</v>
      </c>
      <c r="M12" s="1173">
        <f>+'1.mell._Össz_Mérleg2020'!E160</f>
        <v>0</v>
      </c>
      <c r="N12" s="15">
        <f>+'1.mell._Össz_Mérleg2020'!F160</f>
        <v>0</v>
      </c>
      <c r="O12" s="19">
        <f>+'1.mell._Össz_Mérleg2020'!G160</f>
        <v>0</v>
      </c>
      <c r="P12" s="12">
        <f>+'1.mell._Össz_Mérleg2020'!H160</f>
        <v>0</v>
      </c>
      <c r="Q12" s="15">
        <f>+'1.mell._Össz_Mérleg2020'!I160</f>
        <v>0</v>
      </c>
    </row>
    <row r="13" spans="1:17">
      <c r="A13" s="85" t="s">
        <v>3</v>
      </c>
      <c r="B13" s="127" t="s">
        <v>400</v>
      </c>
      <c r="C13" s="402">
        <f>+'1.mell._Össz_Mérleg2020'!C64</f>
        <v>1100</v>
      </c>
      <c r="D13" s="1174">
        <f>+'1.mell._Össz_Mérleg2020'!D64</f>
        <v>1100</v>
      </c>
      <c r="E13" s="1174">
        <f>+'1.mell._Össz_Mérleg2020'!E64</f>
        <v>0</v>
      </c>
      <c r="F13" s="16">
        <f>+'1.mell._Össz_Mérleg2020'!F64</f>
        <v>1100</v>
      </c>
      <c r="G13" s="20">
        <f>+'1.mell._Össz_Mérleg2020'!G64</f>
        <v>0</v>
      </c>
      <c r="H13" s="11">
        <f>+'1.mell._Össz_Mérleg2020'!H64</f>
        <v>1100</v>
      </c>
      <c r="I13" s="16">
        <f>+'1.mell._Össz_Mérleg2020'!I64</f>
        <v>0</v>
      </c>
      <c r="J13" s="128" t="s">
        <v>405</v>
      </c>
      <c r="K13" s="402">
        <f>+'1.mell._Össz_Mérleg2020'!C165</f>
        <v>0</v>
      </c>
      <c r="L13" s="1174">
        <f>+'1.mell._Össz_Mérleg2020'!D165</f>
        <v>0</v>
      </c>
      <c r="M13" s="1174">
        <f>+'1.mell._Össz_Mérleg2020'!E165</f>
        <v>19162</v>
      </c>
      <c r="N13" s="16">
        <f>+'1.mell._Össz_Mérleg2020'!F165</f>
        <v>19162</v>
      </c>
      <c r="O13" s="20">
        <f>+'1.mell._Össz_Mérleg2020'!G165</f>
        <v>19162</v>
      </c>
      <c r="P13" s="11">
        <f>+'1.mell._Össz_Mérleg2020'!H165</f>
        <v>0</v>
      </c>
      <c r="Q13" s="16">
        <f>+'1.mell._Össz_Mérleg2020'!I165</f>
        <v>0</v>
      </c>
    </row>
    <row r="14" spans="1:17" s="13" customFormat="1" ht="24">
      <c r="A14" s="86" t="s">
        <v>340</v>
      </c>
      <c r="B14" s="123"/>
      <c r="C14" s="400"/>
      <c r="D14" s="1173"/>
      <c r="E14" s="1173"/>
      <c r="F14" s="15"/>
      <c r="G14" s="19"/>
      <c r="H14" s="12"/>
      <c r="I14" s="15"/>
      <c r="J14" s="136" t="s">
        <v>339</v>
      </c>
      <c r="K14" s="400">
        <f>+'1.mell._Össz_Mérleg2020'!C170</f>
        <v>0</v>
      </c>
      <c r="L14" s="1173">
        <f>+'1.mell._Össz_Mérleg2020'!D170</f>
        <v>0</v>
      </c>
      <c r="M14" s="1173">
        <f>+'1.mell._Össz_Mérleg2020'!E170</f>
        <v>0</v>
      </c>
      <c r="N14" s="15">
        <f>+'1.mell._Össz_Mérleg2020'!F170</f>
        <v>0</v>
      </c>
      <c r="O14" s="19">
        <f>+'1.mell._Össz_Mérleg2020'!G170</f>
        <v>0</v>
      </c>
      <c r="P14" s="12">
        <f>+'1.mell._Össz_Mérleg2020'!H170</f>
        <v>0</v>
      </c>
      <c r="Q14" s="15">
        <f>+'1.mell._Össz_Mérleg2020'!I170</f>
        <v>0</v>
      </c>
    </row>
    <row r="15" spans="1:17" ht="12.75" customHeight="1">
      <c r="A15" s="85" t="s">
        <v>16</v>
      </c>
      <c r="B15" s="127"/>
      <c r="C15" s="402"/>
      <c r="D15" s="1174"/>
      <c r="E15" s="1174"/>
      <c r="F15" s="16"/>
      <c r="G15" s="20"/>
      <c r="H15" s="11"/>
      <c r="I15" s="16"/>
      <c r="J15" s="128"/>
      <c r="K15" s="402"/>
      <c r="L15" s="1174"/>
      <c r="M15" s="1174"/>
      <c r="N15" s="16"/>
      <c r="O15" s="20"/>
      <c r="P15" s="11"/>
      <c r="Q15" s="16"/>
    </row>
    <row r="16" spans="1:17" s="13" customFormat="1">
      <c r="A16" s="85" t="s">
        <v>15</v>
      </c>
      <c r="B16" s="127"/>
      <c r="C16" s="402"/>
      <c r="D16" s="1174"/>
      <c r="E16" s="1174"/>
      <c r="F16" s="16"/>
      <c r="G16" s="20"/>
      <c r="H16" s="11"/>
      <c r="I16" s="16"/>
      <c r="J16" s="128"/>
      <c r="K16" s="402"/>
      <c r="L16" s="1174"/>
      <c r="M16" s="1174"/>
      <c r="N16" s="16"/>
      <c r="O16" s="20"/>
      <c r="P16" s="11"/>
      <c r="Q16" s="16"/>
    </row>
    <row r="17" spans="1:17" s="13" customFormat="1" ht="12.75" thickBot="1">
      <c r="A17" s="90" t="s">
        <v>359</v>
      </c>
      <c r="B17" s="124"/>
      <c r="C17" s="396"/>
      <c r="D17" s="1277"/>
      <c r="E17" s="1277"/>
      <c r="F17" s="42"/>
      <c r="G17" s="46"/>
      <c r="H17" s="41"/>
      <c r="I17" s="42"/>
      <c r="J17" s="135"/>
      <c r="K17" s="396"/>
      <c r="L17" s="1277"/>
      <c r="M17" s="1277"/>
      <c r="N17" s="42"/>
      <c r="O17" s="46"/>
      <c r="P17" s="41"/>
      <c r="Q17" s="42"/>
    </row>
    <row r="18" spans="1:17" s="3" customFormat="1" ht="12.75" thickBot="1">
      <c r="A18" s="83" t="s">
        <v>14</v>
      </c>
      <c r="B18" s="70" t="s">
        <v>391</v>
      </c>
      <c r="C18" s="129">
        <f t="shared" ref="C18:F18" si="2">+C19</f>
        <v>10000</v>
      </c>
      <c r="D18" s="1171">
        <f t="shared" si="2"/>
        <v>2654032</v>
      </c>
      <c r="E18" s="1171">
        <f t="shared" si="2"/>
        <v>0</v>
      </c>
      <c r="F18" s="29">
        <f t="shared" si="2"/>
        <v>2654032</v>
      </c>
      <c r="G18" s="27">
        <f>+G19</f>
        <v>2654032</v>
      </c>
      <c r="H18" s="28">
        <f>+H19</f>
        <v>0</v>
      </c>
      <c r="I18" s="29">
        <f>+I19</f>
        <v>0</v>
      </c>
      <c r="J18" s="70" t="s">
        <v>397</v>
      </c>
      <c r="K18" s="129">
        <f t="shared" ref="K18:N18" si="3">+K19</f>
        <v>0</v>
      </c>
      <c r="L18" s="1171">
        <f t="shared" si="3"/>
        <v>0</v>
      </c>
      <c r="M18" s="1171">
        <f t="shared" si="3"/>
        <v>0</v>
      </c>
      <c r="N18" s="29">
        <f t="shared" si="3"/>
        <v>0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948</v>
      </c>
      <c r="C19" s="1040">
        <f t="shared" ref="C19:F19" si="4">+C20+C30+C31</f>
        <v>10000</v>
      </c>
      <c r="D19" s="1283">
        <f t="shared" si="4"/>
        <v>2654032</v>
      </c>
      <c r="E19" s="1283">
        <f t="shared" si="4"/>
        <v>0</v>
      </c>
      <c r="F19" s="48">
        <f t="shared" si="4"/>
        <v>2654032</v>
      </c>
      <c r="G19" s="49">
        <f>+G20+G30+G31</f>
        <v>2654032</v>
      </c>
      <c r="H19" s="47">
        <f>+H20+H30+H31</f>
        <v>0</v>
      </c>
      <c r="I19" s="48">
        <f>+I20+I30+I31</f>
        <v>0</v>
      </c>
      <c r="J19" s="120" t="s">
        <v>949</v>
      </c>
      <c r="K19" s="1040">
        <f t="shared" ref="K19:N19" si="5">+K20+K30+K31</f>
        <v>0</v>
      </c>
      <c r="L19" s="1283">
        <f t="shared" si="5"/>
        <v>0</v>
      </c>
      <c r="M19" s="1283">
        <f t="shared" si="5"/>
        <v>0</v>
      </c>
      <c r="N19" s="48">
        <f t="shared" si="5"/>
        <v>0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</f>
        <v>10000</v>
      </c>
      <c r="D20" s="1172">
        <f t="shared" si="6"/>
        <v>2654032</v>
      </c>
      <c r="E20" s="1172">
        <f t="shared" si="6"/>
        <v>0</v>
      </c>
      <c r="F20" s="35">
        <f t="shared" si="6"/>
        <v>2654032</v>
      </c>
      <c r="G20" s="34">
        <f>+G21+G22+G23+G24+G25+G26+G27+G28</f>
        <v>2654032</v>
      </c>
      <c r="H20" s="10">
        <f>+H21+H22+H23+H24+H25+H26+H27+H28</f>
        <v>0</v>
      </c>
      <c r="I20" s="35">
        <f>+I21+I22+I23+I24+I25+I26+I27+I28</f>
        <v>0</v>
      </c>
      <c r="J20" s="65" t="s">
        <v>945</v>
      </c>
      <c r="K20" s="404">
        <f t="shared" ref="K20:N20" si="7">+K21+K22+K23+K24+K25+K26+K27+K28</f>
        <v>0</v>
      </c>
      <c r="L20" s="1172">
        <f t="shared" si="7"/>
        <v>0</v>
      </c>
      <c r="M20" s="1172">
        <f t="shared" si="7"/>
        <v>0</v>
      </c>
      <c r="N20" s="35">
        <f t="shared" si="7"/>
        <v>0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+'1.mell._Össz_Mérleg2020'!C89</f>
        <v>10000</v>
      </c>
      <c r="D21" s="1173">
        <f>+'1.mell._Össz_Mérleg2020'!D89</f>
        <v>10000</v>
      </c>
      <c r="E21" s="1173">
        <f>+'1.mell._Össz_Mérleg2020'!E89</f>
        <v>0</v>
      </c>
      <c r="F21" s="15">
        <f>+'1.mell._Össz_Mérleg2020'!F89</f>
        <v>10000</v>
      </c>
      <c r="G21" s="19">
        <f>+'1.mell._Össz_Mérleg2020'!G89</f>
        <v>10000</v>
      </c>
      <c r="H21" s="12">
        <f>+'1.mell._Össz_Mérleg2020'!H89</f>
        <v>0</v>
      </c>
      <c r="I21" s="15">
        <f>+'1.mell._Össz_Mérleg2020'!I89</f>
        <v>0</v>
      </c>
      <c r="J21" s="66" t="s">
        <v>169</v>
      </c>
      <c r="K21" s="400">
        <f>+'1.mell._Össz_Mérleg2020'!C195</f>
        <v>0</v>
      </c>
      <c r="L21" s="1173">
        <f>+'1.mell._Össz_Mérleg2020'!D195</f>
        <v>0</v>
      </c>
      <c r="M21" s="1173">
        <f>+'1.mell._Össz_Mérleg2020'!E195</f>
        <v>0</v>
      </c>
      <c r="N21" s="15">
        <f>+'1.mell._Össz_Mérleg2020'!F195</f>
        <v>0</v>
      </c>
      <c r="O21" s="19">
        <f>+'1.mell._Össz_Mérleg2020'!G195</f>
        <v>0</v>
      </c>
      <c r="P21" s="12">
        <f>+'1.mell._Össz_Mérleg2020'!H195</f>
        <v>0</v>
      </c>
      <c r="Q21" s="15">
        <f>+'1.mell._Össz_Mérleg2020'!I195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+'1.mell._Össz_Mérleg2020'!C90</f>
        <v>0</v>
      </c>
      <c r="D22" s="1173">
        <f>+'1.mell._Össz_Mérleg2020'!D90</f>
        <v>0</v>
      </c>
      <c r="E22" s="1173">
        <f>+'1.mell._Össz_Mérleg2020'!E90</f>
        <v>0</v>
      </c>
      <c r="F22" s="15">
        <f>+'1.mell._Össz_Mérleg2020'!F90</f>
        <v>0</v>
      </c>
      <c r="G22" s="19">
        <f>+'1.mell._Össz_Mérleg2020'!G90</f>
        <v>0</v>
      </c>
      <c r="H22" s="12">
        <f>+'1.mell._Össz_Mérleg2020'!H90</f>
        <v>0</v>
      </c>
      <c r="I22" s="15">
        <f>+'1.mell._Össz_Mérleg2020'!I90</f>
        <v>0</v>
      </c>
      <c r="J22" s="66" t="s">
        <v>170</v>
      </c>
      <c r="K22" s="400">
        <f>+'1.mell._Össz_Mérleg2020'!C196</f>
        <v>0</v>
      </c>
      <c r="L22" s="1173">
        <f>+'1.mell._Össz_Mérleg2020'!D196</f>
        <v>0</v>
      </c>
      <c r="M22" s="1173">
        <f>+'1.mell._Össz_Mérleg2020'!E196</f>
        <v>0</v>
      </c>
      <c r="N22" s="15">
        <f>+'1.mell._Össz_Mérleg2020'!F196</f>
        <v>0</v>
      </c>
      <c r="O22" s="19">
        <f>+'1.mell._Össz_Mérleg2020'!G196</f>
        <v>0</v>
      </c>
      <c r="P22" s="12">
        <f>+'1.mell._Össz_Mérleg2020'!H196</f>
        <v>0</v>
      </c>
      <c r="Q22" s="15">
        <f>+'1.mell._Össz_Mérleg2020'!I196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+'1.mell._Össz_Mérleg2020'!C91</f>
        <v>0</v>
      </c>
      <c r="D23" s="1173">
        <f>+'1.mell._Össz_Mérleg2020'!D91</f>
        <v>2644032</v>
      </c>
      <c r="E23" s="1173">
        <f>+'1.mell._Össz_Mérleg2020'!E91</f>
        <v>0</v>
      </c>
      <c r="F23" s="15">
        <f>+'1.mell._Össz_Mérleg2020'!F91</f>
        <v>2644032</v>
      </c>
      <c r="G23" s="19">
        <f>+'1.mell._Össz_Mérleg2020'!G91</f>
        <v>2644032</v>
      </c>
      <c r="H23" s="12">
        <f>+'1.mell._Össz_Mérleg2020'!H91</f>
        <v>0</v>
      </c>
      <c r="I23" s="15">
        <f>+'1.mell._Össz_Mérleg2020'!I91</f>
        <v>0</v>
      </c>
      <c r="J23" s="66" t="s">
        <v>171</v>
      </c>
      <c r="K23" s="400">
        <f>+'1.mell._Össz_Mérleg2020'!C197</f>
        <v>0</v>
      </c>
      <c r="L23" s="1173">
        <f>+'1.mell._Össz_Mérleg2020'!D197</f>
        <v>0</v>
      </c>
      <c r="M23" s="1173">
        <f>+'1.mell._Össz_Mérleg2020'!E197</f>
        <v>0</v>
      </c>
      <c r="N23" s="15">
        <f>+'1.mell._Össz_Mérleg2020'!F197</f>
        <v>0</v>
      </c>
      <c r="O23" s="19">
        <f>+'1.mell._Össz_Mérleg2020'!G197</f>
        <v>0</v>
      </c>
      <c r="P23" s="12">
        <f>+'1.mell._Össz_Mérleg2020'!H197</f>
        <v>0</v>
      </c>
      <c r="Q23" s="15">
        <f>+'1.mell._Össz_Mérleg2020'!I197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+'1.mell._Össz_Mérleg2020'!C92</f>
        <v>0</v>
      </c>
      <c r="D24" s="1173">
        <f>+'1.mell._Össz_Mérleg2020'!D92</f>
        <v>0</v>
      </c>
      <c r="E24" s="1173">
        <f>+'1.mell._Össz_Mérleg2020'!E92</f>
        <v>0</v>
      </c>
      <c r="F24" s="15">
        <f>+'1.mell._Össz_Mérleg2020'!F92</f>
        <v>0</v>
      </c>
      <c r="G24" s="19">
        <f>+'1.mell._Össz_Mérleg2020'!G92</f>
        <v>0</v>
      </c>
      <c r="H24" s="12">
        <f>+'1.mell._Össz_Mérleg2020'!H92</f>
        <v>0</v>
      </c>
      <c r="I24" s="15">
        <f>+'1.mell._Össz_Mérleg2020'!I92</f>
        <v>0</v>
      </c>
      <c r="J24" s="66" t="s">
        <v>172</v>
      </c>
      <c r="K24" s="400">
        <f>+'1.mell._Össz_Mérleg2020'!C198</f>
        <v>0</v>
      </c>
      <c r="L24" s="1173">
        <f>+'1.mell._Össz_Mérleg2020'!D198</f>
        <v>0</v>
      </c>
      <c r="M24" s="1173">
        <f>+'1.mell._Össz_Mérleg2020'!E198</f>
        <v>0</v>
      </c>
      <c r="N24" s="15">
        <f>+'1.mell._Össz_Mérleg2020'!F198</f>
        <v>0</v>
      </c>
      <c r="O24" s="19">
        <f>+'1.mell._Össz_Mérleg2020'!G198</f>
        <v>0</v>
      </c>
      <c r="P24" s="12">
        <f>+'1.mell._Össz_Mérleg2020'!H198</f>
        <v>0</v>
      </c>
      <c r="Q24" s="15">
        <f>+'1.mell._Össz_Mérleg2020'!I198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+'1.mell._Össz_Mérleg2020'!C93</f>
        <v>0</v>
      </c>
      <c r="D25" s="1173">
        <f>+'1.mell._Össz_Mérleg2020'!D93</f>
        <v>0</v>
      </c>
      <c r="E25" s="1173">
        <f>+'1.mell._Össz_Mérleg2020'!E93</f>
        <v>0</v>
      </c>
      <c r="F25" s="15">
        <f>+'1.mell._Össz_Mérleg2020'!F93</f>
        <v>0</v>
      </c>
      <c r="G25" s="19">
        <f>+'1.mell._Össz_Mérleg2020'!G93</f>
        <v>0</v>
      </c>
      <c r="H25" s="12">
        <f>+'1.mell._Össz_Mérleg2020'!H93</f>
        <v>0</v>
      </c>
      <c r="I25" s="15">
        <f>+'1.mell._Össz_Mérleg2020'!I93</f>
        <v>0</v>
      </c>
      <c r="J25" s="66" t="s">
        <v>173</v>
      </c>
      <c r="K25" s="400">
        <f>+'1.mell._Össz_Mérleg2020'!C199</f>
        <v>0</v>
      </c>
      <c r="L25" s="1173">
        <f>+'1.mell._Össz_Mérleg2020'!D199</f>
        <v>0</v>
      </c>
      <c r="M25" s="1173">
        <f>+'1.mell._Össz_Mérleg2020'!E199</f>
        <v>0</v>
      </c>
      <c r="N25" s="15">
        <f>+'1.mell._Össz_Mérleg2020'!F199</f>
        <v>0</v>
      </c>
      <c r="O25" s="19">
        <f>+'1.mell._Össz_Mérleg2020'!G199</f>
        <v>0</v>
      </c>
      <c r="P25" s="12">
        <f>+'1.mell._Össz_Mérleg2020'!H199</f>
        <v>0</v>
      </c>
      <c r="Q25" s="15">
        <f>+'1.mell._Össz_Mérleg2020'!I199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+'1.mell._Össz_Mérleg2020'!C94</f>
        <v>0</v>
      </c>
      <c r="D26" s="1173">
        <f>+'1.mell._Össz_Mérleg2020'!D94</f>
        <v>0</v>
      </c>
      <c r="E26" s="1173">
        <f>+'1.mell._Össz_Mérleg2020'!E94</f>
        <v>0</v>
      </c>
      <c r="F26" s="15">
        <f>+'1.mell._Össz_Mérleg2020'!F94</f>
        <v>0</v>
      </c>
      <c r="G26" s="19">
        <f>+'1.mell._Össz_Mérleg2020'!G94</f>
        <v>0</v>
      </c>
      <c r="H26" s="12">
        <f>+'1.mell._Össz_Mérleg2020'!H94</f>
        <v>0</v>
      </c>
      <c r="I26" s="15">
        <f>+'1.mell._Össz_Mérleg2020'!I94</f>
        <v>0</v>
      </c>
      <c r="J26" s="66" t="s">
        <v>178</v>
      </c>
      <c r="K26" s="400">
        <f>+'1.mell._Össz_Mérleg2020'!C200</f>
        <v>0</v>
      </c>
      <c r="L26" s="1173">
        <f>+'1.mell._Össz_Mérleg2020'!D200</f>
        <v>0</v>
      </c>
      <c r="M26" s="1173">
        <f>+'1.mell._Össz_Mérleg2020'!E200</f>
        <v>0</v>
      </c>
      <c r="N26" s="15">
        <f>+'1.mell._Össz_Mérleg2020'!F200</f>
        <v>0</v>
      </c>
      <c r="O26" s="19">
        <f>+'1.mell._Össz_Mérleg2020'!G200</f>
        <v>0</v>
      </c>
      <c r="P26" s="12">
        <f>+'1.mell._Össz_Mérleg2020'!H200</f>
        <v>0</v>
      </c>
      <c r="Q26" s="15">
        <f>+'1.mell._Össz_Mérleg2020'!I200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+'1.mell._Össz_Mérleg2020'!C95</f>
        <v>0</v>
      </c>
      <c r="D27" s="1173">
        <f>+'1.mell._Össz_Mérleg2020'!D95</f>
        <v>0</v>
      </c>
      <c r="E27" s="1173">
        <f>+'1.mell._Össz_Mérleg2020'!E95</f>
        <v>0</v>
      </c>
      <c r="F27" s="15">
        <f>+'1.mell._Össz_Mérleg2020'!F95</f>
        <v>0</v>
      </c>
      <c r="G27" s="19">
        <f>+'1.mell._Össz_Mérleg2020'!G95</f>
        <v>0</v>
      </c>
      <c r="H27" s="12">
        <f>+'1.mell._Össz_Mérleg2020'!H95</f>
        <v>0</v>
      </c>
      <c r="I27" s="15">
        <f>+'1.mell._Össz_Mérleg2020'!I95</f>
        <v>0</v>
      </c>
      <c r="J27" s="66" t="s">
        <v>174</v>
      </c>
      <c r="K27" s="400">
        <f>+'1.mell._Össz_Mérleg2020'!C201</f>
        <v>0</v>
      </c>
      <c r="L27" s="1173">
        <f>+'1.mell._Össz_Mérleg2020'!D201</f>
        <v>0</v>
      </c>
      <c r="M27" s="1173">
        <f>+'1.mell._Össz_Mérleg2020'!E201</f>
        <v>0</v>
      </c>
      <c r="N27" s="15">
        <f>+'1.mell._Össz_Mérleg2020'!F201</f>
        <v>0</v>
      </c>
      <c r="O27" s="19">
        <f>+'1.mell._Össz_Mérleg2020'!G201</f>
        <v>0</v>
      </c>
      <c r="P27" s="12">
        <f>+'1.mell._Össz_Mérleg2020'!H201</f>
        <v>0</v>
      </c>
      <c r="Q27" s="15">
        <f>+'1.mell._Össz_Mérleg2020'!I201</f>
        <v>0</v>
      </c>
    </row>
    <row r="28" spans="1:17">
      <c r="A28" s="86" t="s">
        <v>369</v>
      </c>
      <c r="B28" s="66" t="s">
        <v>244</v>
      </c>
      <c r="C28" s="400">
        <f>+'1.mell._Össz_Mérleg2020'!C96</f>
        <v>0</v>
      </c>
      <c r="D28" s="1173">
        <f>+'1.mell._Össz_Mérleg2020'!D96</f>
        <v>0</v>
      </c>
      <c r="E28" s="1173">
        <f>+'1.mell._Össz_Mérleg2020'!E96</f>
        <v>0</v>
      </c>
      <c r="F28" s="15">
        <f>+'1.mell._Össz_Mérleg2020'!F96</f>
        <v>0</v>
      </c>
      <c r="G28" s="19">
        <f>+'1.mell._Össz_Mérleg2020'!G96</f>
        <v>0</v>
      </c>
      <c r="H28" s="12">
        <f>+'1.mell._Össz_Mérleg2020'!H96</f>
        <v>0</v>
      </c>
      <c r="I28" s="15">
        <f>+'1.mell._Össz_Mérleg2020'!I96</f>
        <v>0</v>
      </c>
      <c r="J28" s="66" t="s">
        <v>175</v>
      </c>
      <c r="K28" s="400">
        <f>+'1.mell._Össz_Mérleg2020'!C202</f>
        <v>0</v>
      </c>
      <c r="L28" s="1173">
        <f>+'1.mell._Össz_Mérleg2020'!D202</f>
        <v>0</v>
      </c>
      <c r="M28" s="1173">
        <f>+'1.mell._Össz_Mérleg2020'!E202</f>
        <v>0</v>
      </c>
      <c r="N28" s="15">
        <f>+'1.mell._Össz_Mérleg2020'!F202</f>
        <v>0</v>
      </c>
      <c r="O28" s="19">
        <f>+'1.mell._Össz_Mérleg2020'!G202</f>
        <v>0</v>
      </c>
      <c r="P28" s="12">
        <f>+'1.mell._Össz_Mérleg2020'!H202</f>
        <v>0</v>
      </c>
      <c r="Q28" s="15">
        <f>+'1.mell._Össz_Mérleg2020'!I202</f>
        <v>0</v>
      </c>
    </row>
    <row r="29" spans="1:17">
      <c r="A29" s="86" t="s">
        <v>943</v>
      </c>
      <c r="B29" s="66" t="s">
        <v>913</v>
      </c>
      <c r="C29" s="400">
        <f>+'1.mell._Össz_Mérleg2020'!C97</f>
        <v>0</v>
      </c>
      <c r="D29" s="1173">
        <f>+'1.mell._Össz_Mérleg2020'!D97</f>
        <v>0</v>
      </c>
      <c r="E29" s="1173">
        <f>+'1.mell._Össz_Mérleg2020'!E97</f>
        <v>0</v>
      </c>
      <c r="F29" s="15">
        <f>+'1.mell._Össz_Mérleg2020'!F97</f>
        <v>0</v>
      </c>
      <c r="G29" s="19">
        <f>+'1.mell._Össz_Mérleg2020'!G97</f>
        <v>0</v>
      </c>
      <c r="H29" s="12">
        <f>+'1.mell._Össz_Mérleg2020'!H97</f>
        <v>0</v>
      </c>
      <c r="I29" s="15">
        <f>+'1.mell._Össz_Mérleg2020'!I97</f>
        <v>0</v>
      </c>
      <c r="J29" s="66" t="s">
        <v>937</v>
      </c>
      <c r="K29" s="400">
        <f>+'1.mell._Össz_Mérleg2020'!C203</f>
        <v>0</v>
      </c>
      <c r="L29" s="1173">
        <f>+'1.mell._Össz_Mérleg2020'!D203</f>
        <v>0</v>
      </c>
      <c r="M29" s="1173">
        <f>+'1.mell._Össz_Mérleg2020'!E203</f>
        <v>0</v>
      </c>
      <c r="N29" s="15">
        <f>+'1.mell._Össz_Mérleg2020'!F203</f>
        <v>0</v>
      </c>
      <c r="O29" s="19">
        <f>+'1.mell._Össz_Mérleg2020'!G203</f>
        <v>0</v>
      </c>
      <c r="P29" s="12">
        <f>+'1.mell._Össz_Mérleg2020'!H203</f>
        <v>0</v>
      </c>
      <c r="Q29" s="15">
        <f>+'1.mell._Össz_Mérleg2020'!I203</f>
        <v>0</v>
      </c>
    </row>
    <row r="30" spans="1:17">
      <c r="A30" s="85" t="s">
        <v>67</v>
      </c>
      <c r="B30" s="67" t="s">
        <v>242</v>
      </c>
      <c r="C30" s="402">
        <f>+'1.mell._Össz_Mérleg2020'!C98</f>
        <v>0</v>
      </c>
      <c r="D30" s="1174">
        <f>+'1.mell._Össz_Mérleg2020'!D98</f>
        <v>0</v>
      </c>
      <c r="E30" s="1174">
        <f>+'1.mell._Össz_Mérleg2020'!E98</f>
        <v>0</v>
      </c>
      <c r="F30" s="16">
        <f>+'1.mell._Össz_Mérleg2020'!F98</f>
        <v>0</v>
      </c>
      <c r="G30" s="20">
        <f>+'1.mell._Össz_Mérleg2020'!G98</f>
        <v>0</v>
      </c>
      <c r="H30" s="11">
        <f>+'1.mell._Össz_Mérleg2020'!H98</f>
        <v>0</v>
      </c>
      <c r="I30" s="16">
        <f>+'1.mell._Össz_Mérleg2020'!I98</f>
        <v>0</v>
      </c>
      <c r="J30" s="67" t="s">
        <v>176</v>
      </c>
      <c r="K30" s="402">
        <f>+'1.mell._Össz_Mérleg2020'!C204</f>
        <v>0</v>
      </c>
      <c r="L30" s="1174">
        <f>+'1.mell._Össz_Mérleg2020'!D204</f>
        <v>0</v>
      </c>
      <c r="M30" s="1174">
        <f>+'1.mell._Össz_Mérleg2020'!E204</f>
        <v>0</v>
      </c>
      <c r="N30" s="16">
        <f>+'1.mell._Össz_Mérleg2020'!F204</f>
        <v>0</v>
      </c>
      <c r="O30" s="20">
        <f>+'1.mell._Össz_Mérleg2020'!G204</f>
        <v>0</v>
      </c>
      <c r="P30" s="11">
        <f>+'1.mell._Össz_Mérleg2020'!H204</f>
        <v>0</v>
      </c>
      <c r="Q30" s="16">
        <f>+'1.mell._Össz_Mérleg2020'!I204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+'1.mell._Össz_Mérleg2020'!C99</f>
        <v>0</v>
      </c>
      <c r="D31" s="1175">
        <f>+'1.mell._Össz_Mérleg2020'!D99</f>
        <v>0</v>
      </c>
      <c r="E31" s="1175">
        <f>+'1.mell._Össz_Mérleg2020'!E99</f>
        <v>0</v>
      </c>
      <c r="F31" s="23">
        <f>+'1.mell._Össz_Mérleg2020'!F99</f>
        <v>0</v>
      </c>
      <c r="G31" s="21">
        <f>+'1.mell._Össz_Mérleg2020'!G99</f>
        <v>0</v>
      </c>
      <c r="H31" s="22">
        <f>+'1.mell._Össz_Mérleg2020'!H99</f>
        <v>0</v>
      </c>
      <c r="I31" s="23">
        <f>+'1.mell._Össz_Mérleg2020'!I99</f>
        <v>0</v>
      </c>
      <c r="J31" s="68" t="s">
        <v>177</v>
      </c>
      <c r="K31" s="403">
        <f>+'1.mell._Össz_Mérleg2020'!C205</f>
        <v>0</v>
      </c>
      <c r="L31" s="1175">
        <f>+'1.mell._Össz_Mérleg2020'!D205</f>
        <v>0</v>
      </c>
      <c r="M31" s="1175">
        <f>+'1.mell._Össz_Mérleg2020'!E205</f>
        <v>0</v>
      </c>
      <c r="N31" s="23">
        <f>+'1.mell._Össz_Mérleg2020'!F205</f>
        <v>0</v>
      </c>
      <c r="O31" s="21">
        <f>+'1.mell._Össz_Mérleg2020'!G205</f>
        <v>0</v>
      </c>
      <c r="P31" s="22">
        <f>+'1.mell._Össz_Mérleg2020'!H205</f>
        <v>0</v>
      </c>
      <c r="Q31" s="23">
        <f>+'1.mell._Össz_Mérleg2020'!I205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+'1.mell._Össz_Mérleg2020'!C100</f>
        <v>0</v>
      </c>
      <c r="D32" s="1175">
        <f>+'1.mell._Össz_Mérleg2020'!D100</f>
        <v>0</v>
      </c>
      <c r="E32" s="1175">
        <f>+'1.mell._Össz_Mérleg2020'!E100</f>
        <v>0</v>
      </c>
      <c r="F32" s="23">
        <f>+'1.mell._Össz_Mérleg2020'!F100</f>
        <v>0</v>
      </c>
      <c r="G32" s="21">
        <f>+'1.mell._Össz_Mérleg2020'!G100</f>
        <v>0</v>
      </c>
      <c r="H32" s="22">
        <f>+'1.mell._Össz_Mérleg2020'!H100</f>
        <v>0</v>
      </c>
      <c r="I32" s="23">
        <f>+'1.mell._Össz_Mérleg2020'!I100</f>
        <v>0</v>
      </c>
      <c r="J32" s="68" t="s">
        <v>938</v>
      </c>
      <c r="K32" s="403">
        <f>+'1.mell._Össz_Mérleg2020'!C206</f>
        <v>0</v>
      </c>
      <c r="L32" s="1175">
        <f>+'1.mell._Össz_Mérleg2020'!D206</f>
        <v>0</v>
      </c>
      <c r="M32" s="1175">
        <f>+'1.mell._Össz_Mérleg2020'!E206</f>
        <v>0</v>
      </c>
      <c r="N32" s="23">
        <f>+'1.mell._Össz_Mérleg2020'!F206</f>
        <v>0</v>
      </c>
      <c r="O32" s="21">
        <f>+'1.mell._Össz_Mérleg2020'!G206</f>
        <v>0</v>
      </c>
      <c r="P32" s="22">
        <f>+'1.mell._Össz_Mérleg2020'!H206</f>
        <v>0</v>
      </c>
      <c r="Q32" s="23">
        <f>+'1.mell._Össz_Mérleg2020'!I206</f>
        <v>0</v>
      </c>
    </row>
    <row r="33" spans="1:17" s="3" customFormat="1" ht="12.75" thickBot="1">
      <c r="A33" s="81" t="s">
        <v>12</v>
      </c>
      <c r="B33" s="133" t="s">
        <v>392</v>
      </c>
      <c r="C33" s="407">
        <f t="shared" ref="C33:F33" si="8">+C8+C18</f>
        <v>83726</v>
      </c>
      <c r="D33" s="1170">
        <f t="shared" si="8"/>
        <v>2727758</v>
      </c>
      <c r="E33" s="1170">
        <f t="shared" si="8"/>
        <v>0</v>
      </c>
      <c r="F33" s="130">
        <f t="shared" si="8"/>
        <v>2727758</v>
      </c>
      <c r="G33" s="132">
        <f>+G8+G18</f>
        <v>2726658</v>
      </c>
      <c r="H33" s="131">
        <f>+H8+H18</f>
        <v>1100</v>
      </c>
      <c r="I33" s="130">
        <f>+I8+I18</f>
        <v>0</v>
      </c>
      <c r="J33" s="121" t="s">
        <v>396</v>
      </c>
      <c r="K33" s="129">
        <f t="shared" ref="K33:N33" si="9">+K8+K18</f>
        <v>503980</v>
      </c>
      <c r="L33" s="1171">
        <f t="shared" si="9"/>
        <v>524980</v>
      </c>
      <c r="M33" s="1171">
        <f t="shared" si="9"/>
        <v>35700</v>
      </c>
      <c r="N33" s="29">
        <f t="shared" si="9"/>
        <v>560680</v>
      </c>
      <c r="O33" s="27">
        <f>+O8+O18</f>
        <v>215430</v>
      </c>
      <c r="P33" s="28">
        <f>+P8+P18</f>
        <v>345250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406</v>
      </c>
      <c r="C34" s="1284">
        <f t="shared" ref="C34:F34" si="10">IF(((K8-C8)&gt;0),K8-C8,"----")</f>
        <v>430254</v>
      </c>
      <c r="D34" s="1285">
        <f t="shared" si="10"/>
        <v>451254</v>
      </c>
      <c r="E34" s="1285">
        <f t="shared" si="10"/>
        <v>35700</v>
      </c>
      <c r="F34" s="137">
        <f t="shared" si="10"/>
        <v>486954</v>
      </c>
      <c r="G34" s="139">
        <f>IF(((O8-G8)&gt;0),O8-G8,"----")</f>
        <v>142804</v>
      </c>
      <c r="H34" s="138">
        <f>IF(((P8-H8)&gt;0),P8-H8,"----")</f>
        <v>344150</v>
      </c>
      <c r="I34" s="137" t="str">
        <f>IF(((Q8-I8)&gt;0),Q8-I8,"----")</f>
        <v>----</v>
      </c>
      <c r="J34" s="69" t="s">
        <v>395</v>
      </c>
      <c r="K34" s="1284" t="str">
        <f t="shared" ref="K34:N34" si="11">IF(((C8-K8)&gt;0),C8-K8,"----")</f>
        <v>----</v>
      </c>
      <c r="L34" s="1285" t="str">
        <f t="shared" si="11"/>
        <v>----</v>
      </c>
      <c r="M34" s="1285" t="str">
        <f t="shared" si="11"/>
        <v>----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393</v>
      </c>
      <c r="C35" s="1284" t="str">
        <f t="shared" ref="C35:F35" si="12">IF(((K18-C18)&gt;0),K18-C18,"----")</f>
        <v>----</v>
      </c>
      <c r="D35" s="1285" t="str">
        <f t="shared" si="12"/>
        <v>----</v>
      </c>
      <c r="E35" s="1285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394</v>
      </c>
      <c r="K35" s="1284">
        <f t="shared" ref="K35:N35" si="13">IF(((C18-K18)&gt;0),C18-K18,"----")</f>
        <v>10000</v>
      </c>
      <c r="L35" s="1285">
        <f t="shared" si="13"/>
        <v>2654032</v>
      </c>
      <c r="M35" s="1285" t="str">
        <f t="shared" si="13"/>
        <v>----</v>
      </c>
      <c r="N35" s="137">
        <f t="shared" si="13"/>
        <v>2654032</v>
      </c>
      <c r="O35" s="139">
        <f>IF(((G18-O18)&gt;0),G18-O18,"----")</f>
        <v>2654032</v>
      </c>
      <c r="P35" s="138" t="str">
        <f>IF(((H18-P18)&gt;0),H18-P18,"----")</f>
        <v>----</v>
      </c>
      <c r="Q35" s="137" t="str">
        <f>IF(((I18-Q18)&gt;0),I18-Q18,"----")</f>
        <v>----</v>
      </c>
    </row>
    <row r="37" spans="1:17" hidden="1">
      <c r="C37" s="4">
        <f>+C33+'2.a.mell._MMérleg2020'!C33</f>
        <v>4553174</v>
      </c>
      <c r="D37" s="4">
        <f>+D33+'2.a.mell._MMérleg2020'!D33</f>
        <v>5180736</v>
      </c>
      <c r="E37" s="4">
        <f>+E33+'2.a.mell._MMérleg2020'!E33</f>
        <v>20604</v>
      </c>
      <c r="F37" s="4">
        <f>+F33+'2.a.mell._MMérleg2020'!F33</f>
        <v>5201340</v>
      </c>
      <c r="G37" s="4">
        <f>+G33+'2.a.mell._MMérleg2020'!G33</f>
        <v>5147272</v>
      </c>
      <c r="H37" s="4">
        <f>+H33+'2.a.mell._MMérleg2020'!H33</f>
        <v>54068</v>
      </c>
      <c r="I37" s="4">
        <f>+I33+'2.a.mell._MMérleg2020'!I33</f>
        <v>0</v>
      </c>
      <c r="K37" s="4">
        <f>+K33+'2.a.mell._MMérleg2020'!K33</f>
        <v>4553174</v>
      </c>
      <c r="L37" s="4">
        <f>+L33+'2.a.mell._MMérleg2020'!L33</f>
        <v>5180736</v>
      </c>
      <c r="M37" s="4">
        <f>+M33+'2.a.mell._MMérleg2020'!M33</f>
        <v>20604</v>
      </c>
      <c r="N37" s="4">
        <f>+N33+'2.a.mell._MMérleg2020'!N33</f>
        <v>5201340</v>
      </c>
      <c r="O37" s="4">
        <f>+O33+'2.a.mell._MMérleg2020'!O33</f>
        <v>4788601</v>
      </c>
      <c r="P37" s="4">
        <f>+P33+'2.a.mell._MMérleg2020'!P33</f>
        <v>412739</v>
      </c>
      <c r="Q37" s="4">
        <f>+Q33+'2.a.mell._MMérleg2020'!Q33</f>
        <v>0</v>
      </c>
    </row>
    <row r="38" spans="1:17" hidden="1">
      <c r="C38" s="4">
        <f>+'1.mell._Össz_Mérleg2020'!C102</f>
        <v>4553174</v>
      </c>
      <c r="D38" s="4">
        <f>+'1.mell._Össz_Mérleg2020'!D102</f>
        <v>5180736</v>
      </c>
      <c r="E38" s="4">
        <f>+'1.mell._Össz_Mérleg2020'!E102</f>
        <v>20604</v>
      </c>
      <c r="F38" s="4">
        <f>+'1.mell._Össz_Mérleg2020'!F102</f>
        <v>5201340</v>
      </c>
      <c r="G38" s="4">
        <f>+'1.mell._Össz_Mérleg2020'!G102</f>
        <v>5147272</v>
      </c>
      <c r="H38" s="4">
        <f>+'1.mell._Össz_Mérleg2020'!H102</f>
        <v>54068</v>
      </c>
      <c r="I38" s="4">
        <f>+'1.mell._Össz_Mérleg2020'!I102</f>
        <v>0</v>
      </c>
      <c r="K38" s="4">
        <f>+'1.mell._Össz_Mérleg2020'!C208</f>
        <v>4553174</v>
      </c>
      <c r="L38" s="4">
        <f>+'1.mell._Össz_Mérleg2020'!D208</f>
        <v>5180736</v>
      </c>
      <c r="M38" s="4">
        <f>+'1.mell._Össz_Mérleg2020'!E208</f>
        <v>20604</v>
      </c>
      <c r="N38" s="4">
        <f>+'1.mell._Össz_Mérleg2020'!F208</f>
        <v>5201340</v>
      </c>
      <c r="O38" s="4">
        <f>+'1.mell._Össz_Mérleg2020'!G208</f>
        <v>4788601</v>
      </c>
      <c r="P38" s="4">
        <f>+'1.mell._Össz_Mérleg2020'!H208</f>
        <v>412739</v>
      </c>
      <c r="Q38" s="4">
        <f>+'1.mell._Össz_Mérleg2020'!I208</f>
        <v>0</v>
      </c>
    </row>
    <row r="39" spans="1:17" hidden="1">
      <c r="C39" s="4">
        <f t="shared" ref="C39:I39" si="14">+C37-C38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K39" s="4">
        <f t="shared" ref="K39:Q39" si="15">+K37-K38</f>
        <v>0</v>
      </c>
      <c r="L39" s="4">
        <f t="shared" si="15"/>
        <v>0</v>
      </c>
      <c r="M39" s="4">
        <f t="shared" si="15"/>
        <v>0</v>
      </c>
      <c r="N39" s="4">
        <f t="shared" si="15"/>
        <v>0</v>
      </c>
      <c r="O39" s="4">
        <f t="shared" si="15"/>
        <v>0</v>
      </c>
      <c r="P39" s="4">
        <f t="shared" si="15"/>
        <v>0</v>
      </c>
      <c r="Q39" s="4">
        <f t="shared" si="15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M80"/>
  <sheetViews>
    <sheetView zoomScaleNormal="100" workbookViewId="0"/>
  </sheetViews>
  <sheetFormatPr defaultColWidth="9.140625" defaultRowHeight="12"/>
  <cols>
    <col min="1" max="1" width="78.5703125" style="180" bestFit="1" customWidth="1"/>
    <col min="2" max="5" width="11.7109375" style="180" customWidth="1"/>
    <col min="6" max="6" width="11.140625" style="180" bestFit="1" customWidth="1"/>
    <col min="7" max="8" width="13.140625" style="180" customWidth="1"/>
    <col min="9" max="10" width="9.140625" style="180"/>
    <col min="11" max="11" width="9.140625" style="180" hidden="1" customWidth="1"/>
    <col min="12" max="12" width="9.140625" style="599" hidden="1" customWidth="1"/>
    <col min="13" max="13" width="9.140625" style="180" hidden="1" customWidth="1"/>
    <col min="14" max="16384" width="9.140625" style="180"/>
  </cols>
  <sheetData>
    <row r="1" spans="1:13" s="181" customFormat="1" ht="15.75">
      <c r="A1" s="140"/>
      <c r="B1" s="140"/>
      <c r="C1" s="140"/>
      <c r="D1" s="140"/>
      <c r="E1" s="140"/>
      <c r="F1" s="140"/>
      <c r="G1" s="140"/>
      <c r="H1" s="140"/>
      <c r="I1" s="141" t="s">
        <v>424</v>
      </c>
      <c r="L1" s="600"/>
    </row>
    <row r="2" spans="1:13" s="181" customFormat="1" ht="15.75">
      <c r="L2" s="600"/>
    </row>
    <row r="3" spans="1:13" s="182" customFormat="1" ht="15.75">
      <c r="A3" s="1468" t="s">
        <v>330</v>
      </c>
      <c r="B3" s="1468"/>
      <c r="C3" s="1468"/>
      <c r="D3" s="1468"/>
      <c r="E3" s="1468"/>
      <c r="F3" s="1468"/>
      <c r="G3" s="1468"/>
      <c r="H3" s="1468"/>
      <c r="I3" s="1468"/>
      <c r="L3" s="601"/>
    </row>
    <row r="4" spans="1:13" s="182" customFormat="1" ht="15.75">
      <c r="A4" s="1468" t="s">
        <v>1432</v>
      </c>
      <c r="B4" s="1468"/>
      <c r="C4" s="1468"/>
      <c r="D4" s="1468"/>
      <c r="E4" s="1468"/>
      <c r="F4" s="1468"/>
      <c r="G4" s="1468"/>
      <c r="H4" s="1468"/>
      <c r="I4" s="1468"/>
      <c r="L4" s="601"/>
    </row>
    <row r="5" spans="1:13" ht="12.75" thickBot="1">
      <c r="A5" s="142"/>
      <c r="B5" s="142"/>
      <c r="C5" s="142"/>
      <c r="D5" s="142"/>
      <c r="E5" s="142"/>
      <c r="F5" s="142"/>
      <c r="G5" s="142"/>
      <c r="H5" s="142"/>
      <c r="I5" s="142"/>
    </row>
    <row r="6" spans="1:13" s="183" customFormat="1" ht="12.75" customHeight="1" thickBot="1">
      <c r="A6" s="1460" t="s">
        <v>7</v>
      </c>
      <c r="B6" s="1471" t="s">
        <v>1588</v>
      </c>
      <c r="C6" s="1469" t="s">
        <v>1589</v>
      </c>
      <c r="D6" s="1469" t="s">
        <v>1660</v>
      </c>
      <c r="E6" s="1463" t="s">
        <v>1661</v>
      </c>
      <c r="F6" s="1465" t="s">
        <v>1433</v>
      </c>
      <c r="G6" s="1466"/>
      <c r="H6" s="1466"/>
      <c r="I6" s="1467"/>
      <c r="L6" s="602"/>
    </row>
    <row r="7" spans="1:13" s="183" customFormat="1" ht="48.75" thickBot="1">
      <c r="A7" s="1461"/>
      <c r="B7" s="1472"/>
      <c r="C7" s="1470"/>
      <c r="D7" s="1470"/>
      <c r="E7" s="1464"/>
      <c r="F7" s="184" t="s">
        <v>407</v>
      </c>
      <c r="G7" s="185" t="s">
        <v>408</v>
      </c>
      <c r="H7" s="186" t="s">
        <v>409</v>
      </c>
      <c r="I7" s="187" t="s">
        <v>18</v>
      </c>
      <c r="L7" s="602"/>
    </row>
    <row r="8" spans="1:13">
      <c r="A8" s="143"/>
      <c r="B8" s="144"/>
      <c r="C8" s="1286"/>
      <c r="D8" s="1286"/>
      <c r="E8" s="1287"/>
      <c r="F8" s="144"/>
      <c r="G8" s="145"/>
      <c r="H8" s="146"/>
      <c r="I8" s="147"/>
    </row>
    <row r="9" spans="1:13">
      <c r="A9" s="148" t="s">
        <v>410</v>
      </c>
      <c r="B9" s="149">
        <f>SUM(B10:B11)</f>
        <v>1</v>
      </c>
      <c r="C9" s="150">
        <f t="shared" ref="C9:I9" si="0">SUM(C10:C11)</f>
        <v>28</v>
      </c>
      <c r="D9" s="150">
        <f t="shared" si="0"/>
        <v>0</v>
      </c>
      <c r="E9" s="1288">
        <f t="shared" si="0"/>
        <v>28</v>
      </c>
      <c r="F9" s="149">
        <f t="shared" si="0"/>
        <v>1</v>
      </c>
      <c r="G9" s="150">
        <f t="shared" si="0"/>
        <v>0</v>
      </c>
      <c r="H9" s="150">
        <f t="shared" si="0"/>
        <v>27</v>
      </c>
      <c r="I9" s="151">
        <f t="shared" si="0"/>
        <v>28</v>
      </c>
      <c r="K9" s="598">
        <f t="shared" ref="K9:K16" si="1">+I9-E9</f>
        <v>0</v>
      </c>
    </row>
    <row r="10" spans="1:13">
      <c r="A10" s="806" t="s">
        <v>1217</v>
      </c>
      <c r="B10" s="154">
        <v>1</v>
      </c>
      <c r="C10" s="155">
        <v>1</v>
      </c>
      <c r="D10" s="155"/>
      <c r="E10" s="1289">
        <f>+C10+D10</f>
        <v>1</v>
      </c>
      <c r="F10" s="154">
        <f>+E10</f>
        <v>1</v>
      </c>
      <c r="G10" s="155"/>
      <c r="H10" s="155"/>
      <c r="I10" s="151">
        <f>+H10+G10+F10</f>
        <v>1</v>
      </c>
      <c r="K10" s="598">
        <f t="shared" ref="K10" si="2">+I10-E10</f>
        <v>0</v>
      </c>
    </row>
    <row r="11" spans="1:13">
      <c r="A11" s="806" t="s">
        <v>1615</v>
      </c>
      <c r="B11" s="154"/>
      <c r="C11" s="155">
        <f>0+27</f>
        <v>27</v>
      </c>
      <c r="D11" s="155"/>
      <c r="E11" s="1289">
        <f>+C11+D11</f>
        <v>27</v>
      </c>
      <c r="F11" s="154"/>
      <c r="G11" s="155"/>
      <c r="H11" s="155">
        <f>+E11</f>
        <v>27</v>
      </c>
      <c r="I11" s="151">
        <f>+H11+G11+F11</f>
        <v>27</v>
      </c>
      <c r="K11" s="598">
        <f t="shared" si="1"/>
        <v>0</v>
      </c>
    </row>
    <row r="12" spans="1:13">
      <c r="A12" s="148" t="s">
        <v>411</v>
      </c>
      <c r="B12" s="149">
        <f t="shared" ref="B12:I12" si="3">+B13</f>
        <v>0</v>
      </c>
      <c r="C12" s="150">
        <f t="shared" si="3"/>
        <v>0</v>
      </c>
      <c r="D12" s="150">
        <f t="shared" si="3"/>
        <v>0</v>
      </c>
      <c r="E12" s="1288">
        <f t="shared" si="3"/>
        <v>0</v>
      </c>
      <c r="F12" s="149">
        <f t="shared" si="3"/>
        <v>0</v>
      </c>
      <c r="G12" s="150">
        <f t="shared" si="3"/>
        <v>0</v>
      </c>
      <c r="H12" s="150">
        <f t="shared" si="3"/>
        <v>0</v>
      </c>
      <c r="I12" s="151">
        <f t="shared" si="3"/>
        <v>0</v>
      </c>
      <c r="K12" s="598">
        <f t="shared" si="1"/>
        <v>0</v>
      </c>
    </row>
    <row r="13" spans="1:13">
      <c r="A13" s="855" t="s">
        <v>19</v>
      </c>
      <c r="B13" s="154"/>
      <c r="C13" s="155"/>
      <c r="D13" s="155"/>
      <c r="E13" s="1289"/>
      <c r="F13" s="154"/>
      <c r="G13" s="155"/>
      <c r="H13" s="155"/>
      <c r="I13" s="151">
        <f>+H13+G13+F13</f>
        <v>0</v>
      </c>
      <c r="K13" s="598">
        <f t="shared" si="1"/>
        <v>0</v>
      </c>
    </row>
    <row r="14" spans="1:13">
      <c r="A14" s="148" t="s">
        <v>412</v>
      </c>
      <c r="B14" s="149">
        <f t="shared" ref="B14:I14" si="4">+B15</f>
        <v>0</v>
      </c>
      <c r="C14" s="150">
        <f t="shared" si="4"/>
        <v>0</v>
      </c>
      <c r="D14" s="150">
        <f t="shared" si="4"/>
        <v>0</v>
      </c>
      <c r="E14" s="1288">
        <f t="shared" si="4"/>
        <v>0</v>
      </c>
      <c r="F14" s="149">
        <f t="shared" si="4"/>
        <v>0</v>
      </c>
      <c r="G14" s="150">
        <f t="shared" si="4"/>
        <v>0</v>
      </c>
      <c r="H14" s="150">
        <f t="shared" si="4"/>
        <v>0</v>
      </c>
      <c r="I14" s="151">
        <f t="shared" si="4"/>
        <v>0</v>
      </c>
      <c r="K14" s="598">
        <f t="shared" si="1"/>
        <v>0</v>
      </c>
    </row>
    <row r="15" spans="1:13" ht="12.75" thickBot="1">
      <c r="A15" s="856" t="s">
        <v>19</v>
      </c>
      <c r="B15" s="156"/>
      <c r="C15" s="157"/>
      <c r="D15" s="157"/>
      <c r="E15" s="1290"/>
      <c r="F15" s="156"/>
      <c r="G15" s="157"/>
      <c r="H15" s="157"/>
      <c r="I15" s="151">
        <f>+H15+G15+F15</f>
        <v>0</v>
      </c>
      <c r="K15" s="598">
        <f t="shared" si="1"/>
        <v>0</v>
      </c>
    </row>
    <row r="16" spans="1:13" ht="12.75" thickBot="1">
      <c r="A16" s="158" t="s">
        <v>413</v>
      </c>
      <c r="B16" s="159">
        <f t="shared" ref="B16:I16" si="5">+B9+B12+B14</f>
        <v>1</v>
      </c>
      <c r="C16" s="160">
        <f t="shared" si="5"/>
        <v>28</v>
      </c>
      <c r="D16" s="160">
        <f t="shared" si="5"/>
        <v>0</v>
      </c>
      <c r="E16" s="161">
        <f t="shared" si="5"/>
        <v>28</v>
      </c>
      <c r="F16" s="159">
        <f t="shared" si="5"/>
        <v>1</v>
      </c>
      <c r="G16" s="162">
        <f t="shared" si="5"/>
        <v>0</v>
      </c>
      <c r="H16" s="161">
        <f t="shared" si="5"/>
        <v>27</v>
      </c>
      <c r="I16" s="163">
        <f t="shared" si="5"/>
        <v>28</v>
      </c>
      <c r="K16" s="598">
        <f t="shared" si="1"/>
        <v>0</v>
      </c>
      <c r="L16" s="599">
        <f>+'1.1.mell._ÖNK_Mérleg2020'!F239</f>
        <v>28</v>
      </c>
      <c r="M16" s="598">
        <f>+E16-L16</f>
        <v>0</v>
      </c>
    </row>
    <row r="17" spans="1:13">
      <c r="A17" s="164"/>
      <c r="B17" s="165"/>
      <c r="C17" s="166"/>
      <c r="D17" s="166"/>
      <c r="E17" s="1291"/>
      <c r="F17" s="165"/>
      <c r="G17" s="166"/>
      <c r="H17" s="166"/>
      <c r="I17" s="167"/>
      <c r="K17" s="598"/>
    </row>
    <row r="18" spans="1:13">
      <c r="A18" s="148" t="s">
        <v>869</v>
      </c>
      <c r="B18" s="149">
        <f t="shared" ref="B18:I18" si="6">+B19+B20+B21</f>
        <v>86</v>
      </c>
      <c r="C18" s="150">
        <f t="shared" si="6"/>
        <v>86</v>
      </c>
      <c r="D18" s="150">
        <f t="shared" si="6"/>
        <v>0</v>
      </c>
      <c r="E18" s="1288">
        <f t="shared" si="6"/>
        <v>86</v>
      </c>
      <c r="F18" s="149">
        <f t="shared" si="6"/>
        <v>43</v>
      </c>
      <c r="G18" s="150">
        <f t="shared" si="6"/>
        <v>0</v>
      </c>
      <c r="H18" s="150">
        <f t="shared" si="6"/>
        <v>43</v>
      </c>
      <c r="I18" s="151">
        <f t="shared" si="6"/>
        <v>86</v>
      </c>
      <c r="K18" s="598">
        <f t="shared" ref="K18:K27" si="7">+I18-E18</f>
        <v>0</v>
      </c>
    </row>
    <row r="19" spans="1:13">
      <c r="A19" s="806" t="s">
        <v>665</v>
      </c>
      <c r="B19" s="154">
        <v>43</v>
      </c>
      <c r="C19" s="155">
        <v>43</v>
      </c>
      <c r="D19" s="155"/>
      <c r="E19" s="1289">
        <f>+C19+D19</f>
        <v>43</v>
      </c>
      <c r="F19" s="823">
        <f>+E19</f>
        <v>43</v>
      </c>
      <c r="G19" s="155"/>
      <c r="H19" s="155"/>
      <c r="I19" s="151">
        <f>+H19+G19+F19</f>
        <v>43</v>
      </c>
      <c r="K19" s="598">
        <f t="shared" si="7"/>
        <v>0</v>
      </c>
    </row>
    <row r="20" spans="1:13">
      <c r="A20" s="806" t="s">
        <v>415</v>
      </c>
      <c r="B20" s="154">
        <v>19</v>
      </c>
      <c r="C20" s="155">
        <v>19</v>
      </c>
      <c r="D20" s="155"/>
      <c r="E20" s="1289">
        <f>+C20+D20</f>
        <v>19</v>
      </c>
      <c r="F20" s="154"/>
      <c r="G20" s="155"/>
      <c r="H20" s="155">
        <f>+E20</f>
        <v>19</v>
      </c>
      <c r="I20" s="151">
        <f>+H20+G20+F20</f>
        <v>19</v>
      </c>
      <c r="K20" s="598">
        <f t="shared" si="7"/>
        <v>0</v>
      </c>
    </row>
    <row r="21" spans="1:13">
      <c r="A21" s="806" t="s">
        <v>1040</v>
      </c>
      <c r="B21" s="154">
        <v>24</v>
      </c>
      <c r="C21" s="155">
        <v>24</v>
      </c>
      <c r="D21" s="155"/>
      <c r="E21" s="1289">
        <f>+C21+D21</f>
        <v>24</v>
      </c>
      <c r="F21" s="154"/>
      <c r="G21" s="155"/>
      <c r="H21" s="155">
        <f>+E21</f>
        <v>24</v>
      </c>
      <c r="I21" s="151">
        <f>+H21+G21+F21</f>
        <v>24</v>
      </c>
      <c r="K21" s="598">
        <f t="shared" si="7"/>
        <v>0</v>
      </c>
    </row>
    <row r="22" spans="1:13">
      <c r="A22" s="148" t="s">
        <v>870</v>
      </c>
      <c r="B22" s="149">
        <f t="shared" ref="B22:I22" si="8">+B23+B24</f>
        <v>6</v>
      </c>
      <c r="C22" s="150">
        <f t="shared" si="8"/>
        <v>6</v>
      </c>
      <c r="D22" s="150">
        <f t="shared" si="8"/>
        <v>0</v>
      </c>
      <c r="E22" s="1288">
        <f t="shared" si="8"/>
        <v>6</v>
      </c>
      <c r="F22" s="149">
        <f t="shared" si="8"/>
        <v>2</v>
      </c>
      <c r="G22" s="150">
        <f t="shared" si="8"/>
        <v>0</v>
      </c>
      <c r="H22" s="150">
        <f t="shared" si="8"/>
        <v>4</v>
      </c>
      <c r="I22" s="151">
        <f t="shared" si="8"/>
        <v>6</v>
      </c>
      <c r="K22" s="598">
        <f t="shared" si="7"/>
        <v>0</v>
      </c>
    </row>
    <row r="23" spans="1:13">
      <c r="A23" s="806" t="s">
        <v>416</v>
      </c>
      <c r="B23" s="154">
        <v>4</v>
      </c>
      <c r="C23" s="155">
        <v>4</v>
      </c>
      <c r="D23" s="155"/>
      <c r="E23" s="1289">
        <f>+C23+D23</f>
        <v>4</v>
      </c>
      <c r="F23" s="154"/>
      <c r="G23" s="155"/>
      <c r="H23" s="155">
        <f>+E23</f>
        <v>4</v>
      </c>
      <c r="I23" s="151">
        <f>+H23+G23+F23</f>
        <v>4</v>
      </c>
      <c r="K23" s="598">
        <f t="shared" si="7"/>
        <v>0</v>
      </c>
    </row>
    <row r="24" spans="1:13">
      <c r="A24" s="806" t="s">
        <v>647</v>
      </c>
      <c r="B24" s="154">
        <v>2</v>
      </c>
      <c r="C24" s="155">
        <v>2</v>
      </c>
      <c r="D24" s="155"/>
      <c r="E24" s="1289">
        <f>+C24+D24</f>
        <v>2</v>
      </c>
      <c r="F24" s="154">
        <f>+E24</f>
        <v>2</v>
      </c>
      <c r="G24" s="155"/>
      <c r="H24" s="155"/>
      <c r="I24" s="151">
        <f>+H24+G24+F24</f>
        <v>2</v>
      </c>
      <c r="K24" s="598">
        <f t="shared" si="7"/>
        <v>0</v>
      </c>
    </row>
    <row r="25" spans="1:13">
      <c r="A25" s="148" t="s">
        <v>871</v>
      </c>
      <c r="B25" s="149">
        <f t="shared" ref="B25:I25" si="9">+B26</f>
        <v>0</v>
      </c>
      <c r="C25" s="150">
        <f t="shared" si="9"/>
        <v>0</v>
      </c>
      <c r="D25" s="150">
        <f t="shared" si="9"/>
        <v>0</v>
      </c>
      <c r="E25" s="1288">
        <f t="shared" si="9"/>
        <v>0</v>
      </c>
      <c r="F25" s="149">
        <f t="shared" si="9"/>
        <v>0</v>
      </c>
      <c r="G25" s="150">
        <f t="shared" si="9"/>
        <v>0</v>
      </c>
      <c r="H25" s="150">
        <f t="shared" si="9"/>
        <v>0</v>
      </c>
      <c r="I25" s="151">
        <f t="shared" si="9"/>
        <v>0</v>
      </c>
      <c r="K25" s="598">
        <f t="shared" si="7"/>
        <v>0</v>
      </c>
    </row>
    <row r="26" spans="1:13" ht="12.75" thickBot="1">
      <c r="A26" s="856" t="s">
        <v>19</v>
      </c>
      <c r="B26" s="156"/>
      <c r="C26" s="157"/>
      <c r="D26" s="157"/>
      <c r="E26" s="1290"/>
      <c r="F26" s="156"/>
      <c r="G26" s="157"/>
      <c r="H26" s="157"/>
      <c r="I26" s="151">
        <f>+H26+G26+F26</f>
        <v>0</v>
      </c>
      <c r="K26" s="598">
        <f t="shared" si="7"/>
        <v>0</v>
      </c>
    </row>
    <row r="27" spans="1:13" ht="12.75" thickBot="1">
      <c r="A27" s="158" t="s">
        <v>872</v>
      </c>
      <c r="B27" s="159">
        <f t="shared" ref="B27:I27" si="10">+B18+B22+B25</f>
        <v>92</v>
      </c>
      <c r="C27" s="160">
        <f t="shared" si="10"/>
        <v>92</v>
      </c>
      <c r="D27" s="160">
        <f t="shared" si="10"/>
        <v>0</v>
      </c>
      <c r="E27" s="161">
        <f t="shared" si="10"/>
        <v>92</v>
      </c>
      <c r="F27" s="159">
        <f t="shared" si="10"/>
        <v>45</v>
      </c>
      <c r="G27" s="162">
        <f t="shared" si="10"/>
        <v>0</v>
      </c>
      <c r="H27" s="161">
        <f t="shared" si="10"/>
        <v>47</v>
      </c>
      <c r="I27" s="163">
        <f t="shared" si="10"/>
        <v>92</v>
      </c>
      <c r="K27" s="598">
        <f t="shared" si="7"/>
        <v>0</v>
      </c>
      <c r="L27" s="599">
        <f>+'1.2.mell._HKÖH_Mérleg2020'!F239</f>
        <v>92</v>
      </c>
      <c r="M27" s="598">
        <f>+E27-L27</f>
        <v>0</v>
      </c>
    </row>
    <row r="28" spans="1:13">
      <c r="A28" s="164"/>
      <c r="B28" s="165"/>
      <c r="C28" s="166"/>
      <c r="D28" s="166"/>
      <c r="E28" s="1291"/>
      <c r="F28" s="165"/>
      <c r="G28" s="166"/>
      <c r="H28" s="166"/>
      <c r="I28" s="167"/>
      <c r="K28" s="598"/>
    </row>
    <row r="29" spans="1:13">
      <c r="A29" s="168" t="s">
        <v>417</v>
      </c>
      <c r="B29" s="149">
        <f t="shared" ref="B29:I29" si="11">+B30+B31</f>
        <v>69</v>
      </c>
      <c r="C29" s="150">
        <f t="shared" si="11"/>
        <v>69</v>
      </c>
      <c r="D29" s="150">
        <f t="shared" si="11"/>
        <v>0</v>
      </c>
      <c r="E29" s="1288">
        <f t="shared" si="11"/>
        <v>69</v>
      </c>
      <c r="F29" s="149">
        <f t="shared" si="11"/>
        <v>0</v>
      </c>
      <c r="G29" s="150">
        <f t="shared" si="11"/>
        <v>69</v>
      </c>
      <c r="H29" s="150">
        <f t="shared" si="11"/>
        <v>0</v>
      </c>
      <c r="I29" s="151">
        <f t="shared" si="11"/>
        <v>69</v>
      </c>
      <c r="K29" s="598">
        <f t="shared" ref="K29:K36" si="12">+I29-E29</f>
        <v>0</v>
      </c>
    </row>
    <row r="30" spans="1:13">
      <c r="A30" s="855" t="s">
        <v>1078</v>
      </c>
      <c r="B30" s="154">
        <v>59</v>
      </c>
      <c r="C30" s="155">
        <v>59</v>
      </c>
      <c r="D30" s="155"/>
      <c r="E30" s="1289">
        <f>+C30+D30</f>
        <v>59</v>
      </c>
      <c r="F30" s="154"/>
      <c r="G30" s="155">
        <f>+E30</f>
        <v>59</v>
      </c>
      <c r="H30" s="155"/>
      <c r="I30" s="151">
        <f>+H30+G30+F30</f>
        <v>59</v>
      </c>
      <c r="K30" s="598">
        <f t="shared" si="12"/>
        <v>0</v>
      </c>
    </row>
    <row r="31" spans="1:13">
      <c r="A31" s="855" t="s">
        <v>573</v>
      </c>
      <c r="B31" s="154">
        <v>10</v>
      </c>
      <c r="C31" s="155">
        <v>10</v>
      </c>
      <c r="D31" s="155"/>
      <c r="E31" s="1289">
        <f>+C31+D31</f>
        <v>10</v>
      </c>
      <c r="F31" s="154"/>
      <c r="G31" s="155">
        <f>+E31</f>
        <v>10</v>
      </c>
      <c r="H31" s="155"/>
      <c r="I31" s="151">
        <f>+H31+G31+F31</f>
        <v>10</v>
      </c>
      <c r="K31" s="598">
        <f t="shared" si="12"/>
        <v>0</v>
      </c>
    </row>
    <row r="32" spans="1:13">
      <c r="A32" s="168" t="s">
        <v>418</v>
      </c>
      <c r="B32" s="149">
        <f t="shared" ref="B32:I32" si="13">+B33</f>
        <v>0</v>
      </c>
      <c r="C32" s="150">
        <f t="shared" si="13"/>
        <v>0</v>
      </c>
      <c r="D32" s="150">
        <f t="shared" si="13"/>
        <v>0</v>
      </c>
      <c r="E32" s="1288">
        <f t="shared" si="13"/>
        <v>0</v>
      </c>
      <c r="F32" s="149">
        <f t="shared" si="13"/>
        <v>0</v>
      </c>
      <c r="G32" s="150">
        <f t="shared" si="13"/>
        <v>0</v>
      </c>
      <c r="H32" s="150">
        <f t="shared" si="13"/>
        <v>0</v>
      </c>
      <c r="I32" s="151">
        <f t="shared" si="13"/>
        <v>0</v>
      </c>
      <c r="K32" s="598">
        <f t="shared" si="12"/>
        <v>0</v>
      </c>
    </row>
    <row r="33" spans="1:13">
      <c r="A33" s="855" t="s">
        <v>19</v>
      </c>
      <c r="B33" s="154"/>
      <c r="C33" s="155"/>
      <c r="D33" s="155"/>
      <c r="E33" s="1289"/>
      <c r="F33" s="154"/>
      <c r="G33" s="155"/>
      <c r="H33" s="155"/>
      <c r="I33" s="151">
        <f>+H33+G33+F33</f>
        <v>0</v>
      </c>
      <c r="K33" s="598">
        <f t="shared" si="12"/>
        <v>0</v>
      </c>
    </row>
    <row r="34" spans="1:13">
      <c r="A34" s="148" t="s">
        <v>766</v>
      </c>
      <c r="B34" s="149">
        <f t="shared" ref="B34:I34" si="14">+B35</f>
        <v>0</v>
      </c>
      <c r="C34" s="150">
        <f t="shared" si="14"/>
        <v>0</v>
      </c>
      <c r="D34" s="150">
        <f t="shared" si="14"/>
        <v>0</v>
      </c>
      <c r="E34" s="1288">
        <f t="shared" si="14"/>
        <v>0</v>
      </c>
      <c r="F34" s="149">
        <f t="shared" si="14"/>
        <v>0</v>
      </c>
      <c r="G34" s="150">
        <f t="shared" si="14"/>
        <v>0</v>
      </c>
      <c r="H34" s="150">
        <f t="shared" si="14"/>
        <v>0</v>
      </c>
      <c r="I34" s="151">
        <f t="shared" si="14"/>
        <v>0</v>
      </c>
      <c r="K34" s="598">
        <f t="shared" si="12"/>
        <v>0</v>
      </c>
    </row>
    <row r="35" spans="1:13" ht="12.75" thickBot="1">
      <c r="A35" s="855" t="s">
        <v>19</v>
      </c>
      <c r="B35" s="156"/>
      <c r="C35" s="157"/>
      <c r="D35" s="157"/>
      <c r="E35" s="1290"/>
      <c r="F35" s="156"/>
      <c r="G35" s="157"/>
      <c r="H35" s="157"/>
      <c r="I35" s="151">
        <f>+H35+G35+F35</f>
        <v>0</v>
      </c>
      <c r="K35" s="598">
        <f t="shared" si="12"/>
        <v>0</v>
      </c>
    </row>
    <row r="36" spans="1:13" ht="12.75" thickBot="1">
      <c r="A36" s="158" t="s">
        <v>419</v>
      </c>
      <c r="B36" s="159">
        <f t="shared" ref="B36:I36" si="15">+B29+B32+B34</f>
        <v>69</v>
      </c>
      <c r="C36" s="160">
        <f t="shared" si="15"/>
        <v>69</v>
      </c>
      <c r="D36" s="160">
        <f t="shared" si="15"/>
        <v>0</v>
      </c>
      <c r="E36" s="161">
        <f t="shared" si="15"/>
        <v>69</v>
      </c>
      <c r="F36" s="159">
        <f t="shared" si="15"/>
        <v>0</v>
      </c>
      <c r="G36" s="162">
        <f t="shared" si="15"/>
        <v>69</v>
      </c>
      <c r="H36" s="161">
        <f t="shared" si="15"/>
        <v>0</v>
      </c>
      <c r="I36" s="163">
        <f t="shared" si="15"/>
        <v>69</v>
      </c>
      <c r="K36" s="598">
        <f t="shared" si="12"/>
        <v>0</v>
      </c>
      <c r="L36" s="599">
        <f>+'1.3.mell._HVÓBKI_Mérleg2020'!F239</f>
        <v>69</v>
      </c>
      <c r="M36" s="598">
        <f>+E36-L36</f>
        <v>0</v>
      </c>
    </row>
    <row r="37" spans="1:13">
      <c r="A37" s="164"/>
      <c r="B37" s="165"/>
      <c r="C37" s="166"/>
      <c r="D37" s="166"/>
      <c r="E37" s="1291"/>
      <c r="F37" s="165"/>
      <c r="G37" s="169"/>
      <c r="H37" s="166"/>
      <c r="I37" s="167"/>
      <c r="K37" s="598"/>
    </row>
    <row r="38" spans="1:13">
      <c r="A38" s="168" t="s">
        <v>420</v>
      </c>
      <c r="B38" s="149">
        <f t="shared" ref="B38:I38" si="16">+B39+B40+B41</f>
        <v>9</v>
      </c>
      <c r="C38" s="150">
        <f t="shared" si="16"/>
        <v>9</v>
      </c>
      <c r="D38" s="150">
        <f t="shared" si="16"/>
        <v>0</v>
      </c>
      <c r="E38" s="1288">
        <f t="shared" si="16"/>
        <v>9</v>
      </c>
      <c r="F38" s="149">
        <f t="shared" si="16"/>
        <v>0</v>
      </c>
      <c r="G38" s="150">
        <f t="shared" si="16"/>
        <v>9</v>
      </c>
      <c r="H38" s="150">
        <f t="shared" si="16"/>
        <v>0</v>
      </c>
      <c r="I38" s="151">
        <f t="shared" si="16"/>
        <v>9</v>
      </c>
      <c r="K38" s="598">
        <f t="shared" ref="K38:K46" si="17">+I38-E38</f>
        <v>0</v>
      </c>
    </row>
    <row r="39" spans="1:13">
      <c r="A39" s="855" t="s">
        <v>1089</v>
      </c>
      <c r="B39" s="154">
        <v>4</v>
      </c>
      <c r="C39" s="155">
        <v>4</v>
      </c>
      <c r="D39" s="155"/>
      <c r="E39" s="1289">
        <f>+C39+D39</f>
        <v>4</v>
      </c>
      <c r="F39" s="154"/>
      <c r="G39" s="155">
        <f>+E39</f>
        <v>4</v>
      </c>
      <c r="H39" s="155"/>
      <c r="I39" s="151">
        <f>+H39+G39+F39</f>
        <v>4</v>
      </c>
      <c r="K39" s="598">
        <f t="shared" si="17"/>
        <v>0</v>
      </c>
    </row>
    <row r="40" spans="1:13">
      <c r="A40" s="855" t="s">
        <v>1095</v>
      </c>
      <c r="B40" s="154">
        <v>1</v>
      </c>
      <c r="C40" s="155">
        <v>1</v>
      </c>
      <c r="D40" s="155"/>
      <c r="E40" s="1289">
        <f>+C40+D40</f>
        <v>1</v>
      </c>
      <c r="F40" s="154"/>
      <c r="G40" s="155">
        <f>+E40</f>
        <v>1</v>
      </c>
      <c r="H40" s="155"/>
      <c r="I40" s="151">
        <f>+H40+G40+F40</f>
        <v>1</v>
      </c>
      <c r="K40" s="598">
        <f t="shared" si="17"/>
        <v>0</v>
      </c>
    </row>
    <row r="41" spans="1:13">
      <c r="A41" s="855" t="s">
        <v>1096</v>
      </c>
      <c r="B41" s="154">
        <v>4</v>
      </c>
      <c r="C41" s="155">
        <v>4</v>
      </c>
      <c r="D41" s="155"/>
      <c r="E41" s="1289">
        <f>+C41+D41</f>
        <v>4</v>
      </c>
      <c r="F41" s="154"/>
      <c r="G41" s="155">
        <f>+E41</f>
        <v>4</v>
      </c>
      <c r="H41" s="155"/>
      <c r="I41" s="151">
        <f>+H41+G41+F41</f>
        <v>4</v>
      </c>
      <c r="K41" s="598">
        <f t="shared" si="17"/>
        <v>0</v>
      </c>
    </row>
    <row r="42" spans="1:13">
      <c r="A42" s="168" t="s">
        <v>421</v>
      </c>
      <c r="B42" s="149">
        <f t="shared" ref="B42:I42" si="18">+B43</f>
        <v>0</v>
      </c>
      <c r="C42" s="150">
        <f t="shared" si="18"/>
        <v>0</v>
      </c>
      <c r="D42" s="150">
        <f t="shared" si="18"/>
        <v>0</v>
      </c>
      <c r="E42" s="1288">
        <f t="shared" si="18"/>
        <v>0</v>
      </c>
      <c r="F42" s="149">
        <f t="shared" si="18"/>
        <v>0</v>
      </c>
      <c r="G42" s="150">
        <f t="shared" si="18"/>
        <v>0</v>
      </c>
      <c r="H42" s="150">
        <f t="shared" si="18"/>
        <v>0</v>
      </c>
      <c r="I42" s="151">
        <f t="shared" si="18"/>
        <v>0</v>
      </c>
      <c r="K42" s="598">
        <f t="shared" si="17"/>
        <v>0</v>
      </c>
    </row>
    <row r="43" spans="1:13">
      <c r="A43" s="855" t="s">
        <v>19</v>
      </c>
      <c r="B43" s="154"/>
      <c r="C43" s="155"/>
      <c r="D43" s="155"/>
      <c r="E43" s="1289"/>
      <c r="F43" s="154"/>
      <c r="G43" s="155"/>
      <c r="H43" s="155"/>
      <c r="I43" s="151">
        <f>+H43+G43+F43</f>
        <v>0</v>
      </c>
      <c r="K43" s="598">
        <f t="shared" si="17"/>
        <v>0</v>
      </c>
    </row>
    <row r="44" spans="1:13">
      <c r="A44" s="148" t="s">
        <v>767</v>
      </c>
      <c r="B44" s="149">
        <f t="shared" ref="B44:I44" si="19">+B45</f>
        <v>0</v>
      </c>
      <c r="C44" s="150">
        <f t="shared" si="19"/>
        <v>0</v>
      </c>
      <c r="D44" s="150">
        <f t="shared" si="19"/>
        <v>0</v>
      </c>
      <c r="E44" s="1288">
        <f t="shared" si="19"/>
        <v>0</v>
      </c>
      <c r="F44" s="149">
        <f t="shared" si="19"/>
        <v>0</v>
      </c>
      <c r="G44" s="150">
        <f t="shared" si="19"/>
        <v>0</v>
      </c>
      <c r="H44" s="150">
        <f t="shared" si="19"/>
        <v>0</v>
      </c>
      <c r="I44" s="151">
        <f t="shared" si="19"/>
        <v>0</v>
      </c>
      <c r="K44" s="598">
        <f t="shared" si="17"/>
        <v>0</v>
      </c>
    </row>
    <row r="45" spans="1:13" ht="12.75" thickBot="1">
      <c r="A45" s="855" t="s">
        <v>19</v>
      </c>
      <c r="B45" s="156"/>
      <c r="C45" s="157"/>
      <c r="D45" s="157"/>
      <c r="E45" s="1290"/>
      <c r="F45" s="156"/>
      <c r="G45" s="157"/>
      <c r="H45" s="157"/>
      <c r="I45" s="151">
        <f>+H45+G45+F45</f>
        <v>0</v>
      </c>
      <c r="K45" s="598">
        <f t="shared" si="17"/>
        <v>0</v>
      </c>
    </row>
    <row r="46" spans="1:13" ht="12.75" thickBot="1">
      <c r="A46" s="170" t="s">
        <v>422</v>
      </c>
      <c r="B46" s="159">
        <f t="shared" ref="B46:I46" si="20">+B38+B42+B44</f>
        <v>9</v>
      </c>
      <c r="C46" s="160">
        <f t="shared" si="20"/>
        <v>9</v>
      </c>
      <c r="D46" s="160">
        <f t="shared" si="20"/>
        <v>0</v>
      </c>
      <c r="E46" s="161">
        <f t="shared" si="20"/>
        <v>9</v>
      </c>
      <c r="F46" s="159">
        <f t="shared" si="20"/>
        <v>0</v>
      </c>
      <c r="G46" s="162">
        <f t="shared" si="20"/>
        <v>9</v>
      </c>
      <c r="H46" s="161">
        <f t="shared" si="20"/>
        <v>0</v>
      </c>
      <c r="I46" s="163">
        <f t="shared" si="20"/>
        <v>9</v>
      </c>
      <c r="K46" s="598">
        <f t="shared" si="17"/>
        <v>0</v>
      </c>
      <c r="L46" s="599">
        <f>+'1.4.mell._HKK_Mérleg2020'!F239</f>
        <v>9</v>
      </c>
      <c r="M46" s="598">
        <f>+E46-L46</f>
        <v>0</v>
      </c>
    </row>
    <row r="47" spans="1:13" s="441" customFormat="1">
      <c r="A47" s="709"/>
      <c r="B47" s="710"/>
      <c r="C47" s="169"/>
      <c r="D47" s="169"/>
      <c r="E47" s="1292"/>
      <c r="F47" s="710"/>
      <c r="G47" s="169"/>
      <c r="H47" s="169"/>
      <c r="I47" s="711"/>
      <c r="K47" s="712"/>
      <c r="L47" s="713"/>
    </row>
    <row r="48" spans="1:13" s="441" customFormat="1">
      <c r="A48" s="714" t="s">
        <v>860</v>
      </c>
      <c r="B48" s="149">
        <f t="shared" ref="B48:I48" si="21">+B49</f>
        <v>0</v>
      </c>
      <c r="C48" s="150">
        <f t="shared" si="21"/>
        <v>0</v>
      </c>
      <c r="D48" s="150">
        <f t="shared" si="21"/>
        <v>0</v>
      </c>
      <c r="E48" s="1288">
        <f t="shared" si="21"/>
        <v>0</v>
      </c>
      <c r="F48" s="149">
        <f t="shared" si="21"/>
        <v>0</v>
      </c>
      <c r="G48" s="150">
        <f t="shared" si="21"/>
        <v>0</v>
      </c>
      <c r="H48" s="150">
        <f t="shared" si="21"/>
        <v>0</v>
      </c>
      <c r="I48" s="151">
        <f t="shared" si="21"/>
        <v>0</v>
      </c>
      <c r="K48" s="598">
        <f>+I48-E48</f>
        <v>0</v>
      </c>
      <c r="L48" s="599"/>
      <c r="M48" s="180"/>
    </row>
    <row r="49" spans="1:13">
      <c r="A49" s="855" t="s">
        <v>19</v>
      </c>
      <c r="B49" s="154"/>
      <c r="C49" s="155"/>
      <c r="D49" s="155"/>
      <c r="E49" s="1289"/>
      <c r="F49" s="154"/>
      <c r="G49" s="155"/>
      <c r="H49" s="155"/>
      <c r="I49" s="151">
        <f>+H49+G49+F49</f>
        <v>0</v>
      </c>
      <c r="K49" s="598">
        <f>+I49-E49</f>
        <v>0</v>
      </c>
    </row>
    <row r="50" spans="1:13" s="441" customFormat="1">
      <c r="A50" s="714" t="s">
        <v>861</v>
      </c>
      <c r="B50" s="149">
        <f t="shared" ref="B50:I50" si="22">+B51</f>
        <v>3</v>
      </c>
      <c r="C50" s="150">
        <f t="shared" si="22"/>
        <v>3</v>
      </c>
      <c r="D50" s="150">
        <f t="shared" si="22"/>
        <v>0</v>
      </c>
      <c r="E50" s="1288">
        <f t="shared" si="22"/>
        <v>3</v>
      </c>
      <c r="F50" s="149">
        <f t="shared" si="22"/>
        <v>0</v>
      </c>
      <c r="G50" s="150">
        <f t="shared" si="22"/>
        <v>3</v>
      </c>
      <c r="H50" s="150">
        <f t="shared" si="22"/>
        <v>0</v>
      </c>
      <c r="I50" s="151">
        <f t="shared" si="22"/>
        <v>3</v>
      </c>
      <c r="K50" s="598">
        <f>+I50-E50</f>
        <v>0</v>
      </c>
      <c r="L50" s="599"/>
      <c r="M50" s="180"/>
    </row>
    <row r="51" spans="1:13">
      <c r="A51" s="855" t="s">
        <v>1075</v>
      </c>
      <c r="B51" s="154">
        <v>3</v>
      </c>
      <c r="C51" s="155">
        <v>3</v>
      </c>
      <c r="D51" s="155"/>
      <c r="E51" s="1289">
        <f>+C51+D51</f>
        <v>3</v>
      </c>
      <c r="F51" s="154"/>
      <c r="G51" s="155">
        <f>+E51</f>
        <v>3</v>
      </c>
      <c r="H51" s="155"/>
      <c r="I51" s="151">
        <f>+H51+G51+F51</f>
        <v>3</v>
      </c>
      <c r="K51" s="598">
        <f>+I51-E51</f>
        <v>0</v>
      </c>
    </row>
    <row r="52" spans="1:13" s="441" customFormat="1">
      <c r="A52" s="148" t="s">
        <v>888</v>
      </c>
      <c r="B52" s="149">
        <f t="shared" ref="B52:I52" si="23">+B53</f>
        <v>0</v>
      </c>
      <c r="C52" s="150">
        <f t="shared" si="23"/>
        <v>0</v>
      </c>
      <c r="D52" s="150">
        <f t="shared" si="23"/>
        <v>0</v>
      </c>
      <c r="E52" s="1288">
        <f t="shared" si="23"/>
        <v>0</v>
      </c>
      <c r="F52" s="149">
        <f t="shared" si="23"/>
        <v>0</v>
      </c>
      <c r="G52" s="150">
        <f t="shared" si="23"/>
        <v>0</v>
      </c>
      <c r="H52" s="150">
        <f t="shared" si="23"/>
        <v>0</v>
      </c>
      <c r="I52" s="151">
        <f t="shared" si="23"/>
        <v>0</v>
      </c>
      <c r="K52" s="598"/>
      <c r="L52" s="599"/>
      <c r="M52" s="180"/>
    </row>
    <row r="53" spans="1:13" ht="12.75" thickBot="1">
      <c r="A53" s="855" t="s">
        <v>19</v>
      </c>
      <c r="B53" s="156"/>
      <c r="C53" s="157"/>
      <c r="D53" s="157"/>
      <c r="E53" s="1290"/>
      <c r="F53" s="156"/>
      <c r="G53" s="157"/>
      <c r="H53" s="157"/>
      <c r="I53" s="151">
        <f>+H53+G53+F53</f>
        <v>0</v>
      </c>
      <c r="K53" s="598">
        <f>+I53-E53</f>
        <v>0</v>
      </c>
    </row>
    <row r="54" spans="1:13" s="441" customFormat="1" ht="12.75" thickBot="1">
      <c r="A54" s="170" t="s">
        <v>862</v>
      </c>
      <c r="B54" s="159">
        <f t="shared" ref="B54:I54" si="24">+B48+B50+B52</f>
        <v>3</v>
      </c>
      <c r="C54" s="160">
        <f t="shared" si="24"/>
        <v>3</v>
      </c>
      <c r="D54" s="160">
        <f t="shared" si="24"/>
        <v>0</v>
      </c>
      <c r="E54" s="161">
        <f t="shared" si="24"/>
        <v>3</v>
      </c>
      <c r="F54" s="159">
        <f t="shared" si="24"/>
        <v>0</v>
      </c>
      <c r="G54" s="162">
        <f t="shared" si="24"/>
        <v>3</v>
      </c>
      <c r="H54" s="161">
        <f t="shared" si="24"/>
        <v>0</v>
      </c>
      <c r="I54" s="163">
        <f t="shared" si="24"/>
        <v>3</v>
      </c>
      <c r="K54" s="598">
        <f>+I54-E54</f>
        <v>0</v>
      </c>
      <c r="L54" s="599">
        <f>+'1.5._mell._MŐSZ_Mérleg2020'!F239</f>
        <v>3</v>
      </c>
      <c r="M54" s="598">
        <f>+E54-L54</f>
        <v>0</v>
      </c>
    </row>
    <row r="55" spans="1:13">
      <c r="A55" s="164"/>
      <c r="B55" s="165"/>
      <c r="C55" s="166"/>
      <c r="D55" s="166"/>
      <c r="E55" s="1291"/>
      <c r="F55" s="165"/>
      <c r="G55" s="166"/>
      <c r="H55" s="166"/>
      <c r="I55" s="167"/>
      <c r="K55" s="598"/>
    </row>
    <row r="56" spans="1:13">
      <c r="A56" s="168" t="s">
        <v>1098</v>
      </c>
      <c r="B56" s="149">
        <f t="shared" ref="B56:I56" si="25">+B57+B58</f>
        <v>22</v>
      </c>
      <c r="C56" s="150">
        <f t="shared" si="25"/>
        <v>22</v>
      </c>
      <c r="D56" s="150">
        <f t="shared" si="25"/>
        <v>0</v>
      </c>
      <c r="E56" s="1288">
        <f t="shared" si="25"/>
        <v>22</v>
      </c>
      <c r="F56" s="149">
        <f t="shared" si="25"/>
        <v>0</v>
      </c>
      <c r="G56" s="150">
        <f t="shared" si="25"/>
        <v>22</v>
      </c>
      <c r="H56" s="150">
        <f t="shared" si="25"/>
        <v>0</v>
      </c>
      <c r="I56" s="151">
        <f t="shared" si="25"/>
        <v>22</v>
      </c>
      <c r="K56" s="598">
        <f t="shared" ref="K56:K63" si="26">+I56-E56</f>
        <v>0</v>
      </c>
    </row>
    <row r="57" spans="1:13">
      <c r="A57" s="855" t="s">
        <v>1025</v>
      </c>
      <c r="B57" s="154">
        <v>8</v>
      </c>
      <c r="C57" s="155">
        <v>8</v>
      </c>
      <c r="D57" s="155"/>
      <c r="E57" s="1289">
        <f>+C57+D57</f>
        <v>8</v>
      </c>
      <c r="F57" s="154"/>
      <c r="G57" s="155">
        <f>+E57</f>
        <v>8</v>
      </c>
      <c r="H57" s="155"/>
      <c r="I57" s="151">
        <f>+H57+G57+F57</f>
        <v>8</v>
      </c>
      <c r="K57" s="598">
        <f t="shared" si="26"/>
        <v>0</v>
      </c>
    </row>
    <row r="58" spans="1:13">
      <c r="A58" s="855" t="s">
        <v>1026</v>
      </c>
      <c r="B58" s="154">
        <v>14</v>
      </c>
      <c r="C58" s="155">
        <v>14</v>
      </c>
      <c r="D58" s="155"/>
      <c r="E58" s="1289">
        <f>+C58+D58</f>
        <v>14</v>
      </c>
      <c r="F58" s="154"/>
      <c r="G58" s="155">
        <f>+E58</f>
        <v>14</v>
      </c>
      <c r="H58" s="155"/>
      <c r="I58" s="151">
        <f>+H58+G58+F58</f>
        <v>14</v>
      </c>
      <c r="K58" s="598">
        <f t="shared" si="26"/>
        <v>0</v>
      </c>
    </row>
    <row r="59" spans="1:13">
      <c r="A59" s="168" t="s">
        <v>1099</v>
      </c>
      <c r="B59" s="149">
        <f t="shared" ref="B59:I59" si="27">+B60</f>
        <v>0</v>
      </c>
      <c r="C59" s="150">
        <f t="shared" si="27"/>
        <v>0</v>
      </c>
      <c r="D59" s="150">
        <f t="shared" si="27"/>
        <v>0</v>
      </c>
      <c r="E59" s="1288">
        <f t="shared" si="27"/>
        <v>0</v>
      </c>
      <c r="F59" s="149">
        <f t="shared" si="27"/>
        <v>0</v>
      </c>
      <c r="G59" s="150">
        <f t="shared" si="27"/>
        <v>0</v>
      </c>
      <c r="H59" s="150">
        <f t="shared" si="27"/>
        <v>0</v>
      </c>
      <c r="I59" s="151">
        <f t="shared" si="27"/>
        <v>0</v>
      </c>
      <c r="K59" s="598">
        <f t="shared" si="26"/>
        <v>0</v>
      </c>
    </row>
    <row r="60" spans="1:13">
      <c r="A60" s="855" t="s">
        <v>19</v>
      </c>
      <c r="B60" s="154"/>
      <c r="C60" s="155"/>
      <c r="D60" s="155"/>
      <c r="E60" s="1289"/>
      <c r="F60" s="154"/>
      <c r="G60" s="155"/>
      <c r="H60" s="155"/>
      <c r="I60" s="151">
        <f>+H60+G60+F60</f>
        <v>0</v>
      </c>
      <c r="K60" s="598">
        <f t="shared" si="26"/>
        <v>0</v>
      </c>
    </row>
    <row r="61" spans="1:13">
      <c r="A61" s="148" t="s">
        <v>1100</v>
      </c>
      <c r="B61" s="149">
        <f t="shared" ref="B61:I61" si="28">+B62</f>
        <v>0</v>
      </c>
      <c r="C61" s="150">
        <f t="shared" si="28"/>
        <v>0</v>
      </c>
      <c r="D61" s="150">
        <f t="shared" si="28"/>
        <v>0</v>
      </c>
      <c r="E61" s="1288">
        <f t="shared" si="28"/>
        <v>0</v>
      </c>
      <c r="F61" s="149">
        <f t="shared" si="28"/>
        <v>0</v>
      </c>
      <c r="G61" s="150">
        <f t="shared" si="28"/>
        <v>0</v>
      </c>
      <c r="H61" s="150">
        <f t="shared" si="28"/>
        <v>0</v>
      </c>
      <c r="I61" s="151">
        <f t="shared" si="28"/>
        <v>0</v>
      </c>
      <c r="K61" s="598">
        <f t="shared" si="26"/>
        <v>0</v>
      </c>
    </row>
    <row r="62" spans="1:13" ht="12.75" thickBot="1">
      <c r="A62" s="855" t="s">
        <v>19</v>
      </c>
      <c r="B62" s="156"/>
      <c r="C62" s="157"/>
      <c r="D62" s="157"/>
      <c r="E62" s="1290"/>
      <c r="F62" s="156"/>
      <c r="G62" s="157"/>
      <c r="H62" s="157"/>
      <c r="I62" s="151">
        <f>+H62+G62+F62</f>
        <v>0</v>
      </c>
      <c r="K62" s="598">
        <f t="shared" si="26"/>
        <v>0</v>
      </c>
    </row>
    <row r="63" spans="1:13" ht="12.75" thickBot="1">
      <c r="A63" s="158" t="s">
        <v>1101</v>
      </c>
      <c r="B63" s="159">
        <f t="shared" ref="B63:I63" si="29">+B56+B59+B61</f>
        <v>22</v>
      </c>
      <c r="C63" s="160">
        <f t="shared" si="29"/>
        <v>22</v>
      </c>
      <c r="D63" s="160">
        <f t="shared" si="29"/>
        <v>0</v>
      </c>
      <c r="E63" s="161">
        <f t="shared" si="29"/>
        <v>22</v>
      </c>
      <c r="F63" s="159">
        <f t="shared" si="29"/>
        <v>0</v>
      </c>
      <c r="G63" s="162">
        <f t="shared" si="29"/>
        <v>22</v>
      </c>
      <c r="H63" s="161">
        <f t="shared" si="29"/>
        <v>0</v>
      </c>
      <c r="I63" s="163">
        <f t="shared" si="29"/>
        <v>22</v>
      </c>
      <c r="K63" s="598">
        <f t="shared" si="26"/>
        <v>0</v>
      </c>
      <c r="L63" s="599">
        <f>+'1.6._mell._HVGYKCSSZ_Mérleg2020'!F239</f>
        <v>22</v>
      </c>
      <c r="M63" s="598">
        <f>+E63-L63</f>
        <v>0</v>
      </c>
    </row>
    <row r="64" spans="1:13" ht="12.75" thickBot="1">
      <c r="A64" s="171"/>
      <c r="B64" s="152"/>
      <c r="C64" s="153"/>
      <c r="D64" s="153"/>
      <c r="E64" s="1293"/>
      <c r="F64" s="152"/>
      <c r="G64" s="172"/>
      <c r="H64" s="153"/>
      <c r="I64" s="151"/>
      <c r="K64" s="598"/>
    </row>
    <row r="65" spans="1:13" ht="12.75" thickBot="1">
      <c r="A65" s="173" t="s">
        <v>427</v>
      </c>
      <c r="B65" s="159">
        <f t="shared" ref="B65:I65" si="30">+B16+B27+B36+B54+B46+B63</f>
        <v>196</v>
      </c>
      <c r="C65" s="160">
        <f t="shared" si="30"/>
        <v>223</v>
      </c>
      <c r="D65" s="160">
        <f t="shared" si="30"/>
        <v>0</v>
      </c>
      <c r="E65" s="161">
        <f t="shared" si="30"/>
        <v>223</v>
      </c>
      <c r="F65" s="159">
        <f t="shared" si="30"/>
        <v>46</v>
      </c>
      <c r="G65" s="162">
        <f t="shared" si="30"/>
        <v>103</v>
      </c>
      <c r="H65" s="160">
        <f t="shared" si="30"/>
        <v>74</v>
      </c>
      <c r="I65" s="163">
        <f t="shared" si="30"/>
        <v>223</v>
      </c>
      <c r="K65" s="598">
        <f>+I65-E65</f>
        <v>0</v>
      </c>
      <c r="L65" s="599">
        <f>+'1.mell._Össz_Mérleg2020'!F239</f>
        <v>223</v>
      </c>
      <c r="M65" s="598">
        <f>+E65-L65</f>
        <v>0</v>
      </c>
    </row>
    <row r="66" spans="1:13">
      <c r="A66" s="142"/>
      <c r="B66" s="142"/>
      <c r="C66" s="142"/>
      <c r="D66" s="142"/>
      <c r="E66" s="142"/>
      <c r="F66" s="142"/>
      <c r="G66" s="142"/>
      <c r="H66" s="142"/>
      <c r="I66" s="142"/>
      <c r="K66" s="598"/>
    </row>
    <row r="67" spans="1:13" ht="15.75">
      <c r="A67" s="1462" t="s">
        <v>423</v>
      </c>
      <c r="B67" s="1462"/>
      <c r="C67" s="1462"/>
      <c r="D67" s="1462"/>
      <c r="E67" s="1462"/>
      <c r="F67" s="1462"/>
      <c r="G67" s="1462"/>
      <c r="H67" s="1462"/>
      <c r="I67" s="1462"/>
      <c r="K67" s="598"/>
    </row>
    <row r="68" spans="1:13" ht="12.75" thickBot="1">
      <c r="A68" s="142"/>
      <c r="B68" s="142"/>
      <c r="C68" s="142"/>
      <c r="D68" s="142"/>
      <c r="E68" s="142"/>
      <c r="F68" s="142"/>
      <c r="G68" s="142"/>
      <c r="H68" s="142"/>
      <c r="I68" s="142"/>
      <c r="K68" s="598"/>
    </row>
    <row r="69" spans="1:13" s="183" customFormat="1" ht="12.75" customHeight="1" thickBot="1">
      <c r="A69" s="1460" t="s">
        <v>7</v>
      </c>
      <c r="B69" s="1471" t="s">
        <v>1588</v>
      </c>
      <c r="C69" s="1469" t="s">
        <v>1589</v>
      </c>
      <c r="D69" s="1469" t="s">
        <v>1660</v>
      </c>
      <c r="E69" s="1463" t="s">
        <v>1661</v>
      </c>
      <c r="F69" s="1465" t="s">
        <v>1433</v>
      </c>
      <c r="G69" s="1466"/>
      <c r="H69" s="1466"/>
      <c r="I69" s="1467"/>
      <c r="K69" s="598"/>
      <c r="L69" s="602"/>
    </row>
    <row r="70" spans="1:13" s="183" customFormat="1" ht="48.75" thickBot="1">
      <c r="A70" s="1461"/>
      <c r="B70" s="1472"/>
      <c r="C70" s="1470"/>
      <c r="D70" s="1470"/>
      <c r="E70" s="1464"/>
      <c r="F70" s="184" t="s">
        <v>407</v>
      </c>
      <c r="G70" s="185" t="s">
        <v>408</v>
      </c>
      <c r="H70" s="186" t="s">
        <v>409</v>
      </c>
      <c r="I70" s="187" t="s">
        <v>18</v>
      </c>
      <c r="K70" s="598"/>
      <c r="L70" s="602"/>
    </row>
    <row r="71" spans="1:13">
      <c r="A71" s="143"/>
      <c r="B71" s="174"/>
      <c r="C71" s="1299"/>
      <c r="D71" s="1299"/>
      <c r="E71" s="1294"/>
      <c r="F71" s="174"/>
      <c r="G71" s="175"/>
      <c r="H71" s="176"/>
      <c r="I71" s="177"/>
      <c r="K71" s="598"/>
    </row>
    <row r="72" spans="1:13">
      <c r="A72" s="148" t="s">
        <v>410</v>
      </c>
      <c r="B72" s="149">
        <f t="shared" ref="B72:I72" si="31">+B73+B74+B75</f>
        <v>148</v>
      </c>
      <c r="C72" s="150">
        <f t="shared" si="31"/>
        <v>159</v>
      </c>
      <c r="D72" s="150">
        <f t="shared" si="31"/>
        <v>0</v>
      </c>
      <c r="E72" s="1288">
        <f t="shared" si="31"/>
        <v>159</v>
      </c>
      <c r="F72" s="149">
        <f t="shared" si="31"/>
        <v>0</v>
      </c>
      <c r="G72" s="150">
        <f t="shared" si="31"/>
        <v>0</v>
      </c>
      <c r="H72" s="150">
        <f t="shared" si="31"/>
        <v>159</v>
      </c>
      <c r="I72" s="151">
        <f t="shared" si="31"/>
        <v>159</v>
      </c>
      <c r="K72" s="598">
        <f>+I72-E72</f>
        <v>0</v>
      </c>
    </row>
    <row r="73" spans="1:13">
      <c r="A73" s="805" t="s">
        <v>708</v>
      </c>
      <c r="B73" s="989"/>
      <c r="C73" s="1300"/>
      <c r="D73" s="1300"/>
      <c r="E73" s="1295"/>
      <c r="F73" s="152"/>
      <c r="G73" s="153"/>
      <c r="H73" s="153">
        <f>+E73</f>
        <v>0</v>
      </c>
      <c r="I73" s="151">
        <f>+F73+G73+H73</f>
        <v>0</v>
      </c>
      <c r="K73" s="598">
        <f>+I73-E73</f>
        <v>0</v>
      </c>
    </row>
    <row r="74" spans="1:13">
      <c r="A74" s="806" t="s">
        <v>711</v>
      </c>
      <c r="B74" s="154">
        <v>105</v>
      </c>
      <c r="C74" s="155">
        <v>105</v>
      </c>
      <c r="D74" s="155"/>
      <c r="E74" s="1289">
        <f>+C74+D74</f>
        <v>105</v>
      </c>
      <c r="F74" s="154"/>
      <c r="G74" s="155"/>
      <c r="H74" s="153">
        <f>+E74</f>
        <v>105</v>
      </c>
      <c r="I74" s="151">
        <f>+F74+G74+H74</f>
        <v>105</v>
      </c>
      <c r="K74" s="598">
        <f>+I74-E74</f>
        <v>0</v>
      </c>
    </row>
    <row r="75" spans="1:13" ht="12.75" thickBot="1">
      <c r="A75" s="807" t="s">
        <v>714</v>
      </c>
      <c r="B75" s="178">
        <v>43</v>
      </c>
      <c r="C75" s="179">
        <f>43+11</f>
        <v>54</v>
      </c>
      <c r="D75" s="179"/>
      <c r="E75" s="1296">
        <f>+C75+D75</f>
        <v>54</v>
      </c>
      <c r="F75" s="178"/>
      <c r="G75" s="179"/>
      <c r="H75" s="153">
        <f>+E75</f>
        <v>54</v>
      </c>
      <c r="I75" s="151">
        <f>+F75+G75+H75</f>
        <v>54</v>
      </c>
      <c r="K75" s="598">
        <f>+I75-E75</f>
        <v>0</v>
      </c>
    </row>
    <row r="76" spans="1:13" ht="12.75" thickBot="1">
      <c r="A76" s="158" t="s">
        <v>413</v>
      </c>
      <c r="B76" s="159">
        <f t="shared" ref="B76:I76" si="32">+B72</f>
        <v>148</v>
      </c>
      <c r="C76" s="160">
        <f t="shared" si="32"/>
        <v>159</v>
      </c>
      <c r="D76" s="160">
        <f t="shared" si="32"/>
        <v>0</v>
      </c>
      <c r="E76" s="161">
        <f t="shared" si="32"/>
        <v>159</v>
      </c>
      <c r="F76" s="159">
        <f t="shared" si="32"/>
        <v>0</v>
      </c>
      <c r="G76" s="160">
        <f t="shared" si="32"/>
        <v>0</v>
      </c>
      <c r="H76" s="160">
        <f t="shared" si="32"/>
        <v>159</v>
      </c>
      <c r="I76" s="163">
        <f t="shared" si="32"/>
        <v>159</v>
      </c>
      <c r="K76" s="598">
        <f>+I76-E76</f>
        <v>0</v>
      </c>
      <c r="L76" s="599">
        <f>+'1.1.mell._ÖNK_Mérleg2020'!F241</f>
        <v>159</v>
      </c>
      <c r="M76" s="599">
        <f>+E76-L76</f>
        <v>0</v>
      </c>
    </row>
    <row r="77" spans="1:13" ht="12.75" thickBot="1">
      <c r="A77" s="158"/>
      <c r="B77" s="159"/>
      <c r="C77" s="160"/>
      <c r="D77" s="160"/>
      <c r="E77" s="161"/>
      <c r="F77" s="159"/>
      <c r="G77" s="160"/>
      <c r="H77" s="160"/>
      <c r="I77" s="163"/>
      <c r="K77" s="598"/>
    </row>
    <row r="78" spans="1:13" ht="12.75" thickBot="1">
      <c r="A78" s="173" t="s">
        <v>426</v>
      </c>
      <c r="B78" s="159">
        <f t="shared" ref="B78:I78" si="33">+B76</f>
        <v>148</v>
      </c>
      <c r="C78" s="160">
        <f t="shared" si="33"/>
        <v>159</v>
      </c>
      <c r="D78" s="160">
        <f t="shared" si="33"/>
        <v>0</v>
      </c>
      <c r="E78" s="161">
        <f t="shared" si="33"/>
        <v>159</v>
      </c>
      <c r="F78" s="159">
        <f t="shared" si="33"/>
        <v>0</v>
      </c>
      <c r="G78" s="162">
        <f t="shared" si="33"/>
        <v>0</v>
      </c>
      <c r="H78" s="160">
        <f t="shared" si="33"/>
        <v>159</v>
      </c>
      <c r="I78" s="163">
        <f t="shared" si="33"/>
        <v>159</v>
      </c>
      <c r="K78" s="598">
        <f>+I78-E78</f>
        <v>0</v>
      </c>
      <c r="L78" s="599">
        <f>+'1.mell._Össz_Mérleg2020'!F241</f>
        <v>159</v>
      </c>
      <c r="M78" s="599">
        <f>+E78-L78</f>
        <v>0</v>
      </c>
    </row>
    <row r="79" spans="1:13" ht="12.75" thickBot="1">
      <c r="K79" s="598"/>
    </row>
    <row r="80" spans="1:13" s="183" customFormat="1" ht="12.75" thickBot="1">
      <c r="A80" s="188" t="s">
        <v>425</v>
      </c>
      <c r="B80" s="1297">
        <f t="shared" ref="B80:I80" si="34">+B65+B78</f>
        <v>344</v>
      </c>
      <c r="C80" s="1301">
        <f t="shared" si="34"/>
        <v>382</v>
      </c>
      <c r="D80" s="596">
        <f t="shared" si="34"/>
        <v>0</v>
      </c>
      <c r="E80" s="1298">
        <f t="shared" si="34"/>
        <v>382</v>
      </c>
      <c r="F80" s="595">
        <f t="shared" si="34"/>
        <v>46</v>
      </c>
      <c r="G80" s="596">
        <f t="shared" si="34"/>
        <v>103</v>
      </c>
      <c r="H80" s="595">
        <f t="shared" si="34"/>
        <v>233</v>
      </c>
      <c r="I80" s="594">
        <f t="shared" si="34"/>
        <v>382</v>
      </c>
      <c r="K80" s="598">
        <f>+I80-E80</f>
        <v>0</v>
      </c>
      <c r="L80" s="599">
        <f>+'1.mell._Össz_Mérleg2020'!F242</f>
        <v>382</v>
      </c>
      <c r="M80" s="599">
        <f>+E80-L80</f>
        <v>0</v>
      </c>
    </row>
  </sheetData>
  <mergeCells count="15">
    <mergeCell ref="A69:A70"/>
    <mergeCell ref="A67:I67"/>
    <mergeCell ref="E69:E70"/>
    <mergeCell ref="F69:I69"/>
    <mergeCell ref="A3:I3"/>
    <mergeCell ref="A4:I4"/>
    <mergeCell ref="A6:A7"/>
    <mergeCell ref="F6:I6"/>
    <mergeCell ref="E6:E7"/>
    <mergeCell ref="D6:D7"/>
    <mergeCell ref="D69:D70"/>
    <mergeCell ref="C6:C7"/>
    <mergeCell ref="C69:C70"/>
    <mergeCell ref="B6:B7"/>
    <mergeCell ref="B69:B7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00B0F0"/>
  </sheetPr>
  <dimension ref="A1:AA337"/>
  <sheetViews>
    <sheetView zoomScaleNormal="100" workbookViewId="0"/>
  </sheetViews>
  <sheetFormatPr defaultColWidth="9.140625" defaultRowHeight="12"/>
  <cols>
    <col min="1" max="1" width="50.7109375" style="908" customWidth="1"/>
    <col min="2" max="10" width="10.7109375" style="908" customWidth="1"/>
    <col min="11" max="11" width="10.7109375" style="910" customWidth="1"/>
    <col min="12" max="12" width="50.7109375" style="908" customWidth="1"/>
    <col min="13" max="22" width="10.7109375" style="908" customWidth="1"/>
    <col min="23" max="23" width="9.140625" style="908" hidden="1" customWidth="1"/>
    <col min="24" max="24" width="9.7109375" style="908" hidden="1" customWidth="1"/>
    <col min="25" max="27" width="9.140625" style="908" hidden="1" customWidth="1"/>
    <col min="28" max="28" width="9.140625" style="908" customWidth="1"/>
    <col min="29" max="16384" width="9.140625" style="908"/>
  </cols>
  <sheetData>
    <row r="1" spans="1:22" s="900" customFormat="1" ht="15.7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803"/>
      <c r="L1" s="589"/>
      <c r="M1" s="589"/>
      <c r="N1" s="589"/>
      <c r="O1" s="589"/>
      <c r="P1" s="589"/>
      <c r="Q1" s="589"/>
      <c r="S1" s="189"/>
      <c r="T1" s="189"/>
      <c r="U1" s="189" t="s">
        <v>443</v>
      </c>
      <c r="V1" s="189"/>
    </row>
    <row r="2" spans="1:22" s="900" customFormat="1" ht="15.75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803"/>
      <c r="L2" s="589"/>
      <c r="M2" s="589"/>
      <c r="N2" s="589"/>
      <c r="O2" s="589"/>
      <c r="P2" s="589"/>
      <c r="Q2" s="589"/>
      <c r="R2" s="189"/>
      <c r="S2" s="189"/>
      <c r="T2" s="189"/>
      <c r="U2" s="189"/>
      <c r="V2" s="189"/>
    </row>
    <row r="3" spans="1:22" s="900" customFormat="1" ht="15.75">
      <c r="A3" s="1473" t="s">
        <v>454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  <c r="V3" s="971"/>
    </row>
    <row r="4" spans="1:22" s="900" customFormat="1" ht="15.75">
      <c r="K4" s="901"/>
    </row>
    <row r="5" spans="1:22" s="900" customFormat="1" ht="15.75">
      <c r="A5" s="190" t="s">
        <v>429</v>
      </c>
      <c r="B5" s="1476" t="s">
        <v>1500</v>
      </c>
      <c r="C5" s="1476"/>
      <c r="D5" s="1476"/>
      <c r="E5" s="1476"/>
      <c r="F5" s="1476"/>
      <c r="G5" s="1476"/>
      <c r="H5" s="1476"/>
      <c r="I5" s="1476"/>
      <c r="J5" s="1476"/>
      <c r="K5" s="803"/>
      <c r="L5" s="190" t="s">
        <v>430</v>
      </c>
      <c r="M5" s="1476" t="s">
        <v>1105</v>
      </c>
      <c r="N5" s="1476"/>
      <c r="O5" s="1476"/>
      <c r="P5" s="1476"/>
      <c r="Q5" s="1476"/>
      <c r="R5" s="1476"/>
      <c r="S5" s="1476"/>
      <c r="T5" s="1476"/>
      <c r="U5" s="1476"/>
      <c r="V5" s="972"/>
    </row>
    <row r="6" spans="1:22" s="900" customFormat="1" ht="15.75" customHeight="1">
      <c r="A6" s="1474" t="s">
        <v>1501</v>
      </c>
      <c r="B6" s="1474"/>
      <c r="C6" s="1474"/>
      <c r="D6" s="1474"/>
      <c r="E6" s="1474"/>
      <c r="F6" s="1474"/>
      <c r="G6" s="1474"/>
      <c r="H6" s="1474"/>
      <c r="I6" s="1474"/>
      <c r="J6" s="1474"/>
      <c r="K6" s="803"/>
      <c r="L6" s="1474" t="s">
        <v>1106</v>
      </c>
      <c r="M6" s="1474"/>
      <c r="N6" s="1474"/>
      <c r="O6" s="1474"/>
      <c r="P6" s="1474"/>
      <c r="Q6" s="1474"/>
      <c r="R6" s="1474"/>
      <c r="S6" s="1474"/>
      <c r="T6" s="1474"/>
      <c r="U6" s="1474"/>
      <c r="V6" s="966"/>
    </row>
    <row r="7" spans="1:22" s="900" customFormat="1" ht="15.75">
      <c r="A7" s="1473" t="s">
        <v>1109</v>
      </c>
      <c r="B7" s="1473"/>
      <c r="C7" s="1473"/>
      <c r="D7" s="1473"/>
      <c r="E7" s="1473"/>
      <c r="F7" s="1473"/>
      <c r="G7" s="1473"/>
      <c r="H7" s="1473"/>
      <c r="I7" s="1473"/>
      <c r="J7" s="1473"/>
      <c r="K7" s="803"/>
      <c r="L7" s="1473" t="s">
        <v>1109</v>
      </c>
      <c r="M7" s="1473"/>
      <c r="N7" s="1473"/>
      <c r="O7" s="1473"/>
      <c r="P7" s="1473"/>
      <c r="Q7" s="1473"/>
      <c r="R7" s="1473"/>
      <c r="S7" s="1473"/>
      <c r="T7" s="1473"/>
      <c r="U7" s="1473"/>
      <c r="V7" s="971"/>
    </row>
    <row r="8" spans="1:22" s="903" customFormat="1" ht="12.75" thickBot="1">
      <c r="A8" s="902"/>
      <c r="B8" s="902"/>
      <c r="C8" s="902"/>
      <c r="D8" s="902"/>
      <c r="E8" s="902"/>
      <c r="F8" s="902"/>
      <c r="G8" s="902"/>
      <c r="H8" s="902"/>
      <c r="J8" s="235" t="s">
        <v>280</v>
      </c>
      <c r="K8" s="904"/>
      <c r="L8" s="902"/>
      <c r="M8" s="902"/>
      <c r="R8" s="902"/>
      <c r="S8" s="902"/>
      <c r="U8" s="235" t="s">
        <v>280</v>
      </c>
      <c r="V8" s="890"/>
    </row>
    <row r="9" spans="1:22" s="906" customFormat="1" ht="36.75" thickBot="1">
      <c r="A9" s="394" t="s">
        <v>431</v>
      </c>
      <c r="B9" s="395" t="s">
        <v>1434</v>
      </c>
      <c r="C9" s="1165" t="s">
        <v>1586</v>
      </c>
      <c r="D9" s="6" t="s">
        <v>1587</v>
      </c>
      <c r="E9" s="6" t="s">
        <v>1658</v>
      </c>
      <c r="F9" s="7" t="s">
        <v>1659</v>
      </c>
      <c r="G9" s="374" t="s">
        <v>460</v>
      </c>
      <c r="H9" s="375" t="s">
        <v>461</v>
      </c>
      <c r="I9" s="375" t="s">
        <v>1435</v>
      </c>
      <c r="J9" s="974" t="s">
        <v>18</v>
      </c>
      <c r="K9" s="905"/>
      <c r="L9" s="394" t="s">
        <v>431</v>
      </c>
      <c r="M9" s="395" t="s">
        <v>1434</v>
      </c>
      <c r="N9" s="1165" t="s">
        <v>1586</v>
      </c>
      <c r="O9" s="6" t="s">
        <v>1587</v>
      </c>
      <c r="P9" s="6" t="s">
        <v>1658</v>
      </c>
      <c r="Q9" s="7" t="s">
        <v>1659</v>
      </c>
      <c r="R9" s="374" t="s">
        <v>460</v>
      </c>
      <c r="S9" s="375" t="s">
        <v>461</v>
      </c>
      <c r="T9" s="375" t="s">
        <v>1435</v>
      </c>
      <c r="U9" s="974" t="s">
        <v>18</v>
      </c>
      <c r="V9" s="891"/>
    </row>
    <row r="10" spans="1:22">
      <c r="A10" s="198" t="s">
        <v>432</v>
      </c>
      <c r="B10" s="199">
        <f t="shared" ref="B10:I10" si="0">+B27-B15-B14-B13-B12</f>
        <v>0</v>
      </c>
      <c r="C10" s="1302">
        <f t="shared" si="0"/>
        <v>2826</v>
      </c>
      <c r="D10" s="201">
        <f t="shared" ref="D10" si="1">+D27-D15-D14-D13-D12</f>
        <v>2826</v>
      </c>
      <c r="E10" s="201"/>
      <c r="F10" s="1306">
        <f t="shared" ref="F10" si="2">+F27-F15-F14-F13-F12</f>
        <v>2826</v>
      </c>
      <c r="G10" s="200">
        <f t="shared" si="0"/>
        <v>0</v>
      </c>
      <c r="H10" s="201">
        <f t="shared" si="0"/>
        <v>0</v>
      </c>
      <c r="I10" s="201">
        <f t="shared" si="0"/>
        <v>0</v>
      </c>
      <c r="J10" s="202">
        <f t="shared" ref="J10" si="3">+J27-J15-J14-J13-J12</f>
        <v>2826</v>
      </c>
      <c r="K10" s="907"/>
      <c r="L10" s="198" t="s">
        <v>432</v>
      </c>
      <c r="M10" s="199">
        <f t="shared" ref="M10:U10" si="4">+M27-M15-M14-M13-M12</f>
        <v>0</v>
      </c>
      <c r="N10" s="1302">
        <f t="shared" si="4"/>
        <v>188134</v>
      </c>
      <c r="O10" s="201">
        <f t="shared" ref="O10" si="5">+O27-O15-O14-O13-O12</f>
        <v>188134</v>
      </c>
      <c r="P10" s="201"/>
      <c r="Q10" s="1306">
        <f t="shared" ref="Q10" si="6">+Q27-Q15-Q14-Q13-Q12</f>
        <v>188134</v>
      </c>
      <c r="R10" s="200">
        <f t="shared" si="4"/>
        <v>0</v>
      </c>
      <c r="S10" s="201">
        <f t="shared" si="4"/>
        <v>0</v>
      </c>
      <c r="T10" s="201">
        <f t="shared" si="4"/>
        <v>0</v>
      </c>
      <c r="U10" s="202">
        <f t="shared" si="4"/>
        <v>188134</v>
      </c>
      <c r="V10" s="192"/>
    </row>
    <row r="11" spans="1:22">
      <c r="A11" s="203" t="s">
        <v>433</v>
      </c>
      <c r="B11" s="204"/>
      <c r="C11" s="1303"/>
      <c r="D11" s="206"/>
      <c r="E11" s="206"/>
      <c r="F11" s="1307">
        <f>+D11+E11</f>
        <v>0</v>
      </c>
      <c r="G11" s="205"/>
      <c r="H11" s="206"/>
      <c r="I11" s="206"/>
      <c r="J11" s="207">
        <f>+B11+F11+G11+H11+I11</f>
        <v>0</v>
      </c>
      <c r="K11" s="907"/>
      <c r="L11" s="203" t="s">
        <v>433</v>
      </c>
      <c r="M11" s="204"/>
      <c r="N11" s="1303"/>
      <c r="O11" s="206"/>
      <c r="P11" s="206"/>
      <c r="Q11" s="1307">
        <f>+O11+P11</f>
        <v>0</v>
      </c>
      <c r="R11" s="205"/>
      <c r="S11" s="206"/>
      <c r="T11" s="206"/>
      <c r="U11" s="207">
        <f>+M11+Q11+R11+S11+T11</f>
        <v>0</v>
      </c>
      <c r="V11" s="892"/>
    </row>
    <row r="12" spans="1:22">
      <c r="A12" s="208" t="s">
        <v>434</v>
      </c>
      <c r="B12" s="209"/>
      <c r="C12" s="1304"/>
      <c r="D12" s="211"/>
      <c r="E12" s="211"/>
      <c r="F12" s="1308">
        <f t="shared" ref="F12:F15" si="7">+D12+E12</f>
        <v>0</v>
      </c>
      <c r="G12" s="210"/>
      <c r="H12" s="211"/>
      <c r="I12" s="211"/>
      <c r="J12" s="212">
        <f>+B12+F12+G12+H12+I12</f>
        <v>0</v>
      </c>
      <c r="K12" s="907"/>
      <c r="L12" s="208" t="s">
        <v>434</v>
      </c>
      <c r="M12" s="209"/>
      <c r="N12" s="1304"/>
      <c r="O12" s="211"/>
      <c r="P12" s="211"/>
      <c r="Q12" s="1308">
        <f t="shared" ref="Q12:Q15" si="8">+O12+P12</f>
        <v>0</v>
      </c>
      <c r="R12" s="210"/>
      <c r="S12" s="211"/>
      <c r="T12" s="211"/>
      <c r="U12" s="212">
        <f>+M12+Q12+R12+S12+T12</f>
        <v>0</v>
      </c>
      <c r="V12" s="192"/>
    </row>
    <row r="13" spans="1:22">
      <c r="A13" s="208" t="s">
        <v>435</v>
      </c>
      <c r="B13" s="209"/>
      <c r="C13" s="1304"/>
      <c r="D13" s="211"/>
      <c r="E13" s="211"/>
      <c r="F13" s="1308">
        <f t="shared" si="7"/>
        <v>0</v>
      </c>
      <c r="G13" s="210"/>
      <c r="H13" s="211"/>
      <c r="I13" s="211"/>
      <c r="J13" s="212">
        <f>+B13+F13+G13+H13+I13</f>
        <v>0</v>
      </c>
      <c r="K13" s="907"/>
      <c r="L13" s="208" t="s">
        <v>435</v>
      </c>
      <c r="M13" s="209"/>
      <c r="N13" s="1304"/>
      <c r="O13" s="211"/>
      <c r="P13" s="211"/>
      <c r="Q13" s="1308">
        <f t="shared" si="8"/>
        <v>0</v>
      </c>
      <c r="R13" s="210"/>
      <c r="S13" s="211"/>
      <c r="T13" s="211"/>
      <c r="U13" s="212">
        <f>+M13+Q13+R13+S13+T13</f>
        <v>0</v>
      </c>
      <c r="V13" s="192"/>
    </row>
    <row r="14" spans="1:22">
      <c r="A14" s="208" t="s">
        <v>436</v>
      </c>
      <c r="B14" s="209"/>
      <c r="C14" s="1304"/>
      <c r="D14" s="211"/>
      <c r="E14" s="211"/>
      <c r="F14" s="1308">
        <f t="shared" si="7"/>
        <v>0</v>
      </c>
      <c r="G14" s="210"/>
      <c r="H14" s="211"/>
      <c r="I14" s="211"/>
      <c r="J14" s="212">
        <f>+B14+F14+G14+H14+I14</f>
        <v>0</v>
      </c>
      <c r="K14" s="907"/>
      <c r="L14" s="208" t="s">
        <v>436</v>
      </c>
      <c r="M14" s="209"/>
      <c r="N14" s="1304"/>
      <c r="O14" s="211"/>
      <c r="P14" s="211"/>
      <c r="Q14" s="1308">
        <f t="shared" si="8"/>
        <v>0</v>
      </c>
      <c r="R14" s="210"/>
      <c r="S14" s="211"/>
      <c r="T14" s="211"/>
      <c r="U14" s="212">
        <f>+M14+Q14+R14+S14+T14</f>
        <v>0</v>
      </c>
      <c r="V14" s="192"/>
    </row>
    <row r="15" spans="1:22" ht="12.75" thickBot="1">
      <c r="A15" s="208" t="s">
        <v>437</v>
      </c>
      <c r="B15" s="209"/>
      <c r="C15" s="1304"/>
      <c r="D15" s="211"/>
      <c r="E15" s="211"/>
      <c r="F15" s="1308">
        <f t="shared" si="7"/>
        <v>0</v>
      </c>
      <c r="G15" s="210"/>
      <c r="H15" s="211"/>
      <c r="I15" s="211"/>
      <c r="J15" s="212">
        <f>+B15+F15+G15+H15+I15</f>
        <v>0</v>
      </c>
      <c r="K15" s="907"/>
      <c r="L15" s="208" t="s">
        <v>437</v>
      </c>
      <c r="M15" s="209"/>
      <c r="N15" s="1304"/>
      <c r="O15" s="211"/>
      <c r="P15" s="211"/>
      <c r="Q15" s="1308">
        <f t="shared" si="8"/>
        <v>0</v>
      </c>
      <c r="R15" s="210"/>
      <c r="S15" s="211"/>
      <c r="T15" s="211"/>
      <c r="U15" s="212">
        <f>+M15+Q15+R15+S15+T15</f>
        <v>0</v>
      </c>
      <c r="V15" s="192"/>
    </row>
    <row r="16" spans="1:22" ht="12.75" thickBot="1">
      <c r="A16" s="191" t="s">
        <v>438</v>
      </c>
      <c r="B16" s="213">
        <f t="shared" ref="B16:J16" si="9">+B10+B12+B13+B14+B15</f>
        <v>0</v>
      </c>
      <c r="C16" s="1305">
        <f t="shared" si="9"/>
        <v>2826</v>
      </c>
      <c r="D16" s="213">
        <f t="shared" ref="D16:E16" si="10">+D10+D12+D13+D14+D15</f>
        <v>2826</v>
      </c>
      <c r="E16" s="213">
        <f t="shared" si="10"/>
        <v>0</v>
      </c>
      <c r="F16" s="1309">
        <f t="shared" si="9"/>
        <v>2826</v>
      </c>
      <c r="G16" s="215">
        <f t="shared" si="9"/>
        <v>0</v>
      </c>
      <c r="H16" s="213">
        <f t="shared" si="9"/>
        <v>0</v>
      </c>
      <c r="I16" s="213">
        <f t="shared" si="9"/>
        <v>0</v>
      </c>
      <c r="J16" s="214">
        <f t="shared" si="9"/>
        <v>2826</v>
      </c>
      <c r="K16" s="907"/>
      <c r="L16" s="191" t="s">
        <v>438</v>
      </c>
      <c r="M16" s="213">
        <f t="shared" ref="M16:U16" si="11">+M10+M12+M13+M14+M15</f>
        <v>0</v>
      </c>
      <c r="N16" s="1305">
        <f t="shared" si="11"/>
        <v>188134</v>
      </c>
      <c r="O16" s="213">
        <f t="shared" ref="O16:P16" si="12">+O10+O12+O13+O14+O15</f>
        <v>188134</v>
      </c>
      <c r="P16" s="213">
        <f t="shared" si="12"/>
        <v>0</v>
      </c>
      <c r="Q16" s="1309">
        <f t="shared" si="11"/>
        <v>188134</v>
      </c>
      <c r="R16" s="215">
        <f t="shared" si="11"/>
        <v>0</v>
      </c>
      <c r="S16" s="213">
        <f t="shared" si="11"/>
        <v>0</v>
      </c>
      <c r="T16" s="213">
        <f t="shared" si="11"/>
        <v>0</v>
      </c>
      <c r="U16" s="214">
        <f t="shared" si="11"/>
        <v>188134</v>
      </c>
      <c r="V16" s="192"/>
    </row>
    <row r="17" spans="1:24" ht="12.75" thickBot="1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907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4" s="906" customFormat="1" ht="36.75" thickBot="1">
      <c r="A18" s="394" t="s">
        <v>439</v>
      </c>
      <c r="B18" s="395" t="s">
        <v>1434</v>
      </c>
      <c r="C18" s="1165" t="s">
        <v>1586</v>
      </c>
      <c r="D18" s="6" t="s">
        <v>1587</v>
      </c>
      <c r="E18" s="6" t="s">
        <v>1658</v>
      </c>
      <c r="F18" s="7" t="s">
        <v>1659</v>
      </c>
      <c r="G18" s="374" t="s">
        <v>460</v>
      </c>
      <c r="H18" s="375" t="s">
        <v>461</v>
      </c>
      <c r="I18" s="375" t="s">
        <v>1435</v>
      </c>
      <c r="J18" s="974" t="s">
        <v>18</v>
      </c>
      <c r="K18" s="909"/>
      <c r="L18" s="394" t="s">
        <v>439</v>
      </c>
      <c r="M18" s="395" t="s">
        <v>1434</v>
      </c>
      <c r="N18" s="1165" t="s">
        <v>1586</v>
      </c>
      <c r="O18" s="6" t="s">
        <v>1587</v>
      </c>
      <c r="P18" s="6" t="s">
        <v>1658</v>
      </c>
      <c r="Q18" s="7" t="s">
        <v>1659</v>
      </c>
      <c r="R18" s="374" t="s">
        <v>460</v>
      </c>
      <c r="S18" s="375" t="s">
        <v>461</v>
      </c>
      <c r="T18" s="375" t="s">
        <v>1435</v>
      </c>
      <c r="U18" s="974" t="s">
        <v>18</v>
      </c>
      <c r="V18" s="891"/>
    </row>
    <row r="19" spans="1:24">
      <c r="A19" s="198" t="s">
        <v>445</v>
      </c>
      <c r="B19" s="199"/>
      <c r="C19" s="1302"/>
      <c r="D19" s="201"/>
      <c r="E19" s="1318"/>
      <c r="F19" s="1306">
        <f t="shared" ref="F19:F26" si="13">+D19+E19</f>
        <v>0</v>
      </c>
      <c r="G19" s="200"/>
      <c r="H19" s="201"/>
      <c r="I19" s="201"/>
      <c r="J19" s="202">
        <f t="shared" ref="J19:J26" si="14">+B19+F19+G19+H19+I19</f>
        <v>0</v>
      </c>
      <c r="K19" s="907"/>
      <c r="L19" s="198" t="s">
        <v>445</v>
      </c>
      <c r="M19" s="199"/>
      <c r="N19" s="1302"/>
      <c r="O19" s="201"/>
      <c r="P19" s="1318"/>
      <c r="Q19" s="1306">
        <f t="shared" ref="Q19:Q26" si="15">+O19+P19</f>
        <v>0</v>
      </c>
      <c r="R19" s="200"/>
      <c r="S19" s="201"/>
      <c r="T19" s="201"/>
      <c r="U19" s="202">
        <f t="shared" ref="U19:U26" si="16">+M19+Q19+R19+S19+T19</f>
        <v>0</v>
      </c>
      <c r="V19" s="192"/>
    </row>
    <row r="20" spans="1:24">
      <c r="A20" s="217" t="s">
        <v>446</v>
      </c>
      <c r="B20" s="209"/>
      <c r="C20" s="1304"/>
      <c r="D20" s="211"/>
      <c r="E20" s="1319"/>
      <c r="F20" s="1308">
        <f t="shared" si="13"/>
        <v>0</v>
      </c>
      <c r="G20" s="210"/>
      <c r="H20" s="211"/>
      <c r="I20" s="211"/>
      <c r="J20" s="212">
        <f t="shared" si="14"/>
        <v>0</v>
      </c>
      <c r="K20" s="907"/>
      <c r="L20" s="217" t="s">
        <v>446</v>
      </c>
      <c r="M20" s="209"/>
      <c r="N20" s="1304"/>
      <c r="O20" s="211"/>
      <c r="P20" s="1319"/>
      <c r="Q20" s="1308">
        <f t="shared" si="15"/>
        <v>0</v>
      </c>
      <c r="R20" s="210"/>
      <c r="S20" s="211"/>
      <c r="T20" s="211"/>
      <c r="U20" s="212">
        <f t="shared" si="16"/>
        <v>0</v>
      </c>
      <c r="V20" s="192"/>
    </row>
    <row r="21" spans="1:24">
      <c r="A21" s="208" t="s">
        <v>447</v>
      </c>
      <c r="B21" s="209"/>
      <c r="C21" s="1304"/>
      <c r="D21" s="211"/>
      <c r="E21" s="1319"/>
      <c r="F21" s="1308">
        <f t="shared" si="13"/>
        <v>0</v>
      </c>
      <c r="G21" s="210"/>
      <c r="H21" s="211"/>
      <c r="I21" s="211"/>
      <c r="J21" s="212">
        <f t="shared" si="14"/>
        <v>0</v>
      </c>
      <c r="K21" s="907"/>
      <c r="L21" s="208" t="s">
        <v>447</v>
      </c>
      <c r="M21" s="209"/>
      <c r="N21" s="1304"/>
      <c r="O21" s="211"/>
      <c r="P21" s="1319"/>
      <c r="Q21" s="1308">
        <f t="shared" si="15"/>
        <v>0</v>
      </c>
      <c r="R21" s="210"/>
      <c r="S21" s="211"/>
      <c r="T21" s="211"/>
      <c r="U21" s="212">
        <f t="shared" si="16"/>
        <v>0</v>
      </c>
      <c r="V21" s="192"/>
    </row>
    <row r="22" spans="1:24">
      <c r="A22" s="208" t="s">
        <v>448</v>
      </c>
      <c r="B22" s="209"/>
      <c r="C22" s="1304"/>
      <c r="D22" s="211"/>
      <c r="E22" s="1319"/>
      <c r="F22" s="1308">
        <f t="shared" si="13"/>
        <v>0</v>
      </c>
      <c r="G22" s="210"/>
      <c r="H22" s="211"/>
      <c r="I22" s="211"/>
      <c r="J22" s="212">
        <f t="shared" si="14"/>
        <v>0</v>
      </c>
      <c r="K22" s="907"/>
      <c r="L22" s="208" t="s">
        <v>448</v>
      </c>
      <c r="M22" s="209"/>
      <c r="N22" s="1304"/>
      <c r="O22" s="211"/>
      <c r="P22" s="1319"/>
      <c r="Q22" s="1308">
        <f t="shared" si="15"/>
        <v>0</v>
      </c>
      <c r="R22" s="210"/>
      <c r="S22" s="211"/>
      <c r="T22" s="211"/>
      <c r="U22" s="212">
        <f t="shared" si="16"/>
        <v>0</v>
      </c>
      <c r="V22" s="192"/>
    </row>
    <row r="23" spans="1:24">
      <c r="A23" s="218" t="s">
        <v>449</v>
      </c>
      <c r="B23" s="219"/>
      <c r="C23" s="1304">
        <v>2826</v>
      </c>
      <c r="D23" s="211">
        <v>2826</v>
      </c>
      <c r="E23" s="1319"/>
      <c r="F23" s="1308">
        <f t="shared" si="13"/>
        <v>2826</v>
      </c>
      <c r="G23" s="210"/>
      <c r="H23" s="211"/>
      <c r="I23" s="211"/>
      <c r="J23" s="212">
        <f t="shared" si="14"/>
        <v>2826</v>
      </c>
      <c r="L23" s="218" t="s">
        <v>449</v>
      </c>
      <c r="M23" s="219"/>
      <c r="N23" s="1304">
        <v>188134</v>
      </c>
      <c r="O23" s="211">
        <v>188134</v>
      </c>
      <c r="P23" s="1319"/>
      <c r="Q23" s="1308">
        <f t="shared" si="15"/>
        <v>188134</v>
      </c>
      <c r="R23" s="210"/>
      <c r="S23" s="211"/>
      <c r="T23" s="211"/>
      <c r="U23" s="212">
        <f t="shared" si="16"/>
        <v>188134</v>
      </c>
      <c r="V23" s="192"/>
      <c r="X23" s="907"/>
    </row>
    <row r="24" spans="1:24">
      <c r="A24" s="218" t="s">
        <v>450</v>
      </c>
      <c r="B24" s="219"/>
      <c r="C24" s="1304"/>
      <c r="D24" s="211"/>
      <c r="E24" s="1319"/>
      <c r="F24" s="1308">
        <f t="shared" si="13"/>
        <v>0</v>
      </c>
      <c r="G24" s="210"/>
      <c r="H24" s="211"/>
      <c r="I24" s="211"/>
      <c r="J24" s="212">
        <f t="shared" si="14"/>
        <v>0</v>
      </c>
      <c r="L24" s="218" t="s">
        <v>450</v>
      </c>
      <c r="M24" s="219"/>
      <c r="N24" s="1304"/>
      <c r="O24" s="211"/>
      <c r="P24" s="1319"/>
      <c r="Q24" s="1308">
        <f t="shared" si="15"/>
        <v>0</v>
      </c>
      <c r="R24" s="210"/>
      <c r="S24" s="211"/>
      <c r="T24" s="211"/>
      <c r="U24" s="212">
        <f t="shared" si="16"/>
        <v>0</v>
      </c>
      <c r="V24" s="192"/>
      <c r="X24" s="907"/>
    </row>
    <row r="25" spans="1:24">
      <c r="A25" s="220" t="s">
        <v>451</v>
      </c>
      <c r="B25" s="221"/>
      <c r="C25" s="1310"/>
      <c r="D25" s="223"/>
      <c r="E25" s="1320"/>
      <c r="F25" s="1311">
        <f t="shared" si="13"/>
        <v>0</v>
      </c>
      <c r="G25" s="222"/>
      <c r="H25" s="223"/>
      <c r="I25" s="223"/>
      <c r="J25" s="212">
        <f t="shared" si="14"/>
        <v>0</v>
      </c>
      <c r="L25" s="220" t="s">
        <v>451</v>
      </c>
      <c r="M25" s="221"/>
      <c r="N25" s="1310"/>
      <c r="O25" s="223"/>
      <c r="P25" s="1320"/>
      <c r="Q25" s="1311">
        <f t="shared" si="15"/>
        <v>0</v>
      </c>
      <c r="R25" s="222"/>
      <c r="S25" s="223"/>
      <c r="T25" s="223"/>
      <c r="U25" s="212">
        <f t="shared" si="16"/>
        <v>0</v>
      </c>
      <c r="V25" s="192"/>
      <c r="X25" s="907"/>
    </row>
    <row r="26" spans="1:24" ht="12.75" thickBot="1">
      <c r="A26" s="220" t="s">
        <v>452</v>
      </c>
      <c r="B26" s="221"/>
      <c r="C26" s="1310"/>
      <c r="D26" s="223"/>
      <c r="E26" s="1320"/>
      <c r="F26" s="1311">
        <f t="shared" si="13"/>
        <v>0</v>
      </c>
      <c r="G26" s="222"/>
      <c r="H26" s="223"/>
      <c r="I26" s="223"/>
      <c r="J26" s="212">
        <f t="shared" si="14"/>
        <v>0</v>
      </c>
      <c r="L26" s="220" t="s">
        <v>452</v>
      </c>
      <c r="M26" s="221"/>
      <c r="N26" s="1310"/>
      <c r="O26" s="223"/>
      <c r="P26" s="1320"/>
      <c r="Q26" s="1311">
        <f t="shared" si="15"/>
        <v>0</v>
      </c>
      <c r="R26" s="222"/>
      <c r="S26" s="223"/>
      <c r="T26" s="223"/>
      <c r="U26" s="212">
        <f t="shared" si="16"/>
        <v>0</v>
      </c>
      <c r="V26" s="192"/>
      <c r="X26" s="907"/>
    </row>
    <row r="27" spans="1:24" ht="12.75" thickBot="1">
      <c r="A27" s="191" t="s">
        <v>453</v>
      </c>
      <c r="B27" s="213">
        <f t="shared" ref="B27:J27" si="17">+B19+B20+B21+B22+B23+B24+B25+B26</f>
        <v>0</v>
      </c>
      <c r="C27" s="1305">
        <f t="shared" si="17"/>
        <v>2826</v>
      </c>
      <c r="D27" s="213">
        <f t="shared" ref="D27:E27" si="18">+D19+D20+D21+D22+D23+D24+D25+D26</f>
        <v>2826</v>
      </c>
      <c r="E27" s="1312">
        <f t="shared" si="18"/>
        <v>0</v>
      </c>
      <c r="F27" s="1309">
        <f t="shared" si="17"/>
        <v>2826</v>
      </c>
      <c r="G27" s="215">
        <f t="shared" si="17"/>
        <v>0</v>
      </c>
      <c r="H27" s="213">
        <f t="shared" si="17"/>
        <v>0</v>
      </c>
      <c r="I27" s="213">
        <f t="shared" si="17"/>
        <v>0</v>
      </c>
      <c r="J27" s="214">
        <f t="shared" si="17"/>
        <v>2826</v>
      </c>
      <c r="L27" s="191" t="s">
        <v>453</v>
      </c>
      <c r="M27" s="213">
        <f t="shared" ref="M27:U27" si="19">+M19+M20+M21+M22+M23+M24+M25+M26</f>
        <v>0</v>
      </c>
      <c r="N27" s="1305">
        <f t="shared" si="19"/>
        <v>188134</v>
      </c>
      <c r="O27" s="213">
        <f t="shared" ref="O27:P27" si="20">+O19+O20+O21+O22+O23+O24+O25+O26</f>
        <v>188134</v>
      </c>
      <c r="P27" s="1312">
        <f t="shared" si="20"/>
        <v>0</v>
      </c>
      <c r="Q27" s="1309">
        <f t="shared" si="19"/>
        <v>188134</v>
      </c>
      <c r="R27" s="215">
        <f t="shared" si="19"/>
        <v>0</v>
      </c>
      <c r="S27" s="213">
        <f t="shared" si="19"/>
        <v>0</v>
      </c>
      <c r="T27" s="213">
        <f t="shared" si="19"/>
        <v>0</v>
      </c>
      <c r="U27" s="214">
        <f t="shared" si="19"/>
        <v>188134</v>
      </c>
      <c r="V27" s="192"/>
      <c r="X27" s="907"/>
    </row>
    <row r="28" spans="1:24">
      <c r="X28" s="910"/>
    </row>
    <row r="29" spans="1:24">
      <c r="X29" s="910"/>
    </row>
    <row r="30" spans="1:24" s="900" customFormat="1" ht="15.75">
      <c r="A30" s="190" t="s">
        <v>441</v>
      </c>
      <c r="B30" s="1478" t="s">
        <v>1108</v>
      </c>
      <c r="C30" s="1478"/>
      <c r="D30" s="1478"/>
      <c r="E30" s="1478"/>
      <c r="F30" s="1478"/>
      <c r="G30" s="1478"/>
      <c r="H30" s="1478"/>
      <c r="I30" s="1478"/>
      <c r="J30" s="1478"/>
      <c r="K30" s="803"/>
      <c r="L30" s="190" t="s">
        <v>442</v>
      </c>
      <c r="M30" s="1476" t="s">
        <v>1354</v>
      </c>
      <c r="N30" s="1476"/>
      <c r="O30" s="1476"/>
      <c r="P30" s="1476"/>
      <c r="Q30" s="1476"/>
      <c r="R30" s="1476"/>
      <c r="S30" s="1476"/>
      <c r="T30" s="1476"/>
      <c r="U30" s="1476"/>
      <c r="V30" s="972"/>
    </row>
    <row r="31" spans="1:24" s="900" customFormat="1" ht="15.75" customHeight="1">
      <c r="A31" s="1474" t="s">
        <v>1107</v>
      </c>
      <c r="B31" s="1474"/>
      <c r="C31" s="1474"/>
      <c r="D31" s="1474"/>
      <c r="E31" s="1474"/>
      <c r="F31" s="1474"/>
      <c r="G31" s="1474"/>
      <c r="H31" s="1474"/>
      <c r="I31" s="1474"/>
      <c r="J31" s="1474"/>
      <c r="K31" s="803"/>
      <c r="L31" s="1474" t="s">
        <v>1355</v>
      </c>
      <c r="M31" s="1474"/>
      <c r="N31" s="1474"/>
      <c r="O31" s="1474"/>
      <c r="P31" s="1474"/>
      <c r="Q31" s="1474"/>
      <c r="R31" s="1474"/>
      <c r="S31" s="1474"/>
      <c r="T31" s="1474"/>
      <c r="U31" s="1474"/>
      <c r="V31" s="966"/>
    </row>
    <row r="32" spans="1:24" s="900" customFormat="1" ht="15.75">
      <c r="A32" s="1473" t="s">
        <v>1109</v>
      </c>
      <c r="B32" s="1473"/>
      <c r="C32" s="1473"/>
      <c r="D32" s="1473"/>
      <c r="E32" s="1473"/>
      <c r="F32" s="1473"/>
      <c r="G32" s="1473"/>
      <c r="H32" s="1473"/>
      <c r="I32" s="1473"/>
      <c r="J32" s="1473"/>
      <c r="K32" s="803"/>
      <c r="L32" s="1473" t="s">
        <v>1109</v>
      </c>
      <c r="M32" s="1473"/>
      <c r="N32" s="1473"/>
      <c r="O32" s="1473"/>
      <c r="P32" s="1473"/>
      <c r="Q32" s="1473"/>
      <c r="R32" s="1473"/>
      <c r="S32" s="1473"/>
      <c r="T32" s="1473"/>
      <c r="U32" s="1473"/>
      <c r="V32" s="971"/>
    </row>
    <row r="33" spans="1:22" s="903" customFormat="1" ht="12.75" thickBot="1">
      <c r="A33" s="902"/>
      <c r="B33" s="902"/>
      <c r="G33" s="902"/>
      <c r="H33" s="902"/>
      <c r="J33" s="235" t="s">
        <v>280</v>
      </c>
      <c r="K33" s="904"/>
      <c r="L33" s="902"/>
      <c r="M33" s="902"/>
      <c r="N33" s="902"/>
      <c r="O33" s="902"/>
      <c r="P33" s="902"/>
      <c r="Q33" s="902"/>
      <c r="R33" s="902"/>
      <c r="S33" s="902"/>
      <c r="U33" s="235" t="s">
        <v>280</v>
      </c>
      <c r="V33" s="890"/>
    </row>
    <row r="34" spans="1:22" s="906" customFormat="1" ht="36.75" thickBot="1">
      <c r="A34" s="394" t="s">
        <v>431</v>
      </c>
      <c r="B34" s="395" t="s">
        <v>1434</v>
      </c>
      <c r="C34" s="1165" t="s">
        <v>1586</v>
      </c>
      <c r="D34" s="6" t="s">
        <v>1587</v>
      </c>
      <c r="E34" s="6" t="s">
        <v>1658</v>
      </c>
      <c r="F34" s="7" t="s">
        <v>1659</v>
      </c>
      <c r="G34" s="374" t="s">
        <v>460</v>
      </c>
      <c r="H34" s="375" t="s">
        <v>461</v>
      </c>
      <c r="I34" s="375" t="s">
        <v>1435</v>
      </c>
      <c r="J34" s="1114" t="s">
        <v>18</v>
      </c>
      <c r="K34" s="905"/>
      <c r="L34" s="394" t="s">
        <v>431</v>
      </c>
      <c r="M34" s="395" t="s">
        <v>1434</v>
      </c>
      <c r="N34" s="1165" t="s">
        <v>1586</v>
      </c>
      <c r="O34" s="6" t="s">
        <v>1587</v>
      </c>
      <c r="P34" s="6" t="s">
        <v>1658</v>
      </c>
      <c r="Q34" s="7" t="s">
        <v>1659</v>
      </c>
      <c r="R34" s="374" t="s">
        <v>460</v>
      </c>
      <c r="S34" s="375" t="s">
        <v>461</v>
      </c>
      <c r="T34" s="375" t="s">
        <v>1435</v>
      </c>
      <c r="U34" s="1114" t="s">
        <v>18</v>
      </c>
      <c r="V34" s="891"/>
    </row>
    <row r="35" spans="1:22">
      <c r="A35" s="198" t="s">
        <v>432</v>
      </c>
      <c r="B35" s="199">
        <f t="shared" ref="B35:J35" si="21">+B52-B40-B39-B38-B37</f>
        <v>0</v>
      </c>
      <c r="C35" s="1302">
        <f t="shared" si="21"/>
        <v>177292</v>
      </c>
      <c r="D35" s="201">
        <f t="shared" ref="D35" si="22">+D52-D40-D39-D38-D37</f>
        <v>177292</v>
      </c>
      <c r="E35" s="201"/>
      <c r="F35" s="1306">
        <f t="shared" ref="F35" si="23">+F52-F40-F39-F38-F37</f>
        <v>177292</v>
      </c>
      <c r="G35" s="200">
        <f t="shared" si="21"/>
        <v>0</v>
      </c>
      <c r="H35" s="201">
        <f t="shared" si="21"/>
        <v>0</v>
      </c>
      <c r="I35" s="201">
        <f t="shared" si="21"/>
        <v>0</v>
      </c>
      <c r="J35" s="202">
        <f t="shared" si="21"/>
        <v>177292</v>
      </c>
      <c r="K35" s="907"/>
      <c r="L35" s="198" t="s">
        <v>432</v>
      </c>
      <c r="M35" s="199">
        <f t="shared" ref="M35:U35" si="24">+M52-M40-M39-M38-M37</f>
        <v>0</v>
      </c>
      <c r="N35" s="1302">
        <f t="shared" si="24"/>
        <v>587082</v>
      </c>
      <c r="O35" s="201">
        <f t="shared" ref="O35" si="25">+O52-O40-O39-O38-O37</f>
        <v>587082</v>
      </c>
      <c r="P35" s="201"/>
      <c r="Q35" s="1306">
        <f t="shared" ref="Q35" si="26">+Q52-Q40-Q39-Q38-Q37</f>
        <v>587082</v>
      </c>
      <c r="R35" s="200">
        <f t="shared" si="24"/>
        <v>0</v>
      </c>
      <c r="S35" s="201">
        <f t="shared" si="24"/>
        <v>0</v>
      </c>
      <c r="T35" s="201">
        <f t="shared" si="24"/>
        <v>0</v>
      </c>
      <c r="U35" s="202">
        <f t="shared" si="24"/>
        <v>587082</v>
      </c>
      <c r="V35" s="192"/>
    </row>
    <row r="36" spans="1:22">
      <c r="A36" s="203" t="s">
        <v>433</v>
      </c>
      <c r="B36" s="204"/>
      <c r="C36" s="1303"/>
      <c r="D36" s="206"/>
      <c r="E36" s="206"/>
      <c r="F36" s="1307">
        <f>+D36+E36</f>
        <v>0</v>
      </c>
      <c r="G36" s="205"/>
      <c r="H36" s="206"/>
      <c r="I36" s="206"/>
      <c r="J36" s="207">
        <f>+B36+F36+G36+H36+I36</f>
        <v>0</v>
      </c>
      <c r="K36" s="907"/>
      <c r="L36" s="203" t="s">
        <v>433</v>
      </c>
      <c r="M36" s="204"/>
      <c r="N36" s="1303"/>
      <c r="O36" s="206"/>
      <c r="P36" s="206"/>
      <c r="Q36" s="1307">
        <f>+O36+P36</f>
        <v>0</v>
      </c>
      <c r="R36" s="205"/>
      <c r="S36" s="206"/>
      <c r="T36" s="206"/>
      <c r="U36" s="207">
        <f>+M36+Q36+R36+S36+T36</f>
        <v>0</v>
      </c>
      <c r="V36" s="892"/>
    </row>
    <row r="37" spans="1:22">
      <c r="A37" s="208" t="s">
        <v>434</v>
      </c>
      <c r="B37" s="209"/>
      <c r="C37" s="1304"/>
      <c r="D37" s="211"/>
      <c r="E37" s="211"/>
      <c r="F37" s="1308">
        <f t="shared" ref="F37:F40" si="27">+D37+E37</f>
        <v>0</v>
      </c>
      <c r="G37" s="210"/>
      <c r="H37" s="211"/>
      <c r="I37" s="211"/>
      <c r="J37" s="212">
        <f>+B37+F37+G37+H37+I37</f>
        <v>0</v>
      </c>
      <c r="K37" s="907"/>
      <c r="L37" s="208" t="s">
        <v>434</v>
      </c>
      <c r="M37" s="209"/>
      <c r="N37" s="1304"/>
      <c r="O37" s="211"/>
      <c r="P37" s="211"/>
      <c r="Q37" s="1308">
        <f t="shared" ref="Q37:Q40" si="28">+O37+P37</f>
        <v>0</v>
      </c>
      <c r="R37" s="210"/>
      <c r="S37" s="211"/>
      <c r="T37" s="211"/>
      <c r="U37" s="212">
        <f>+M37+Q37+R37+S37+T37</f>
        <v>0</v>
      </c>
      <c r="V37" s="192"/>
    </row>
    <row r="38" spans="1:22">
      <c r="A38" s="208" t="s">
        <v>435</v>
      </c>
      <c r="B38" s="209"/>
      <c r="C38" s="1304"/>
      <c r="D38" s="211"/>
      <c r="E38" s="211"/>
      <c r="F38" s="1308">
        <f t="shared" si="27"/>
        <v>0</v>
      </c>
      <c r="G38" s="210"/>
      <c r="H38" s="211"/>
      <c r="I38" s="211"/>
      <c r="J38" s="212">
        <f>+B38+F38+G38+H38+I38</f>
        <v>0</v>
      </c>
      <c r="K38" s="907"/>
      <c r="L38" s="208" t="s">
        <v>435</v>
      </c>
      <c r="M38" s="209"/>
      <c r="N38" s="1304"/>
      <c r="O38" s="211"/>
      <c r="P38" s="211"/>
      <c r="Q38" s="1308">
        <f t="shared" si="28"/>
        <v>0</v>
      </c>
      <c r="R38" s="210"/>
      <c r="S38" s="211"/>
      <c r="T38" s="211"/>
      <c r="U38" s="212">
        <f>+M38+Q38+R38+S38+T38</f>
        <v>0</v>
      </c>
      <c r="V38" s="192"/>
    </row>
    <row r="39" spans="1:22">
      <c r="A39" s="208" t="s">
        <v>436</v>
      </c>
      <c r="B39" s="209"/>
      <c r="C39" s="1304"/>
      <c r="D39" s="211"/>
      <c r="E39" s="211"/>
      <c r="F39" s="1308">
        <f t="shared" si="27"/>
        <v>0</v>
      </c>
      <c r="G39" s="210"/>
      <c r="H39" s="211"/>
      <c r="I39" s="211"/>
      <c r="J39" s="212">
        <f>+B39+F39+G39+H39+I39</f>
        <v>0</v>
      </c>
      <c r="K39" s="907"/>
      <c r="L39" s="208" t="s">
        <v>436</v>
      </c>
      <c r="M39" s="209"/>
      <c r="N39" s="1304"/>
      <c r="O39" s="211"/>
      <c r="P39" s="211"/>
      <c r="Q39" s="1308">
        <f t="shared" si="28"/>
        <v>0</v>
      </c>
      <c r="R39" s="210"/>
      <c r="S39" s="211"/>
      <c r="T39" s="211"/>
      <c r="U39" s="212">
        <f>+M39+Q39+R39+S39+T39</f>
        <v>0</v>
      </c>
      <c r="V39" s="192"/>
    </row>
    <row r="40" spans="1:22" ht="12.75" thickBot="1">
      <c r="A40" s="208" t="s">
        <v>437</v>
      </c>
      <c r="B40" s="209"/>
      <c r="C40" s="1304"/>
      <c r="D40" s="211"/>
      <c r="E40" s="211"/>
      <c r="F40" s="1308">
        <f t="shared" si="27"/>
        <v>0</v>
      </c>
      <c r="G40" s="210"/>
      <c r="H40" s="211"/>
      <c r="I40" s="211"/>
      <c r="J40" s="212">
        <f>+B40+F40+G40+H40+I40</f>
        <v>0</v>
      </c>
      <c r="K40" s="907"/>
      <c r="L40" s="208" t="s">
        <v>437</v>
      </c>
      <c r="M40" s="209"/>
      <c r="N40" s="1304"/>
      <c r="O40" s="211"/>
      <c r="P40" s="211"/>
      <c r="Q40" s="1308">
        <f t="shared" si="28"/>
        <v>0</v>
      </c>
      <c r="R40" s="210"/>
      <c r="S40" s="211"/>
      <c r="T40" s="211"/>
      <c r="U40" s="212">
        <f>+M40+Q40+R40+S40+T40</f>
        <v>0</v>
      </c>
      <c r="V40" s="192"/>
    </row>
    <row r="41" spans="1:22" ht="12.75" thickBot="1">
      <c r="A41" s="191" t="s">
        <v>438</v>
      </c>
      <c r="B41" s="213">
        <f t="shared" ref="B41:J41" si="29">+B35+B37+B38+B39+B40</f>
        <v>0</v>
      </c>
      <c r="C41" s="1305">
        <f t="shared" si="29"/>
        <v>177292</v>
      </c>
      <c r="D41" s="213">
        <f t="shared" ref="D41:E41" si="30">+D35+D37+D38+D39+D40</f>
        <v>177292</v>
      </c>
      <c r="E41" s="213">
        <f t="shared" si="30"/>
        <v>0</v>
      </c>
      <c r="F41" s="1309">
        <f t="shared" si="29"/>
        <v>177292</v>
      </c>
      <c r="G41" s="215">
        <f t="shared" si="29"/>
        <v>0</v>
      </c>
      <c r="H41" s="213">
        <f t="shared" si="29"/>
        <v>0</v>
      </c>
      <c r="I41" s="213">
        <f t="shared" si="29"/>
        <v>0</v>
      </c>
      <c r="J41" s="214">
        <f t="shared" si="29"/>
        <v>177292</v>
      </c>
      <c r="K41" s="907"/>
      <c r="L41" s="191" t="s">
        <v>438</v>
      </c>
      <c r="M41" s="213">
        <f t="shared" ref="M41:U41" si="31">+M35+M37+M38+M39+M40</f>
        <v>0</v>
      </c>
      <c r="N41" s="1305">
        <f t="shared" si="31"/>
        <v>587082</v>
      </c>
      <c r="O41" s="213">
        <f t="shared" ref="O41:P41" si="32">+O35+O37+O38+O39+O40</f>
        <v>587082</v>
      </c>
      <c r="P41" s="213">
        <f t="shared" si="32"/>
        <v>0</v>
      </c>
      <c r="Q41" s="1309">
        <f t="shared" si="31"/>
        <v>587082</v>
      </c>
      <c r="R41" s="215">
        <f t="shared" si="31"/>
        <v>0</v>
      </c>
      <c r="S41" s="213">
        <f t="shared" si="31"/>
        <v>0</v>
      </c>
      <c r="T41" s="213">
        <f t="shared" si="31"/>
        <v>0</v>
      </c>
      <c r="U41" s="214">
        <f t="shared" si="31"/>
        <v>587082</v>
      </c>
      <c r="V41" s="192"/>
    </row>
    <row r="42" spans="1:22" ht="12.75" thickBot="1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907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</row>
    <row r="43" spans="1:22" s="906" customFormat="1" ht="36.75" thickBot="1">
      <c r="A43" s="394" t="s">
        <v>439</v>
      </c>
      <c r="B43" s="395" t="s">
        <v>1434</v>
      </c>
      <c r="C43" s="1165" t="s">
        <v>1586</v>
      </c>
      <c r="D43" s="6" t="s">
        <v>1587</v>
      </c>
      <c r="E43" s="6" t="s">
        <v>1658</v>
      </c>
      <c r="F43" s="7" t="s">
        <v>1659</v>
      </c>
      <c r="G43" s="374" t="s">
        <v>460</v>
      </c>
      <c r="H43" s="375" t="s">
        <v>461</v>
      </c>
      <c r="I43" s="375" t="s">
        <v>1435</v>
      </c>
      <c r="J43" s="1114" t="s">
        <v>18</v>
      </c>
      <c r="K43" s="909"/>
      <c r="L43" s="394" t="s">
        <v>439</v>
      </c>
      <c r="M43" s="395" t="s">
        <v>1434</v>
      </c>
      <c r="N43" s="1165" t="s">
        <v>1586</v>
      </c>
      <c r="O43" s="6" t="s">
        <v>1587</v>
      </c>
      <c r="P43" s="6" t="s">
        <v>1658</v>
      </c>
      <c r="Q43" s="7" t="s">
        <v>1659</v>
      </c>
      <c r="R43" s="374" t="s">
        <v>460</v>
      </c>
      <c r="S43" s="375" t="s">
        <v>461</v>
      </c>
      <c r="T43" s="375" t="s">
        <v>1435</v>
      </c>
      <c r="U43" s="1114" t="s">
        <v>18</v>
      </c>
      <c r="V43" s="891"/>
    </row>
    <row r="44" spans="1:22">
      <c r="A44" s="198" t="s">
        <v>445</v>
      </c>
      <c r="B44" s="199"/>
      <c r="C44" s="1302"/>
      <c r="D44" s="201"/>
      <c r="E44" s="1318"/>
      <c r="F44" s="1306">
        <f t="shared" ref="F44:F51" si="33">+D44+E44</f>
        <v>0</v>
      </c>
      <c r="G44" s="200"/>
      <c r="H44" s="201"/>
      <c r="I44" s="201"/>
      <c r="J44" s="202">
        <f t="shared" ref="J44:J51" si="34">+B44+F44+G44+H44+I44</f>
        <v>0</v>
      </c>
      <c r="K44" s="907"/>
      <c r="L44" s="198" t="s">
        <v>445</v>
      </c>
      <c r="M44" s="199"/>
      <c r="N44" s="1302"/>
      <c r="O44" s="201"/>
      <c r="P44" s="1318"/>
      <c r="Q44" s="1306">
        <f t="shared" ref="Q44:Q51" si="35">+O44+P44</f>
        <v>0</v>
      </c>
      <c r="R44" s="200"/>
      <c r="S44" s="201"/>
      <c r="T44" s="201"/>
      <c r="U44" s="202">
        <f t="shared" ref="U44:U51" si="36">+M44+Q44+R44+S44+T44</f>
        <v>0</v>
      </c>
      <c r="V44" s="192"/>
    </row>
    <row r="45" spans="1:22">
      <c r="A45" s="217" t="s">
        <v>446</v>
      </c>
      <c r="B45" s="209"/>
      <c r="C45" s="1304"/>
      <c r="D45" s="211"/>
      <c r="E45" s="1319"/>
      <c r="F45" s="1308">
        <f t="shared" si="33"/>
        <v>0</v>
      </c>
      <c r="G45" s="210"/>
      <c r="H45" s="211"/>
      <c r="I45" s="211"/>
      <c r="J45" s="212">
        <f t="shared" si="34"/>
        <v>0</v>
      </c>
      <c r="K45" s="907"/>
      <c r="L45" s="217" t="s">
        <v>446</v>
      </c>
      <c r="M45" s="209"/>
      <c r="N45" s="1304"/>
      <c r="O45" s="211"/>
      <c r="P45" s="1319"/>
      <c r="Q45" s="1308">
        <f t="shared" si="35"/>
        <v>0</v>
      </c>
      <c r="R45" s="210"/>
      <c r="S45" s="211"/>
      <c r="T45" s="211"/>
      <c r="U45" s="212">
        <f t="shared" si="36"/>
        <v>0</v>
      </c>
      <c r="V45" s="192"/>
    </row>
    <row r="46" spans="1:22">
      <c r="A46" s="208" t="s">
        <v>447</v>
      </c>
      <c r="B46" s="209"/>
      <c r="C46" s="1304"/>
      <c r="D46" s="211"/>
      <c r="E46" s="1319"/>
      <c r="F46" s="1308">
        <f t="shared" si="33"/>
        <v>0</v>
      </c>
      <c r="G46" s="210"/>
      <c r="H46" s="211"/>
      <c r="I46" s="211"/>
      <c r="J46" s="212">
        <f t="shared" si="34"/>
        <v>0</v>
      </c>
      <c r="K46" s="907"/>
      <c r="L46" s="208" t="s">
        <v>447</v>
      </c>
      <c r="M46" s="209"/>
      <c r="N46" s="1304"/>
      <c r="O46" s="211"/>
      <c r="P46" s="1319"/>
      <c r="Q46" s="1308">
        <f t="shared" si="35"/>
        <v>0</v>
      </c>
      <c r="R46" s="210"/>
      <c r="S46" s="211"/>
      <c r="T46" s="211"/>
      <c r="U46" s="212">
        <f t="shared" si="36"/>
        <v>0</v>
      </c>
      <c r="V46" s="192"/>
    </row>
    <row r="47" spans="1:22">
      <c r="A47" s="208" t="s">
        <v>448</v>
      </c>
      <c r="B47" s="209"/>
      <c r="C47" s="1304"/>
      <c r="D47" s="211"/>
      <c r="E47" s="1319"/>
      <c r="F47" s="1308">
        <f t="shared" si="33"/>
        <v>0</v>
      </c>
      <c r="G47" s="210"/>
      <c r="H47" s="211"/>
      <c r="I47" s="211"/>
      <c r="J47" s="212">
        <f t="shared" si="34"/>
        <v>0</v>
      </c>
      <c r="K47" s="907"/>
      <c r="L47" s="208" t="s">
        <v>448</v>
      </c>
      <c r="M47" s="209"/>
      <c r="N47" s="1304"/>
      <c r="O47" s="211"/>
      <c r="P47" s="1319"/>
      <c r="Q47" s="1308">
        <f t="shared" si="35"/>
        <v>0</v>
      </c>
      <c r="R47" s="210"/>
      <c r="S47" s="211"/>
      <c r="T47" s="211"/>
      <c r="U47" s="212">
        <f t="shared" si="36"/>
        <v>0</v>
      </c>
      <c r="V47" s="192"/>
    </row>
    <row r="48" spans="1:22">
      <c r="A48" s="218" t="s">
        <v>449</v>
      </c>
      <c r="B48" s="219"/>
      <c r="C48" s="1304">
        <v>177292</v>
      </c>
      <c r="D48" s="211">
        <v>177292</v>
      </c>
      <c r="E48" s="1319"/>
      <c r="F48" s="1308">
        <f t="shared" si="33"/>
        <v>177292</v>
      </c>
      <c r="G48" s="210"/>
      <c r="H48" s="211"/>
      <c r="I48" s="211"/>
      <c r="J48" s="212">
        <f t="shared" si="34"/>
        <v>177292</v>
      </c>
      <c r="K48" s="907"/>
      <c r="L48" s="218" t="s">
        <v>449</v>
      </c>
      <c r="M48" s="219"/>
      <c r="N48" s="1304">
        <v>587082</v>
      </c>
      <c r="O48" s="211">
        <v>587082</v>
      </c>
      <c r="P48" s="1319"/>
      <c r="Q48" s="1308">
        <f t="shared" si="35"/>
        <v>587082</v>
      </c>
      <c r="R48" s="210"/>
      <c r="S48" s="211"/>
      <c r="T48" s="211"/>
      <c r="U48" s="212">
        <f t="shared" si="36"/>
        <v>587082</v>
      </c>
      <c r="V48" s="192"/>
    </row>
    <row r="49" spans="1:25">
      <c r="A49" s="218" t="s">
        <v>450</v>
      </c>
      <c r="B49" s="219"/>
      <c r="C49" s="1304"/>
      <c r="D49" s="211"/>
      <c r="E49" s="1319"/>
      <c r="F49" s="1308">
        <f t="shared" si="33"/>
        <v>0</v>
      </c>
      <c r="G49" s="210"/>
      <c r="H49" s="211"/>
      <c r="I49" s="211"/>
      <c r="J49" s="212">
        <f t="shared" si="34"/>
        <v>0</v>
      </c>
      <c r="K49" s="907"/>
      <c r="L49" s="218" t="s">
        <v>450</v>
      </c>
      <c r="M49" s="219"/>
      <c r="N49" s="1304"/>
      <c r="O49" s="211"/>
      <c r="P49" s="1319"/>
      <c r="Q49" s="1308">
        <f t="shared" si="35"/>
        <v>0</v>
      </c>
      <c r="R49" s="210"/>
      <c r="S49" s="211"/>
      <c r="T49" s="211"/>
      <c r="U49" s="212">
        <f t="shared" si="36"/>
        <v>0</v>
      </c>
      <c r="V49" s="192"/>
    </row>
    <row r="50" spans="1:25">
      <c r="A50" s="220" t="s">
        <v>451</v>
      </c>
      <c r="B50" s="221"/>
      <c r="C50" s="1310"/>
      <c r="D50" s="223"/>
      <c r="E50" s="1320"/>
      <c r="F50" s="1311">
        <f t="shared" si="33"/>
        <v>0</v>
      </c>
      <c r="G50" s="222"/>
      <c r="H50" s="223"/>
      <c r="I50" s="223"/>
      <c r="J50" s="212">
        <f t="shared" si="34"/>
        <v>0</v>
      </c>
      <c r="K50" s="907"/>
      <c r="L50" s="220" t="s">
        <v>451</v>
      </c>
      <c r="M50" s="221"/>
      <c r="N50" s="1310"/>
      <c r="O50" s="223"/>
      <c r="P50" s="1320"/>
      <c r="Q50" s="1311">
        <f t="shared" si="35"/>
        <v>0</v>
      </c>
      <c r="R50" s="222"/>
      <c r="S50" s="223"/>
      <c r="T50" s="223"/>
      <c r="U50" s="212">
        <f t="shared" si="36"/>
        <v>0</v>
      </c>
      <c r="V50" s="192"/>
    </row>
    <row r="51" spans="1:25" ht="12.75" thickBot="1">
      <c r="A51" s="220" t="s">
        <v>452</v>
      </c>
      <c r="B51" s="221"/>
      <c r="C51" s="1310"/>
      <c r="D51" s="223"/>
      <c r="E51" s="1320"/>
      <c r="F51" s="1311">
        <f t="shared" si="33"/>
        <v>0</v>
      </c>
      <c r="G51" s="222"/>
      <c r="H51" s="223"/>
      <c r="I51" s="223"/>
      <c r="J51" s="212">
        <f t="shared" si="34"/>
        <v>0</v>
      </c>
      <c r="K51" s="907"/>
      <c r="L51" s="220" t="s">
        <v>452</v>
      </c>
      <c r="M51" s="221"/>
      <c r="N51" s="1310"/>
      <c r="O51" s="223"/>
      <c r="P51" s="1320"/>
      <c r="Q51" s="1311">
        <f t="shared" si="35"/>
        <v>0</v>
      </c>
      <c r="R51" s="222"/>
      <c r="S51" s="223"/>
      <c r="T51" s="223"/>
      <c r="U51" s="212">
        <f t="shared" si="36"/>
        <v>0</v>
      </c>
      <c r="V51" s="192"/>
    </row>
    <row r="52" spans="1:25" ht="12.75" thickBot="1">
      <c r="A52" s="191" t="s">
        <v>453</v>
      </c>
      <c r="B52" s="213">
        <f t="shared" ref="B52:J52" si="37">+B44+B45+B46+B47+B48+B49+B50+B51</f>
        <v>0</v>
      </c>
      <c r="C52" s="1305">
        <f t="shared" si="37"/>
        <v>177292</v>
      </c>
      <c r="D52" s="213">
        <f t="shared" ref="D52:E52" si="38">+D44+D45+D46+D47+D48+D49+D50+D51</f>
        <v>177292</v>
      </c>
      <c r="E52" s="1312">
        <f t="shared" si="38"/>
        <v>0</v>
      </c>
      <c r="F52" s="1309">
        <f t="shared" si="37"/>
        <v>177292</v>
      </c>
      <c r="G52" s="215">
        <f t="shared" si="37"/>
        <v>0</v>
      </c>
      <c r="H52" s="213">
        <f t="shared" si="37"/>
        <v>0</v>
      </c>
      <c r="I52" s="213">
        <f t="shared" si="37"/>
        <v>0</v>
      </c>
      <c r="J52" s="214">
        <f t="shared" si="37"/>
        <v>177292</v>
      </c>
      <c r="L52" s="191" t="s">
        <v>453</v>
      </c>
      <c r="M52" s="213">
        <f t="shared" ref="M52:U52" si="39">+M44+M45+M46+M47+M48+M49+M50+M51</f>
        <v>0</v>
      </c>
      <c r="N52" s="1305">
        <f t="shared" si="39"/>
        <v>587082</v>
      </c>
      <c r="O52" s="213">
        <f t="shared" ref="O52:P52" si="40">+O44+O45+O46+O47+O48+O49+O50+O51</f>
        <v>587082</v>
      </c>
      <c r="P52" s="1312">
        <f t="shared" si="40"/>
        <v>0</v>
      </c>
      <c r="Q52" s="1309">
        <f t="shared" si="39"/>
        <v>587082</v>
      </c>
      <c r="R52" s="215">
        <f t="shared" si="39"/>
        <v>0</v>
      </c>
      <c r="S52" s="213">
        <f t="shared" si="39"/>
        <v>0</v>
      </c>
      <c r="T52" s="213">
        <f t="shared" si="39"/>
        <v>0</v>
      </c>
      <c r="U52" s="214">
        <f t="shared" si="39"/>
        <v>587082</v>
      </c>
      <c r="V52" s="192"/>
      <c r="X52" s="907"/>
    </row>
    <row r="53" spans="1: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907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</row>
    <row r="54" spans="1:25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907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</row>
    <row r="55" spans="1:25" s="900" customFormat="1" ht="15.75">
      <c r="A55" s="190" t="s">
        <v>1183</v>
      </c>
      <c r="B55" s="1476" t="s">
        <v>1185</v>
      </c>
      <c r="C55" s="1476"/>
      <c r="D55" s="1476"/>
      <c r="E55" s="1476"/>
      <c r="F55" s="1476"/>
      <c r="G55" s="1476"/>
      <c r="H55" s="1476"/>
      <c r="I55" s="1476"/>
      <c r="J55" s="1476"/>
      <c r="K55" s="803"/>
      <c r="L55" s="190" t="s">
        <v>1184</v>
      </c>
      <c r="M55" s="1476" t="s">
        <v>1188</v>
      </c>
      <c r="N55" s="1476"/>
      <c r="O55" s="1476"/>
      <c r="P55" s="1476"/>
      <c r="Q55" s="1476"/>
      <c r="R55" s="1476"/>
      <c r="S55" s="1476"/>
      <c r="T55" s="1476"/>
      <c r="U55" s="1476"/>
      <c r="V55" s="972"/>
    </row>
    <row r="56" spans="1:25" s="900" customFormat="1" ht="32.25" customHeight="1">
      <c r="A56" s="1474" t="s">
        <v>1186</v>
      </c>
      <c r="B56" s="1474"/>
      <c r="C56" s="1474"/>
      <c r="D56" s="1474"/>
      <c r="E56" s="1474"/>
      <c r="F56" s="1474"/>
      <c r="G56" s="1474"/>
      <c r="H56" s="1474"/>
      <c r="I56" s="1474"/>
      <c r="J56" s="1474"/>
      <c r="K56" s="803"/>
      <c r="L56" s="1474" t="s">
        <v>1191</v>
      </c>
      <c r="M56" s="1474"/>
      <c r="N56" s="1474"/>
      <c r="O56" s="1474"/>
      <c r="P56" s="1474"/>
      <c r="Q56" s="1474"/>
      <c r="R56" s="1474"/>
      <c r="S56" s="1474"/>
      <c r="T56" s="1474"/>
      <c r="U56" s="1474"/>
      <c r="V56" s="966"/>
    </row>
    <row r="57" spans="1:25" s="900" customFormat="1" ht="15.75">
      <c r="A57" s="1473" t="s">
        <v>1109</v>
      </c>
      <c r="B57" s="1473"/>
      <c r="C57" s="1473"/>
      <c r="D57" s="1473"/>
      <c r="E57" s="1473"/>
      <c r="F57" s="1473"/>
      <c r="G57" s="1473"/>
      <c r="H57" s="1473"/>
      <c r="I57" s="1473"/>
      <c r="J57" s="1473"/>
      <c r="K57" s="803"/>
      <c r="L57" s="1473" t="s">
        <v>1109</v>
      </c>
      <c r="M57" s="1473"/>
      <c r="N57" s="1473"/>
      <c r="O57" s="1473"/>
      <c r="P57" s="1473"/>
      <c r="Q57" s="1473"/>
      <c r="R57" s="1473"/>
      <c r="S57" s="1473"/>
      <c r="T57" s="1473"/>
      <c r="U57" s="1473"/>
      <c r="V57" s="971"/>
    </row>
    <row r="58" spans="1:25" s="903" customFormat="1" ht="12.75" thickBot="1">
      <c r="A58" s="902"/>
      <c r="B58" s="902"/>
      <c r="G58" s="902"/>
      <c r="H58" s="902"/>
      <c r="J58" s="235" t="s">
        <v>280</v>
      </c>
      <c r="K58" s="904"/>
      <c r="L58" s="902"/>
      <c r="M58" s="902"/>
      <c r="N58" s="902"/>
      <c r="O58" s="902"/>
      <c r="P58" s="902"/>
      <c r="Q58" s="902"/>
      <c r="R58" s="902"/>
      <c r="S58" s="902"/>
      <c r="U58" s="235" t="s">
        <v>280</v>
      </c>
      <c r="V58" s="890"/>
    </row>
    <row r="59" spans="1:25" s="906" customFormat="1" ht="36.75" thickBot="1">
      <c r="A59" s="394" t="s">
        <v>431</v>
      </c>
      <c r="B59" s="395" t="s">
        <v>1434</v>
      </c>
      <c r="C59" s="1165" t="s">
        <v>1586</v>
      </c>
      <c r="D59" s="6" t="s">
        <v>1587</v>
      </c>
      <c r="E59" s="6" t="s">
        <v>1658</v>
      </c>
      <c r="F59" s="7" t="s">
        <v>1659</v>
      </c>
      <c r="G59" s="374" t="s">
        <v>460</v>
      </c>
      <c r="H59" s="375" t="s">
        <v>461</v>
      </c>
      <c r="I59" s="375" t="s">
        <v>1435</v>
      </c>
      <c r="J59" s="1114" t="s">
        <v>18</v>
      </c>
      <c r="K59" s="905"/>
      <c r="L59" s="394" t="s">
        <v>431</v>
      </c>
      <c r="M59" s="395" t="s">
        <v>1434</v>
      </c>
      <c r="N59" s="1165" t="s">
        <v>1586</v>
      </c>
      <c r="O59" s="6" t="s">
        <v>1587</v>
      </c>
      <c r="P59" s="6" t="s">
        <v>1658</v>
      </c>
      <c r="Q59" s="7" t="s">
        <v>1659</v>
      </c>
      <c r="R59" s="374" t="s">
        <v>460</v>
      </c>
      <c r="S59" s="375" t="s">
        <v>461</v>
      </c>
      <c r="T59" s="375" t="s">
        <v>1435</v>
      </c>
      <c r="U59" s="1114" t="s">
        <v>18</v>
      </c>
      <c r="V59" s="891"/>
    </row>
    <row r="60" spans="1:25">
      <c r="A60" s="198" t="s">
        <v>432</v>
      </c>
      <c r="B60" s="199">
        <f t="shared" ref="B60:J60" si="41">+B77-B65-B64-B63-B62</f>
        <v>0</v>
      </c>
      <c r="C60" s="1302">
        <f t="shared" si="41"/>
        <v>256470</v>
      </c>
      <c r="D60" s="201">
        <f t="shared" ref="D60" si="42">+D77-D65-D64-D63-D62</f>
        <v>256470</v>
      </c>
      <c r="E60" s="201"/>
      <c r="F60" s="1306">
        <f t="shared" ref="F60" si="43">+F77-F65-F64-F63-F62</f>
        <v>256470</v>
      </c>
      <c r="G60" s="200">
        <f t="shared" si="41"/>
        <v>0</v>
      </c>
      <c r="H60" s="201">
        <f t="shared" si="41"/>
        <v>0</v>
      </c>
      <c r="I60" s="201">
        <f t="shared" si="41"/>
        <v>0</v>
      </c>
      <c r="J60" s="202">
        <f t="shared" si="41"/>
        <v>256470</v>
      </c>
      <c r="K60" s="907"/>
      <c r="L60" s="198" t="s">
        <v>432</v>
      </c>
      <c r="M60" s="199">
        <f t="shared" ref="M60:U60" si="44">+M77-M65-M64-M63-M62</f>
        <v>0</v>
      </c>
      <c r="N60" s="1302">
        <f t="shared" si="44"/>
        <v>0</v>
      </c>
      <c r="O60" s="201">
        <f t="shared" ref="O60" si="45">+O77-O65-O64-O63-O62</f>
        <v>0</v>
      </c>
      <c r="P60" s="201"/>
      <c r="Q60" s="1306">
        <f t="shared" ref="Q60" si="46">+Q77-Q65-Q64-Q63-Q62</f>
        <v>0</v>
      </c>
      <c r="R60" s="200">
        <f t="shared" si="44"/>
        <v>0</v>
      </c>
      <c r="S60" s="201">
        <f t="shared" si="44"/>
        <v>0</v>
      </c>
      <c r="T60" s="201">
        <f t="shared" si="44"/>
        <v>0</v>
      </c>
      <c r="U60" s="202">
        <f t="shared" si="44"/>
        <v>0</v>
      </c>
      <c r="V60" s="192"/>
    </row>
    <row r="61" spans="1:25">
      <c r="A61" s="203" t="s">
        <v>433</v>
      </c>
      <c r="B61" s="204"/>
      <c r="C61" s="1303"/>
      <c r="D61" s="206"/>
      <c r="E61" s="206"/>
      <c r="F61" s="1307">
        <f>+D61+E61</f>
        <v>0</v>
      </c>
      <c r="G61" s="205"/>
      <c r="H61" s="206"/>
      <c r="I61" s="206"/>
      <c r="J61" s="207">
        <f>+B61+F61+G61+H61+I61</f>
        <v>0</v>
      </c>
      <c r="K61" s="907"/>
      <c r="L61" s="203" t="s">
        <v>433</v>
      </c>
      <c r="M61" s="204"/>
      <c r="N61" s="1303"/>
      <c r="O61" s="206"/>
      <c r="P61" s="206"/>
      <c r="Q61" s="1307">
        <f>+O61+P61</f>
        <v>0</v>
      </c>
      <c r="R61" s="205"/>
      <c r="S61" s="206"/>
      <c r="T61" s="206"/>
      <c r="U61" s="207">
        <f>+M61+Q61+R61+S61+T61</f>
        <v>0</v>
      </c>
      <c r="V61" s="892"/>
      <c r="W61" s="118"/>
    </row>
    <row r="62" spans="1:25">
      <c r="A62" s="208" t="s">
        <v>434</v>
      </c>
      <c r="B62" s="209"/>
      <c r="C62" s="1304"/>
      <c r="D62" s="211"/>
      <c r="E62" s="211"/>
      <c r="F62" s="1308">
        <f t="shared" ref="F62:F65" si="47">+D62+E62</f>
        <v>0</v>
      </c>
      <c r="G62" s="210"/>
      <c r="H62" s="211"/>
      <c r="I62" s="211"/>
      <c r="J62" s="212">
        <f>+B62+F62+G62+H62+I62</f>
        <v>0</v>
      </c>
      <c r="K62" s="907"/>
      <c r="L62" s="208" t="s">
        <v>434</v>
      </c>
      <c r="M62" s="209"/>
      <c r="N62" s="1304"/>
      <c r="O62" s="211"/>
      <c r="P62" s="211"/>
      <c r="Q62" s="1308">
        <f t="shared" ref="Q62:Q65" si="48">+O62+P62</f>
        <v>0</v>
      </c>
      <c r="R62" s="210"/>
      <c r="S62" s="211"/>
      <c r="T62" s="211"/>
      <c r="U62" s="212">
        <f>+M62+Q62+R62+S62+T62</f>
        <v>0</v>
      </c>
      <c r="V62" s="192"/>
      <c r="W62" s="118"/>
      <c r="X62" s="118"/>
      <c r="Y62" s="118"/>
    </row>
    <row r="63" spans="1:25">
      <c r="A63" s="208" t="s">
        <v>435</v>
      </c>
      <c r="B63" s="209"/>
      <c r="C63" s="1304"/>
      <c r="D63" s="211"/>
      <c r="E63" s="211"/>
      <c r="F63" s="1308">
        <f t="shared" si="47"/>
        <v>0</v>
      </c>
      <c r="G63" s="210"/>
      <c r="H63" s="211"/>
      <c r="I63" s="211"/>
      <c r="J63" s="212">
        <f>+B63+F63+G63+H63+I63</f>
        <v>0</v>
      </c>
      <c r="K63" s="907"/>
      <c r="L63" s="208" t="s">
        <v>435</v>
      </c>
      <c r="M63" s="209"/>
      <c r="N63" s="1304"/>
      <c r="O63" s="211"/>
      <c r="P63" s="211"/>
      <c r="Q63" s="1308">
        <f t="shared" si="48"/>
        <v>0</v>
      </c>
      <c r="R63" s="210"/>
      <c r="S63" s="211"/>
      <c r="T63" s="211"/>
      <c r="U63" s="212">
        <f>+M63+Q63+R63+S63+T63</f>
        <v>0</v>
      </c>
      <c r="V63" s="192"/>
      <c r="W63" s="118"/>
    </row>
    <row r="64" spans="1:25">
      <c r="A64" s="208" t="s">
        <v>436</v>
      </c>
      <c r="B64" s="209"/>
      <c r="C64" s="1304"/>
      <c r="D64" s="211"/>
      <c r="E64" s="211"/>
      <c r="F64" s="1308">
        <f t="shared" si="47"/>
        <v>0</v>
      </c>
      <c r="G64" s="210"/>
      <c r="H64" s="211"/>
      <c r="I64" s="211"/>
      <c r="J64" s="212">
        <f>+B64+F64+G64+H64+I64</f>
        <v>0</v>
      </c>
      <c r="K64" s="907"/>
      <c r="L64" s="208" t="s">
        <v>436</v>
      </c>
      <c r="M64" s="209"/>
      <c r="N64" s="1304"/>
      <c r="O64" s="211"/>
      <c r="P64" s="211"/>
      <c r="Q64" s="1308">
        <f t="shared" si="48"/>
        <v>0</v>
      </c>
      <c r="R64" s="210"/>
      <c r="S64" s="211"/>
      <c r="T64" s="211"/>
      <c r="U64" s="212">
        <f>+M64+Q64+R64+S64+T64</f>
        <v>0</v>
      </c>
      <c r="V64" s="192"/>
      <c r="W64" s="118"/>
    </row>
    <row r="65" spans="1:25" ht="12.75" thickBot="1">
      <c r="A65" s="208" t="s">
        <v>437</v>
      </c>
      <c r="B65" s="209"/>
      <c r="C65" s="1304"/>
      <c r="D65" s="211"/>
      <c r="E65" s="211"/>
      <c r="F65" s="1308">
        <f t="shared" si="47"/>
        <v>0</v>
      </c>
      <c r="G65" s="210"/>
      <c r="H65" s="211"/>
      <c r="I65" s="211"/>
      <c r="J65" s="212">
        <f>+B65+F65+G65+H65+I65</f>
        <v>0</v>
      </c>
      <c r="K65" s="907"/>
      <c r="L65" s="208" t="s">
        <v>437</v>
      </c>
      <c r="M65" s="209"/>
      <c r="N65" s="1304"/>
      <c r="O65" s="211"/>
      <c r="P65" s="211"/>
      <c r="Q65" s="1308">
        <f t="shared" si="48"/>
        <v>0</v>
      </c>
      <c r="R65" s="210"/>
      <c r="S65" s="211"/>
      <c r="T65" s="211"/>
      <c r="U65" s="212">
        <f>+M65+Q65+R65+S65+T65</f>
        <v>0</v>
      </c>
      <c r="V65" s="192"/>
      <c r="W65" s="118"/>
    </row>
    <row r="66" spans="1:25" ht="12.75" thickBot="1">
      <c r="A66" s="191" t="s">
        <v>438</v>
      </c>
      <c r="B66" s="213">
        <f t="shared" ref="B66:J66" si="49">+B60+B62+B63+B64+B65</f>
        <v>0</v>
      </c>
      <c r="C66" s="1305">
        <f t="shared" si="49"/>
        <v>256470</v>
      </c>
      <c r="D66" s="213">
        <f t="shared" ref="D66:E66" si="50">+D60+D62+D63+D64+D65</f>
        <v>256470</v>
      </c>
      <c r="E66" s="213">
        <f t="shared" si="50"/>
        <v>0</v>
      </c>
      <c r="F66" s="1309">
        <f t="shared" si="49"/>
        <v>256470</v>
      </c>
      <c r="G66" s="215">
        <f t="shared" si="49"/>
        <v>0</v>
      </c>
      <c r="H66" s="213">
        <f t="shared" si="49"/>
        <v>0</v>
      </c>
      <c r="I66" s="213">
        <f t="shared" si="49"/>
        <v>0</v>
      </c>
      <c r="J66" s="214">
        <f t="shared" si="49"/>
        <v>256470</v>
      </c>
      <c r="K66" s="907"/>
      <c r="L66" s="191" t="s">
        <v>438</v>
      </c>
      <c r="M66" s="213">
        <f t="shared" ref="M66:U66" si="51">+M60+M62+M63+M64+M65</f>
        <v>0</v>
      </c>
      <c r="N66" s="1305">
        <f t="shared" si="51"/>
        <v>0</v>
      </c>
      <c r="O66" s="213">
        <f t="shared" ref="O66:P66" si="52">+O60+O62+O63+O64+O65</f>
        <v>0</v>
      </c>
      <c r="P66" s="213">
        <f t="shared" si="52"/>
        <v>0</v>
      </c>
      <c r="Q66" s="1309">
        <f t="shared" si="51"/>
        <v>0</v>
      </c>
      <c r="R66" s="215">
        <f t="shared" si="51"/>
        <v>0</v>
      </c>
      <c r="S66" s="213">
        <f t="shared" si="51"/>
        <v>0</v>
      </c>
      <c r="T66" s="213">
        <f t="shared" si="51"/>
        <v>0</v>
      </c>
      <c r="U66" s="214">
        <f t="shared" si="51"/>
        <v>0</v>
      </c>
      <c r="V66" s="192"/>
    </row>
    <row r="67" spans="1:25" ht="12.75" thickBo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907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</row>
    <row r="68" spans="1:25" s="906" customFormat="1" ht="36.75" thickBot="1">
      <c r="A68" s="394" t="s">
        <v>439</v>
      </c>
      <c r="B68" s="395" t="s">
        <v>1434</v>
      </c>
      <c r="C68" s="1165" t="s">
        <v>1586</v>
      </c>
      <c r="D68" s="6" t="s">
        <v>1587</v>
      </c>
      <c r="E68" s="6" t="s">
        <v>1658</v>
      </c>
      <c r="F68" s="7" t="s">
        <v>1659</v>
      </c>
      <c r="G68" s="374" t="s">
        <v>460</v>
      </c>
      <c r="H68" s="375" t="s">
        <v>461</v>
      </c>
      <c r="I68" s="375" t="s">
        <v>1435</v>
      </c>
      <c r="J68" s="1114" t="s">
        <v>18</v>
      </c>
      <c r="K68" s="909"/>
      <c r="L68" s="394" t="s">
        <v>439</v>
      </c>
      <c r="M68" s="395" t="s">
        <v>1434</v>
      </c>
      <c r="N68" s="1165" t="s">
        <v>1586</v>
      </c>
      <c r="O68" s="6" t="s">
        <v>1587</v>
      </c>
      <c r="P68" s="6" t="s">
        <v>1658</v>
      </c>
      <c r="Q68" s="7" t="s">
        <v>1659</v>
      </c>
      <c r="R68" s="374" t="s">
        <v>460</v>
      </c>
      <c r="S68" s="375" t="s">
        <v>461</v>
      </c>
      <c r="T68" s="375" t="s">
        <v>1435</v>
      </c>
      <c r="U68" s="1114" t="s">
        <v>18</v>
      </c>
      <c r="V68" s="891"/>
    </row>
    <row r="69" spans="1:25">
      <c r="A69" s="198" t="s">
        <v>445</v>
      </c>
      <c r="B69" s="199"/>
      <c r="C69" s="1302"/>
      <c r="D69" s="201"/>
      <c r="E69" s="1318"/>
      <c r="F69" s="1306">
        <f t="shared" ref="F69:F76" si="53">+D69+E69</f>
        <v>0</v>
      </c>
      <c r="G69" s="200"/>
      <c r="H69" s="201"/>
      <c r="I69" s="201"/>
      <c r="J69" s="202">
        <f t="shared" ref="J69:J76" si="54">+B69+F69+G69+H69+I69</f>
        <v>0</v>
      </c>
      <c r="K69" s="907"/>
      <c r="L69" s="198" t="s">
        <v>445</v>
      </c>
      <c r="M69" s="199"/>
      <c r="N69" s="1302"/>
      <c r="O69" s="201"/>
      <c r="P69" s="1318"/>
      <c r="Q69" s="1306">
        <f t="shared" ref="Q69:Q76" si="55">+O69+P69</f>
        <v>0</v>
      </c>
      <c r="R69" s="200"/>
      <c r="S69" s="201"/>
      <c r="T69" s="201"/>
      <c r="U69" s="202">
        <f t="shared" ref="U69:U76" si="56">+M69+Q69+R69+S69+T69</f>
        <v>0</v>
      </c>
      <c r="V69" s="192"/>
      <c r="W69" s="118"/>
      <c r="X69" s="118"/>
      <c r="Y69" s="118"/>
    </row>
    <row r="70" spans="1:25">
      <c r="A70" s="217" t="s">
        <v>446</v>
      </c>
      <c r="B70" s="209"/>
      <c r="C70" s="1304"/>
      <c r="D70" s="211"/>
      <c r="E70" s="1319"/>
      <c r="F70" s="1308">
        <f t="shared" si="53"/>
        <v>0</v>
      </c>
      <c r="G70" s="210"/>
      <c r="H70" s="211"/>
      <c r="I70" s="211"/>
      <c r="J70" s="212">
        <f t="shared" si="54"/>
        <v>0</v>
      </c>
      <c r="K70" s="907"/>
      <c r="L70" s="217" t="s">
        <v>446</v>
      </c>
      <c r="M70" s="209"/>
      <c r="N70" s="1304"/>
      <c r="O70" s="211"/>
      <c r="P70" s="1319"/>
      <c r="Q70" s="1308">
        <f t="shared" si="55"/>
        <v>0</v>
      </c>
      <c r="R70" s="210"/>
      <c r="S70" s="211"/>
      <c r="T70" s="211"/>
      <c r="U70" s="212">
        <f t="shared" si="56"/>
        <v>0</v>
      </c>
      <c r="V70" s="192"/>
      <c r="W70" s="118"/>
      <c r="X70" s="118"/>
      <c r="Y70" s="118"/>
    </row>
    <row r="71" spans="1:25">
      <c r="A71" s="208" t="s">
        <v>447</v>
      </c>
      <c r="B71" s="209"/>
      <c r="C71" s="1304"/>
      <c r="D71" s="211"/>
      <c r="E71" s="1319"/>
      <c r="F71" s="1308">
        <f t="shared" si="53"/>
        <v>0</v>
      </c>
      <c r="G71" s="210"/>
      <c r="H71" s="211"/>
      <c r="I71" s="211"/>
      <c r="J71" s="212">
        <f t="shared" si="54"/>
        <v>0</v>
      </c>
      <c r="K71" s="907"/>
      <c r="L71" s="208" t="s">
        <v>447</v>
      </c>
      <c r="M71" s="209"/>
      <c r="N71" s="1304"/>
      <c r="O71" s="211"/>
      <c r="P71" s="1319"/>
      <c r="Q71" s="1308">
        <f t="shared" si="55"/>
        <v>0</v>
      </c>
      <c r="R71" s="210"/>
      <c r="S71" s="211"/>
      <c r="T71" s="211"/>
      <c r="U71" s="212">
        <f t="shared" si="56"/>
        <v>0</v>
      </c>
      <c r="V71" s="192"/>
      <c r="W71" s="118"/>
      <c r="X71" s="118"/>
      <c r="Y71" s="118"/>
    </row>
    <row r="72" spans="1:25">
      <c r="A72" s="208" t="s">
        <v>448</v>
      </c>
      <c r="B72" s="209"/>
      <c r="C72" s="1304"/>
      <c r="D72" s="211"/>
      <c r="E72" s="1319"/>
      <c r="F72" s="1308">
        <f t="shared" si="53"/>
        <v>0</v>
      </c>
      <c r="G72" s="210"/>
      <c r="H72" s="211"/>
      <c r="I72" s="211"/>
      <c r="J72" s="212">
        <f t="shared" si="54"/>
        <v>0</v>
      </c>
      <c r="K72" s="907"/>
      <c r="L72" s="208" t="s">
        <v>448</v>
      </c>
      <c r="M72" s="209"/>
      <c r="N72" s="1304"/>
      <c r="O72" s="211"/>
      <c r="P72" s="1319"/>
      <c r="Q72" s="1308">
        <f t="shared" si="55"/>
        <v>0</v>
      </c>
      <c r="R72" s="210"/>
      <c r="S72" s="211"/>
      <c r="T72" s="211"/>
      <c r="U72" s="212">
        <f t="shared" si="56"/>
        <v>0</v>
      </c>
      <c r="V72" s="192"/>
      <c r="W72" s="118"/>
      <c r="Y72" s="118"/>
    </row>
    <row r="73" spans="1:25">
      <c r="A73" s="218" t="s">
        <v>449</v>
      </c>
      <c r="B73" s="219"/>
      <c r="C73" s="1304">
        <v>256470</v>
      </c>
      <c r="D73" s="211">
        <v>256470</v>
      </c>
      <c r="E73" s="1319"/>
      <c r="F73" s="1308">
        <f t="shared" si="53"/>
        <v>256470</v>
      </c>
      <c r="G73" s="210"/>
      <c r="H73" s="211"/>
      <c r="I73" s="211"/>
      <c r="J73" s="212">
        <f t="shared" si="54"/>
        <v>256470</v>
      </c>
      <c r="K73" s="907"/>
      <c r="L73" s="218" t="s">
        <v>449</v>
      </c>
      <c r="M73" s="219"/>
      <c r="N73" s="1304"/>
      <c r="O73" s="211"/>
      <c r="P73" s="1319"/>
      <c r="Q73" s="1308">
        <f t="shared" si="55"/>
        <v>0</v>
      </c>
      <c r="R73" s="210"/>
      <c r="S73" s="211"/>
      <c r="T73" s="211"/>
      <c r="U73" s="212">
        <f t="shared" si="56"/>
        <v>0</v>
      </c>
      <c r="V73" s="192"/>
      <c r="W73" s="118"/>
      <c r="X73" s="118"/>
      <c r="Y73" s="118"/>
    </row>
    <row r="74" spans="1:25">
      <c r="A74" s="218" t="s">
        <v>450</v>
      </c>
      <c r="B74" s="219"/>
      <c r="C74" s="1304"/>
      <c r="D74" s="211"/>
      <c r="E74" s="1319"/>
      <c r="F74" s="1308">
        <f t="shared" si="53"/>
        <v>0</v>
      </c>
      <c r="G74" s="210"/>
      <c r="H74" s="211"/>
      <c r="I74" s="211"/>
      <c r="J74" s="212">
        <f t="shared" si="54"/>
        <v>0</v>
      </c>
      <c r="K74" s="907"/>
      <c r="L74" s="218" t="s">
        <v>450</v>
      </c>
      <c r="M74" s="219"/>
      <c r="N74" s="1304"/>
      <c r="O74" s="211"/>
      <c r="P74" s="1319"/>
      <c r="Q74" s="1308">
        <f t="shared" si="55"/>
        <v>0</v>
      </c>
      <c r="R74" s="210"/>
      <c r="S74" s="211"/>
      <c r="T74" s="211"/>
      <c r="U74" s="212">
        <f t="shared" si="56"/>
        <v>0</v>
      </c>
      <c r="V74" s="192"/>
      <c r="W74" s="118"/>
      <c r="X74" s="118"/>
      <c r="Y74" s="118"/>
    </row>
    <row r="75" spans="1:25">
      <c r="A75" s="220" t="s">
        <v>451</v>
      </c>
      <c r="B75" s="221"/>
      <c r="C75" s="1310"/>
      <c r="D75" s="223"/>
      <c r="E75" s="1320"/>
      <c r="F75" s="1311">
        <f t="shared" si="53"/>
        <v>0</v>
      </c>
      <c r="G75" s="222"/>
      <c r="H75" s="223"/>
      <c r="I75" s="223"/>
      <c r="J75" s="212">
        <f t="shared" si="54"/>
        <v>0</v>
      </c>
      <c r="K75" s="907"/>
      <c r="L75" s="220" t="s">
        <v>451</v>
      </c>
      <c r="M75" s="221"/>
      <c r="N75" s="1310"/>
      <c r="O75" s="223"/>
      <c r="P75" s="1320"/>
      <c r="Q75" s="1311">
        <f t="shared" si="55"/>
        <v>0</v>
      </c>
      <c r="R75" s="222"/>
      <c r="S75" s="223"/>
      <c r="T75" s="223"/>
      <c r="U75" s="212">
        <f t="shared" si="56"/>
        <v>0</v>
      </c>
      <c r="V75" s="192"/>
      <c r="W75" s="118"/>
      <c r="X75" s="118"/>
      <c r="Y75" s="118"/>
    </row>
    <row r="76" spans="1:25" ht="12.75" thickBot="1">
      <c r="A76" s="220" t="s">
        <v>452</v>
      </c>
      <c r="B76" s="221"/>
      <c r="C76" s="1310"/>
      <c r="D76" s="223"/>
      <c r="E76" s="1320"/>
      <c r="F76" s="1311">
        <f t="shared" si="53"/>
        <v>0</v>
      </c>
      <c r="G76" s="222"/>
      <c r="H76" s="223"/>
      <c r="I76" s="223"/>
      <c r="J76" s="212">
        <f t="shared" si="54"/>
        <v>0</v>
      </c>
      <c r="K76" s="907"/>
      <c r="L76" s="220" t="s">
        <v>452</v>
      </c>
      <c r="M76" s="221"/>
      <c r="N76" s="1310"/>
      <c r="O76" s="223"/>
      <c r="P76" s="1320"/>
      <c r="Q76" s="1311">
        <f t="shared" si="55"/>
        <v>0</v>
      </c>
      <c r="R76" s="222"/>
      <c r="S76" s="223"/>
      <c r="T76" s="223"/>
      <c r="U76" s="212">
        <f t="shared" si="56"/>
        <v>0</v>
      </c>
      <c r="V76" s="192"/>
      <c r="W76" s="118"/>
      <c r="X76" s="118"/>
      <c r="Y76" s="118"/>
    </row>
    <row r="77" spans="1:25" ht="12.75" thickBot="1">
      <c r="A77" s="191" t="s">
        <v>453</v>
      </c>
      <c r="B77" s="213">
        <f t="shared" ref="B77:J77" si="57">+B69+B70+B71+B72+B73+B74+B75+B76</f>
        <v>0</v>
      </c>
      <c r="C77" s="1305">
        <f t="shared" si="57"/>
        <v>256470</v>
      </c>
      <c r="D77" s="213">
        <f t="shared" ref="D77:E77" si="58">+D69+D70+D71+D72+D73+D74+D75+D76</f>
        <v>256470</v>
      </c>
      <c r="E77" s="1312">
        <f t="shared" si="58"/>
        <v>0</v>
      </c>
      <c r="F77" s="1309">
        <f t="shared" si="57"/>
        <v>256470</v>
      </c>
      <c r="G77" s="215">
        <f t="shared" si="57"/>
        <v>0</v>
      </c>
      <c r="H77" s="213">
        <f t="shared" si="57"/>
        <v>0</v>
      </c>
      <c r="I77" s="213">
        <f t="shared" si="57"/>
        <v>0</v>
      </c>
      <c r="J77" s="214">
        <f t="shared" si="57"/>
        <v>256470</v>
      </c>
      <c r="L77" s="191" t="s">
        <v>453</v>
      </c>
      <c r="M77" s="213">
        <f t="shared" ref="M77:U77" si="59">+M69+M70+M71+M72+M73+M74+M75+M76</f>
        <v>0</v>
      </c>
      <c r="N77" s="1305">
        <f t="shared" si="59"/>
        <v>0</v>
      </c>
      <c r="O77" s="213">
        <f t="shared" ref="O77:P77" si="60">+O69+O70+O71+O72+O73+O74+O75+O76</f>
        <v>0</v>
      </c>
      <c r="P77" s="1312">
        <f t="shared" si="60"/>
        <v>0</v>
      </c>
      <c r="Q77" s="1309">
        <f t="shared" si="59"/>
        <v>0</v>
      </c>
      <c r="R77" s="215">
        <f t="shared" si="59"/>
        <v>0</v>
      </c>
      <c r="S77" s="213">
        <f t="shared" si="59"/>
        <v>0</v>
      </c>
      <c r="T77" s="213">
        <f t="shared" si="59"/>
        <v>0</v>
      </c>
      <c r="U77" s="214">
        <f t="shared" si="59"/>
        <v>0</v>
      </c>
      <c r="V77" s="192"/>
      <c r="X77" s="907"/>
    </row>
    <row r="78" spans="1:25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907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</row>
    <row r="79" spans="1:2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907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</row>
    <row r="80" spans="1:25" s="900" customFormat="1" ht="15.75">
      <c r="A80" s="190" t="s">
        <v>1187</v>
      </c>
      <c r="B80" s="1476" t="s">
        <v>1190</v>
      </c>
      <c r="C80" s="1476"/>
      <c r="D80" s="1476"/>
      <c r="E80" s="1476"/>
      <c r="F80" s="1476"/>
      <c r="G80" s="1476"/>
      <c r="H80" s="1476"/>
      <c r="I80" s="1476"/>
      <c r="J80" s="1476"/>
      <c r="K80" s="803"/>
      <c r="L80" s="190" t="s">
        <v>1189</v>
      </c>
      <c r="M80" s="1476" t="s">
        <v>1194</v>
      </c>
      <c r="N80" s="1476"/>
      <c r="O80" s="1476"/>
      <c r="P80" s="1476"/>
      <c r="Q80" s="1476"/>
      <c r="R80" s="1476"/>
      <c r="S80" s="1476"/>
      <c r="T80" s="1476"/>
      <c r="U80" s="1476"/>
      <c r="V80" s="972"/>
    </row>
    <row r="81" spans="1:25" s="900" customFormat="1" ht="15.75" customHeight="1">
      <c r="A81" s="1474" t="s">
        <v>1192</v>
      </c>
      <c r="B81" s="1474"/>
      <c r="C81" s="1474"/>
      <c r="D81" s="1474"/>
      <c r="E81" s="1474"/>
      <c r="F81" s="1474"/>
      <c r="G81" s="1474"/>
      <c r="H81" s="1474"/>
      <c r="I81" s="1474"/>
      <c r="J81" s="1474"/>
      <c r="K81" s="803"/>
      <c r="L81" s="1474" t="s">
        <v>1197</v>
      </c>
      <c r="M81" s="1474"/>
      <c r="N81" s="1474"/>
      <c r="O81" s="1474"/>
      <c r="P81" s="1474"/>
      <c r="Q81" s="1474"/>
      <c r="R81" s="1474"/>
      <c r="S81" s="1474"/>
      <c r="T81" s="1474"/>
      <c r="U81" s="1474"/>
      <c r="V81" s="966"/>
    </row>
    <row r="82" spans="1:25" s="900" customFormat="1" ht="15.75">
      <c r="A82" s="1473" t="s">
        <v>1109</v>
      </c>
      <c r="B82" s="1473"/>
      <c r="C82" s="1473"/>
      <c r="D82" s="1473"/>
      <c r="E82" s="1473"/>
      <c r="F82" s="1473"/>
      <c r="G82" s="1473"/>
      <c r="H82" s="1473"/>
      <c r="I82" s="1473"/>
      <c r="J82" s="1473"/>
      <c r="K82" s="803"/>
      <c r="L82" s="1473" t="s">
        <v>1109</v>
      </c>
      <c r="M82" s="1473"/>
      <c r="N82" s="1473"/>
      <c r="O82" s="1473"/>
      <c r="P82" s="1473"/>
      <c r="Q82" s="1473"/>
      <c r="R82" s="1473"/>
      <c r="S82" s="1473"/>
      <c r="T82" s="1473"/>
      <c r="U82" s="1473"/>
      <c r="V82" s="971"/>
    </row>
    <row r="83" spans="1:25" s="903" customFormat="1" ht="12.75" thickBot="1">
      <c r="A83" s="902"/>
      <c r="B83" s="902"/>
      <c r="G83" s="902"/>
      <c r="H83" s="902"/>
      <c r="J83" s="235" t="s">
        <v>280</v>
      </c>
      <c r="K83" s="904"/>
      <c r="L83" s="902"/>
      <c r="M83" s="902"/>
      <c r="N83" s="902"/>
      <c r="O83" s="902"/>
      <c r="P83" s="902"/>
      <c r="Q83" s="902"/>
      <c r="R83" s="902"/>
      <c r="S83" s="902"/>
      <c r="U83" s="235" t="s">
        <v>280</v>
      </c>
      <c r="V83" s="890"/>
    </row>
    <row r="84" spans="1:25" s="906" customFormat="1" ht="36.75" thickBot="1">
      <c r="A84" s="394" t="s">
        <v>431</v>
      </c>
      <c r="B84" s="395" t="s">
        <v>1434</v>
      </c>
      <c r="C84" s="1165" t="s">
        <v>1586</v>
      </c>
      <c r="D84" s="6" t="s">
        <v>1587</v>
      </c>
      <c r="E84" s="6" t="s">
        <v>1658</v>
      </c>
      <c r="F84" s="7" t="s">
        <v>1659</v>
      </c>
      <c r="G84" s="374" t="s">
        <v>460</v>
      </c>
      <c r="H84" s="375" t="s">
        <v>461</v>
      </c>
      <c r="I84" s="375" t="s">
        <v>1435</v>
      </c>
      <c r="J84" s="1114" t="s">
        <v>18</v>
      </c>
      <c r="K84" s="905"/>
      <c r="L84" s="394" t="s">
        <v>431</v>
      </c>
      <c r="M84" s="395" t="s">
        <v>1434</v>
      </c>
      <c r="N84" s="1165" t="s">
        <v>1586</v>
      </c>
      <c r="O84" s="6" t="s">
        <v>1587</v>
      </c>
      <c r="P84" s="6" t="s">
        <v>1658</v>
      </c>
      <c r="Q84" s="7" t="s">
        <v>1659</v>
      </c>
      <c r="R84" s="374" t="s">
        <v>460</v>
      </c>
      <c r="S84" s="375" t="s">
        <v>461</v>
      </c>
      <c r="T84" s="375" t="s">
        <v>1435</v>
      </c>
      <c r="U84" s="1114" t="s">
        <v>18</v>
      </c>
      <c r="V84" s="891"/>
    </row>
    <row r="85" spans="1:25">
      <c r="A85" s="198" t="s">
        <v>432</v>
      </c>
      <c r="B85" s="199">
        <f t="shared" ref="B85:J85" si="61">+B102-B90-B89-B88-B87</f>
        <v>0</v>
      </c>
      <c r="C85" s="1302">
        <f t="shared" si="61"/>
        <v>69873</v>
      </c>
      <c r="D85" s="201">
        <f t="shared" ref="D85" si="62">+D102-D90-D89-D88-D87</f>
        <v>69873</v>
      </c>
      <c r="E85" s="201"/>
      <c r="F85" s="1306">
        <f t="shared" ref="F85" si="63">+F102-F90-F89-F88-F87</f>
        <v>69873</v>
      </c>
      <c r="G85" s="200">
        <f t="shared" si="61"/>
        <v>0</v>
      </c>
      <c r="H85" s="201">
        <f t="shared" si="61"/>
        <v>0</v>
      </c>
      <c r="I85" s="201">
        <f t="shared" si="61"/>
        <v>0</v>
      </c>
      <c r="J85" s="202">
        <f t="shared" si="61"/>
        <v>69873</v>
      </c>
      <c r="K85" s="907"/>
      <c r="L85" s="198" t="s">
        <v>432</v>
      </c>
      <c r="M85" s="199">
        <f t="shared" ref="M85:U85" si="64">+M102-M90-M89-M88-M87</f>
        <v>0</v>
      </c>
      <c r="N85" s="1302">
        <f t="shared" si="64"/>
        <v>0</v>
      </c>
      <c r="O85" s="201">
        <f t="shared" ref="O85" si="65">+O102-O90-O89-O88-O87</f>
        <v>0</v>
      </c>
      <c r="P85" s="201"/>
      <c r="Q85" s="1306">
        <f t="shared" ref="Q85" si="66">+Q102-Q90-Q89-Q88-Q87</f>
        <v>0</v>
      </c>
      <c r="R85" s="200">
        <f t="shared" si="64"/>
        <v>0</v>
      </c>
      <c r="S85" s="201">
        <f t="shared" si="64"/>
        <v>0</v>
      </c>
      <c r="T85" s="201">
        <f t="shared" si="64"/>
        <v>0</v>
      </c>
      <c r="U85" s="202">
        <f t="shared" si="64"/>
        <v>0</v>
      </c>
      <c r="V85" s="192"/>
    </row>
    <row r="86" spans="1:25">
      <c r="A86" s="203" t="s">
        <v>433</v>
      </c>
      <c r="B86" s="204"/>
      <c r="C86" s="1303"/>
      <c r="D86" s="206"/>
      <c r="E86" s="206"/>
      <c r="F86" s="1307">
        <f>+D86+E86</f>
        <v>0</v>
      </c>
      <c r="G86" s="205"/>
      <c r="H86" s="206"/>
      <c r="I86" s="206"/>
      <c r="J86" s="207">
        <f>+B86+F86+G86+H86+I86</f>
        <v>0</v>
      </c>
      <c r="K86" s="907"/>
      <c r="L86" s="203" t="s">
        <v>433</v>
      </c>
      <c r="M86" s="204"/>
      <c r="N86" s="1303"/>
      <c r="O86" s="206"/>
      <c r="P86" s="206"/>
      <c r="Q86" s="1307">
        <f>+O86+P86</f>
        <v>0</v>
      </c>
      <c r="R86" s="205"/>
      <c r="S86" s="206"/>
      <c r="T86" s="206"/>
      <c r="U86" s="207">
        <f>+M86+Q86+R86+S86+T86</f>
        <v>0</v>
      </c>
      <c r="V86" s="892"/>
      <c r="W86" s="118"/>
    </row>
    <row r="87" spans="1:25">
      <c r="A87" s="208" t="s">
        <v>434</v>
      </c>
      <c r="B87" s="209"/>
      <c r="C87" s="1304"/>
      <c r="D87" s="211"/>
      <c r="E87" s="211"/>
      <c r="F87" s="1308">
        <f t="shared" ref="F87:F90" si="67">+D87+E87</f>
        <v>0</v>
      </c>
      <c r="G87" s="210"/>
      <c r="H87" s="211"/>
      <c r="I87" s="211"/>
      <c r="J87" s="212">
        <f>+B87+F87+G87+H87+I87</f>
        <v>0</v>
      </c>
      <c r="K87" s="907"/>
      <c r="L87" s="208" t="s">
        <v>434</v>
      </c>
      <c r="M87" s="209"/>
      <c r="N87" s="1304"/>
      <c r="O87" s="211"/>
      <c r="P87" s="211"/>
      <c r="Q87" s="1308">
        <f t="shared" ref="Q87:Q90" si="68">+O87+P87</f>
        <v>0</v>
      </c>
      <c r="R87" s="210"/>
      <c r="S87" s="211"/>
      <c r="T87" s="211"/>
      <c r="U87" s="212">
        <f>+M87+Q87+R87+S87+T87</f>
        <v>0</v>
      </c>
      <c r="V87" s="192"/>
      <c r="W87" s="118"/>
      <c r="X87" s="118"/>
      <c r="Y87" s="118"/>
    </row>
    <row r="88" spans="1:25">
      <c r="A88" s="208" t="s">
        <v>435</v>
      </c>
      <c r="B88" s="209"/>
      <c r="C88" s="1304"/>
      <c r="D88" s="211"/>
      <c r="E88" s="211"/>
      <c r="F88" s="1308">
        <f t="shared" si="67"/>
        <v>0</v>
      </c>
      <c r="G88" s="210"/>
      <c r="H88" s="211"/>
      <c r="I88" s="211"/>
      <c r="J88" s="212">
        <f>+B88+F88+G88+H88+I88</f>
        <v>0</v>
      </c>
      <c r="K88" s="907"/>
      <c r="L88" s="208" t="s">
        <v>435</v>
      </c>
      <c r="M88" s="209"/>
      <c r="N88" s="1304"/>
      <c r="O88" s="211"/>
      <c r="P88" s="211"/>
      <c r="Q88" s="1308">
        <f t="shared" si="68"/>
        <v>0</v>
      </c>
      <c r="R88" s="210"/>
      <c r="S88" s="211"/>
      <c r="T88" s="211"/>
      <c r="U88" s="212">
        <f>+M88+Q88+R88+S88+T88</f>
        <v>0</v>
      </c>
      <c r="V88" s="192"/>
      <c r="W88" s="118"/>
    </row>
    <row r="89" spans="1:25">
      <c r="A89" s="208" t="s">
        <v>436</v>
      </c>
      <c r="B89" s="209"/>
      <c r="C89" s="1304"/>
      <c r="D89" s="211"/>
      <c r="E89" s="211"/>
      <c r="F89" s="1308">
        <f t="shared" si="67"/>
        <v>0</v>
      </c>
      <c r="G89" s="210"/>
      <c r="H89" s="211"/>
      <c r="I89" s="211"/>
      <c r="J89" s="212">
        <f>+B89+F89+G89+H89+I89</f>
        <v>0</v>
      </c>
      <c r="K89" s="907"/>
      <c r="L89" s="208" t="s">
        <v>436</v>
      </c>
      <c r="M89" s="209"/>
      <c r="N89" s="1304"/>
      <c r="O89" s="211"/>
      <c r="P89" s="211"/>
      <c r="Q89" s="1308">
        <f t="shared" si="68"/>
        <v>0</v>
      </c>
      <c r="R89" s="210"/>
      <c r="S89" s="211"/>
      <c r="T89" s="211"/>
      <c r="U89" s="212">
        <f>+M89+Q89+R89+S89+T89</f>
        <v>0</v>
      </c>
      <c r="V89" s="192"/>
      <c r="W89" s="118"/>
    </row>
    <row r="90" spans="1:25" ht="12.75" thickBot="1">
      <c r="A90" s="208" t="s">
        <v>437</v>
      </c>
      <c r="B90" s="209"/>
      <c r="C90" s="1304"/>
      <c r="D90" s="211"/>
      <c r="E90" s="211"/>
      <c r="F90" s="1308">
        <f t="shared" si="67"/>
        <v>0</v>
      </c>
      <c r="G90" s="210"/>
      <c r="H90" s="211"/>
      <c r="I90" s="211"/>
      <c r="J90" s="212">
        <f>+B90+F90+G90+H90+I90</f>
        <v>0</v>
      </c>
      <c r="K90" s="907"/>
      <c r="L90" s="208" t="s">
        <v>437</v>
      </c>
      <c r="M90" s="209"/>
      <c r="N90" s="1304"/>
      <c r="O90" s="211"/>
      <c r="P90" s="211"/>
      <c r="Q90" s="1308">
        <f t="shared" si="68"/>
        <v>0</v>
      </c>
      <c r="R90" s="210"/>
      <c r="S90" s="211"/>
      <c r="T90" s="211"/>
      <c r="U90" s="212">
        <f>+M90+Q90+R90+S90+T90</f>
        <v>0</v>
      </c>
      <c r="V90" s="192"/>
      <c r="W90" s="118"/>
    </row>
    <row r="91" spans="1:25" ht="12.75" thickBot="1">
      <c r="A91" s="191" t="s">
        <v>438</v>
      </c>
      <c r="B91" s="213">
        <f t="shared" ref="B91:J91" si="69">+B85+B87+B88+B89+B90</f>
        <v>0</v>
      </c>
      <c r="C91" s="1305">
        <f t="shared" si="69"/>
        <v>69873</v>
      </c>
      <c r="D91" s="213">
        <f t="shared" ref="D91:E91" si="70">+D85+D87+D88+D89+D90</f>
        <v>69873</v>
      </c>
      <c r="E91" s="213">
        <f t="shared" si="70"/>
        <v>0</v>
      </c>
      <c r="F91" s="1309">
        <f t="shared" si="69"/>
        <v>69873</v>
      </c>
      <c r="G91" s="215">
        <f t="shared" si="69"/>
        <v>0</v>
      </c>
      <c r="H91" s="213">
        <f t="shared" si="69"/>
        <v>0</v>
      </c>
      <c r="I91" s="213">
        <f t="shared" si="69"/>
        <v>0</v>
      </c>
      <c r="J91" s="214">
        <f t="shared" si="69"/>
        <v>69873</v>
      </c>
      <c r="K91" s="907"/>
      <c r="L91" s="191" t="s">
        <v>438</v>
      </c>
      <c r="M91" s="213">
        <f t="shared" ref="M91:U91" si="71">+M85+M87+M88+M89+M90</f>
        <v>0</v>
      </c>
      <c r="N91" s="1305">
        <f t="shared" si="71"/>
        <v>0</v>
      </c>
      <c r="O91" s="213">
        <f t="shared" ref="O91:P91" si="72">+O85+O87+O88+O89+O90</f>
        <v>0</v>
      </c>
      <c r="P91" s="213">
        <f t="shared" si="72"/>
        <v>0</v>
      </c>
      <c r="Q91" s="1309">
        <f t="shared" si="71"/>
        <v>0</v>
      </c>
      <c r="R91" s="215">
        <f t="shared" si="71"/>
        <v>0</v>
      </c>
      <c r="S91" s="213">
        <f t="shared" si="71"/>
        <v>0</v>
      </c>
      <c r="T91" s="213">
        <f t="shared" si="71"/>
        <v>0</v>
      </c>
      <c r="U91" s="214">
        <f t="shared" si="71"/>
        <v>0</v>
      </c>
      <c r="V91" s="192"/>
    </row>
    <row r="92" spans="1:25" ht="12.75" thickBot="1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907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</row>
    <row r="93" spans="1:25" s="906" customFormat="1" ht="36.75" thickBot="1">
      <c r="A93" s="394" t="s">
        <v>439</v>
      </c>
      <c r="B93" s="395" t="s">
        <v>1434</v>
      </c>
      <c r="C93" s="1165" t="s">
        <v>1586</v>
      </c>
      <c r="D93" s="6" t="s">
        <v>1587</v>
      </c>
      <c r="E93" s="6" t="s">
        <v>1658</v>
      </c>
      <c r="F93" s="7" t="s">
        <v>1659</v>
      </c>
      <c r="G93" s="374" t="s">
        <v>460</v>
      </c>
      <c r="H93" s="375" t="s">
        <v>461</v>
      </c>
      <c r="I93" s="375" t="s">
        <v>1435</v>
      </c>
      <c r="J93" s="1114" t="s">
        <v>18</v>
      </c>
      <c r="K93" s="909"/>
      <c r="L93" s="394" t="s">
        <v>439</v>
      </c>
      <c r="M93" s="395" t="s">
        <v>1434</v>
      </c>
      <c r="N93" s="1165" t="s">
        <v>1586</v>
      </c>
      <c r="O93" s="6" t="s">
        <v>1587</v>
      </c>
      <c r="P93" s="6" t="s">
        <v>1658</v>
      </c>
      <c r="Q93" s="7" t="s">
        <v>1659</v>
      </c>
      <c r="R93" s="374" t="s">
        <v>460</v>
      </c>
      <c r="S93" s="375" t="s">
        <v>461</v>
      </c>
      <c r="T93" s="375" t="s">
        <v>1435</v>
      </c>
      <c r="U93" s="1114" t="s">
        <v>18</v>
      </c>
      <c r="V93" s="891"/>
    </row>
    <row r="94" spans="1:25">
      <c r="A94" s="198" t="s">
        <v>445</v>
      </c>
      <c r="B94" s="199"/>
      <c r="C94" s="1302"/>
      <c r="D94" s="201"/>
      <c r="E94" s="1318"/>
      <c r="F94" s="1306">
        <f t="shared" ref="F94:F101" si="73">+D94+E94</f>
        <v>0</v>
      </c>
      <c r="G94" s="200"/>
      <c r="H94" s="201"/>
      <c r="I94" s="201"/>
      <c r="J94" s="202">
        <f t="shared" ref="J94:J101" si="74">+B94+F94+G94+H94+I94</f>
        <v>0</v>
      </c>
      <c r="K94" s="907"/>
      <c r="L94" s="198" t="s">
        <v>445</v>
      </c>
      <c r="M94" s="199"/>
      <c r="N94" s="1302"/>
      <c r="O94" s="201"/>
      <c r="P94" s="1318"/>
      <c r="Q94" s="1306">
        <f t="shared" ref="Q94:Q101" si="75">+O94+P94</f>
        <v>0</v>
      </c>
      <c r="R94" s="200"/>
      <c r="S94" s="201"/>
      <c r="T94" s="201"/>
      <c r="U94" s="202">
        <f t="shared" ref="U94:U101" si="76">+M94+Q94+R94+S94+T94</f>
        <v>0</v>
      </c>
      <c r="V94" s="192"/>
      <c r="W94" s="118"/>
      <c r="X94" s="118"/>
      <c r="Y94" s="118"/>
    </row>
    <row r="95" spans="1:25">
      <c r="A95" s="217" t="s">
        <v>446</v>
      </c>
      <c r="B95" s="209"/>
      <c r="C95" s="1304"/>
      <c r="D95" s="211"/>
      <c r="E95" s="1319"/>
      <c r="F95" s="1308">
        <f t="shared" si="73"/>
        <v>0</v>
      </c>
      <c r="G95" s="210"/>
      <c r="H95" s="211"/>
      <c r="I95" s="211"/>
      <c r="J95" s="212">
        <f t="shared" si="74"/>
        <v>0</v>
      </c>
      <c r="K95" s="907"/>
      <c r="L95" s="217" t="s">
        <v>446</v>
      </c>
      <c r="M95" s="209"/>
      <c r="N95" s="1304"/>
      <c r="O95" s="211"/>
      <c r="P95" s="1319"/>
      <c r="Q95" s="1308">
        <f t="shared" si="75"/>
        <v>0</v>
      </c>
      <c r="R95" s="210"/>
      <c r="S95" s="211"/>
      <c r="T95" s="211"/>
      <c r="U95" s="212">
        <f t="shared" si="76"/>
        <v>0</v>
      </c>
      <c r="V95" s="192"/>
      <c r="W95" s="118"/>
      <c r="X95" s="118"/>
      <c r="Y95" s="118"/>
    </row>
    <row r="96" spans="1:25">
      <c r="A96" s="208" t="s">
        <v>447</v>
      </c>
      <c r="B96" s="209"/>
      <c r="C96" s="1304"/>
      <c r="D96" s="211"/>
      <c r="E96" s="1319"/>
      <c r="F96" s="1308">
        <f t="shared" si="73"/>
        <v>0</v>
      </c>
      <c r="G96" s="210"/>
      <c r="H96" s="211"/>
      <c r="I96" s="211"/>
      <c r="J96" s="212">
        <f t="shared" si="74"/>
        <v>0</v>
      </c>
      <c r="K96" s="907"/>
      <c r="L96" s="208" t="s">
        <v>447</v>
      </c>
      <c r="M96" s="209"/>
      <c r="N96" s="1304"/>
      <c r="O96" s="211"/>
      <c r="P96" s="1319"/>
      <c r="Q96" s="1308">
        <f t="shared" si="75"/>
        <v>0</v>
      </c>
      <c r="R96" s="210"/>
      <c r="S96" s="211"/>
      <c r="T96" s="211"/>
      <c r="U96" s="212">
        <f t="shared" si="76"/>
        <v>0</v>
      </c>
      <c r="V96" s="192"/>
      <c r="W96" s="118"/>
      <c r="X96" s="118"/>
      <c r="Y96" s="118"/>
    </row>
    <row r="97" spans="1:25">
      <c r="A97" s="208" t="s">
        <v>448</v>
      </c>
      <c r="B97" s="209"/>
      <c r="C97" s="1304"/>
      <c r="D97" s="211"/>
      <c r="E97" s="1319"/>
      <c r="F97" s="1308">
        <f t="shared" si="73"/>
        <v>0</v>
      </c>
      <c r="G97" s="210"/>
      <c r="H97" s="211"/>
      <c r="I97" s="211"/>
      <c r="J97" s="212">
        <f t="shared" si="74"/>
        <v>0</v>
      </c>
      <c r="K97" s="907"/>
      <c r="L97" s="208" t="s">
        <v>448</v>
      </c>
      <c r="M97" s="209"/>
      <c r="N97" s="1304"/>
      <c r="O97" s="211"/>
      <c r="P97" s="1319"/>
      <c r="Q97" s="1308">
        <f t="shared" si="75"/>
        <v>0</v>
      </c>
      <c r="R97" s="210"/>
      <c r="S97" s="211"/>
      <c r="T97" s="211"/>
      <c r="U97" s="212">
        <f t="shared" si="76"/>
        <v>0</v>
      </c>
      <c r="V97" s="192"/>
      <c r="W97" s="118"/>
      <c r="Y97" s="118"/>
    </row>
    <row r="98" spans="1:25">
      <c r="A98" s="218" t="s">
        <v>449</v>
      </c>
      <c r="B98" s="219"/>
      <c r="C98" s="1304">
        <v>69873</v>
      </c>
      <c r="D98" s="211">
        <v>69873</v>
      </c>
      <c r="E98" s="1319"/>
      <c r="F98" s="1308">
        <f t="shared" si="73"/>
        <v>69873</v>
      </c>
      <c r="G98" s="210"/>
      <c r="H98" s="211"/>
      <c r="I98" s="211"/>
      <c r="J98" s="212">
        <f t="shared" si="74"/>
        <v>69873</v>
      </c>
      <c r="K98" s="907"/>
      <c r="L98" s="218" t="s">
        <v>449</v>
      </c>
      <c r="M98" s="219"/>
      <c r="N98" s="1304"/>
      <c r="O98" s="211"/>
      <c r="P98" s="1319"/>
      <c r="Q98" s="1308">
        <f t="shared" si="75"/>
        <v>0</v>
      </c>
      <c r="R98" s="210"/>
      <c r="S98" s="211"/>
      <c r="T98" s="211"/>
      <c r="U98" s="212">
        <f t="shared" si="76"/>
        <v>0</v>
      </c>
      <c r="V98" s="192"/>
      <c r="W98" s="118"/>
      <c r="X98" s="118"/>
      <c r="Y98" s="118"/>
    </row>
    <row r="99" spans="1:25">
      <c r="A99" s="218" t="s">
        <v>450</v>
      </c>
      <c r="B99" s="219"/>
      <c r="C99" s="1304"/>
      <c r="D99" s="211"/>
      <c r="E99" s="1319"/>
      <c r="F99" s="1308">
        <f t="shared" si="73"/>
        <v>0</v>
      </c>
      <c r="G99" s="210"/>
      <c r="H99" s="211"/>
      <c r="I99" s="211"/>
      <c r="J99" s="212">
        <f t="shared" si="74"/>
        <v>0</v>
      </c>
      <c r="K99" s="907"/>
      <c r="L99" s="218" t="s">
        <v>450</v>
      </c>
      <c r="M99" s="219"/>
      <c r="N99" s="1304"/>
      <c r="O99" s="211"/>
      <c r="P99" s="1319"/>
      <c r="Q99" s="1308">
        <f t="shared" si="75"/>
        <v>0</v>
      </c>
      <c r="R99" s="210"/>
      <c r="S99" s="211"/>
      <c r="T99" s="211"/>
      <c r="U99" s="212">
        <f t="shared" si="76"/>
        <v>0</v>
      </c>
      <c r="V99" s="192"/>
      <c r="W99" s="118"/>
      <c r="X99" s="118"/>
      <c r="Y99" s="118"/>
    </row>
    <row r="100" spans="1:25">
      <c r="A100" s="220" t="s">
        <v>451</v>
      </c>
      <c r="B100" s="221"/>
      <c r="C100" s="1310"/>
      <c r="D100" s="223"/>
      <c r="E100" s="1320"/>
      <c r="F100" s="1311">
        <f t="shared" si="73"/>
        <v>0</v>
      </c>
      <c r="G100" s="222"/>
      <c r="H100" s="223"/>
      <c r="I100" s="223"/>
      <c r="J100" s="212">
        <f t="shared" si="74"/>
        <v>0</v>
      </c>
      <c r="K100" s="907"/>
      <c r="L100" s="220" t="s">
        <v>451</v>
      </c>
      <c r="M100" s="221"/>
      <c r="N100" s="1310"/>
      <c r="O100" s="223"/>
      <c r="P100" s="1320"/>
      <c r="Q100" s="1311">
        <f t="shared" si="75"/>
        <v>0</v>
      </c>
      <c r="R100" s="210"/>
      <c r="S100" s="223"/>
      <c r="T100" s="223"/>
      <c r="U100" s="212">
        <f t="shared" si="76"/>
        <v>0</v>
      </c>
      <c r="V100" s="192"/>
      <c r="W100" s="118"/>
      <c r="X100" s="118"/>
      <c r="Y100" s="118"/>
    </row>
    <row r="101" spans="1:25" ht="12.75" thickBot="1">
      <c r="A101" s="220" t="s">
        <v>452</v>
      </c>
      <c r="B101" s="221"/>
      <c r="C101" s="1310"/>
      <c r="D101" s="223"/>
      <c r="E101" s="1320"/>
      <c r="F101" s="1311">
        <f t="shared" si="73"/>
        <v>0</v>
      </c>
      <c r="G101" s="222"/>
      <c r="H101" s="223"/>
      <c r="I101" s="223"/>
      <c r="J101" s="212">
        <f t="shared" si="74"/>
        <v>0</v>
      </c>
      <c r="K101" s="907"/>
      <c r="L101" s="220" t="s">
        <v>452</v>
      </c>
      <c r="M101" s="221"/>
      <c r="N101" s="1310"/>
      <c r="O101" s="223"/>
      <c r="P101" s="1320"/>
      <c r="Q101" s="1311">
        <f t="shared" si="75"/>
        <v>0</v>
      </c>
      <c r="R101" s="222"/>
      <c r="S101" s="223"/>
      <c r="T101" s="223"/>
      <c r="U101" s="212">
        <f t="shared" si="76"/>
        <v>0</v>
      </c>
      <c r="V101" s="192"/>
      <c r="W101" s="118"/>
      <c r="X101" s="118"/>
      <c r="Y101" s="118"/>
    </row>
    <row r="102" spans="1:25" ht="12.75" thickBot="1">
      <c r="A102" s="191" t="s">
        <v>453</v>
      </c>
      <c r="B102" s="213">
        <f t="shared" ref="B102:J102" si="77">+B94+B95+B96+B97+B98+B99+B100+B101</f>
        <v>0</v>
      </c>
      <c r="C102" s="1305">
        <f t="shared" si="77"/>
        <v>69873</v>
      </c>
      <c r="D102" s="213">
        <f t="shared" ref="D102:E102" si="78">+D94+D95+D96+D97+D98+D99+D100+D101</f>
        <v>69873</v>
      </c>
      <c r="E102" s="1312">
        <f t="shared" si="78"/>
        <v>0</v>
      </c>
      <c r="F102" s="1309">
        <f t="shared" si="77"/>
        <v>69873</v>
      </c>
      <c r="G102" s="215">
        <f t="shared" si="77"/>
        <v>0</v>
      </c>
      <c r="H102" s="213">
        <f t="shared" si="77"/>
        <v>0</v>
      </c>
      <c r="I102" s="213">
        <f t="shared" si="77"/>
        <v>0</v>
      </c>
      <c r="J102" s="214">
        <f t="shared" si="77"/>
        <v>69873</v>
      </c>
      <c r="L102" s="191" t="s">
        <v>453</v>
      </c>
      <c r="M102" s="213">
        <f t="shared" ref="M102:U102" si="79">+M94+M95+M96+M97+M98+M99+M100+M101</f>
        <v>0</v>
      </c>
      <c r="N102" s="1305">
        <f t="shared" si="79"/>
        <v>0</v>
      </c>
      <c r="O102" s="213">
        <f t="shared" ref="O102:P102" si="80">+O94+O95+O96+O97+O98+O99+O100+O101</f>
        <v>0</v>
      </c>
      <c r="P102" s="1312">
        <f t="shared" si="80"/>
        <v>0</v>
      </c>
      <c r="Q102" s="1309">
        <f t="shared" si="79"/>
        <v>0</v>
      </c>
      <c r="R102" s="215">
        <f t="shared" si="79"/>
        <v>0</v>
      </c>
      <c r="S102" s="213">
        <f t="shared" si="79"/>
        <v>0</v>
      </c>
      <c r="T102" s="213">
        <f t="shared" si="79"/>
        <v>0</v>
      </c>
      <c r="U102" s="214">
        <f t="shared" si="79"/>
        <v>0</v>
      </c>
      <c r="V102" s="192"/>
      <c r="X102" s="907"/>
    </row>
    <row r="103" spans="1:2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907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</row>
    <row r="104" spans="1:25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907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</row>
    <row r="105" spans="1:25" s="900" customFormat="1" ht="15.75">
      <c r="A105" s="190" t="s">
        <v>1193</v>
      </c>
      <c r="B105" s="972" t="s">
        <v>1199</v>
      </c>
      <c r="C105" s="1113"/>
      <c r="D105" s="1113"/>
      <c r="E105" s="1113"/>
      <c r="F105" s="972"/>
      <c r="G105" s="972"/>
      <c r="H105" s="972"/>
      <c r="I105" s="972"/>
      <c r="J105" s="972"/>
      <c r="K105" s="803"/>
      <c r="L105" s="190" t="s">
        <v>1195</v>
      </c>
      <c r="M105" s="972" t="s">
        <v>1201</v>
      </c>
      <c r="N105" s="1113"/>
      <c r="O105" s="1113"/>
      <c r="P105" s="1113"/>
      <c r="Q105" s="972"/>
      <c r="R105" s="972"/>
      <c r="S105" s="972"/>
      <c r="T105" s="972"/>
      <c r="U105" s="972"/>
      <c r="V105" s="972"/>
    </row>
    <row r="106" spans="1:25" s="900" customFormat="1" ht="15.75" customHeight="1">
      <c r="A106" s="1474" t="s">
        <v>1202</v>
      </c>
      <c r="B106" s="1474"/>
      <c r="C106" s="1474"/>
      <c r="D106" s="1474"/>
      <c r="E106" s="1474"/>
      <c r="F106" s="1474"/>
      <c r="G106" s="1474"/>
      <c r="H106" s="1474"/>
      <c r="I106" s="1474"/>
      <c r="J106" s="1474"/>
      <c r="K106" s="803"/>
      <c r="L106" s="1474" t="s">
        <v>1203</v>
      </c>
      <c r="M106" s="1474"/>
      <c r="N106" s="1474"/>
      <c r="O106" s="1474"/>
      <c r="P106" s="1474"/>
      <c r="Q106" s="1474"/>
      <c r="R106" s="1474"/>
      <c r="S106" s="1474"/>
      <c r="T106" s="1474"/>
      <c r="U106" s="1474"/>
      <c r="V106" s="966"/>
    </row>
    <row r="107" spans="1:25" s="900" customFormat="1" ht="15.75">
      <c r="A107" s="1473" t="s">
        <v>1109</v>
      </c>
      <c r="B107" s="1473"/>
      <c r="C107" s="1473"/>
      <c r="D107" s="1473"/>
      <c r="E107" s="1473"/>
      <c r="F107" s="1473"/>
      <c r="G107" s="1473"/>
      <c r="H107" s="1473"/>
      <c r="I107" s="1473"/>
      <c r="J107" s="1473"/>
      <c r="K107" s="803"/>
      <c r="L107" s="1473" t="s">
        <v>1109</v>
      </c>
      <c r="M107" s="1473"/>
      <c r="N107" s="1473"/>
      <c r="O107" s="1473"/>
      <c r="P107" s="1473"/>
      <c r="Q107" s="1473"/>
      <c r="R107" s="1473"/>
      <c r="S107" s="1473"/>
      <c r="T107" s="1473"/>
      <c r="U107" s="1473"/>
      <c r="V107" s="971"/>
    </row>
    <row r="108" spans="1:25" s="903" customFormat="1" ht="12.75" thickBot="1">
      <c r="A108" s="902"/>
      <c r="B108" s="902"/>
      <c r="G108" s="902"/>
      <c r="H108" s="902"/>
      <c r="J108" s="235" t="s">
        <v>280</v>
      </c>
      <c r="K108" s="904"/>
      <c r="L108" s="902"/>
      <c r="M108" s="902"/>
      <c r="N108" s="902"/>
      <c r="O108" s="902"/>
      <c r="P108" s="902"/>
      <c r="Q108" s="902"/>
      <c r="R108" s="902"/>
      <c r="S108" s="902"/>
      <c r="U108" s="235" t="s">
        <v>280</v>
      </c>
      <c r="V108" s="890"/>
    </row>
    <row r="109" spans="1:25" s="906" customFormat="1" ht="36.75" thickBot="1">
      <c r="A109" s="394" t="s">
        <v>431</v>
      </c>
      <c r="B109" s="395" t="s">
        <v>1434</v>
      </c>
      <c r="C109" s="1165" t="s">
        <v>1586</v>
      </c>
      <c r="D109" s="6" t="s">
        <v>1587</v>
      </c>
      <c r="E109" s="6" t="s">
        <v>1658</v>
      </c>
      <c r="F109" s="7" t="s">
        <v>1659</v>
      </c>
      <c r="G109" s="374" t="s">
        <v>460</v>
      </c>
      <c r="H109" s="375" t="s">
        <v>461</v>
      </c>
      <c r="I109" s="375" t="s">
        <v>1435</v>
      </c>
      <c r="J109" s="1114" t="s">
        <v>18</v>
      </c>
      <c r="K109" s="905"/>
      <c r="L109" s="394" t="s">
        <v>431</v>
      </c>
      <c r="M109" s="395" t="s">
        <v>1434</v>
      </c>
      <c r="N109" s="1165" t="s">
        <v>1586</v>
      </c>
      <c r="O109" s="6" t="s">
        <v>1587</v>
      </c>
      <c r="P109" s="6" t="s">
        <v>1658</v>
      </c>
      <c r="Q109" s="7" t="s">
        <v>1659</v>
      </c>
      <c r="R109" s="374" t="s">
        <v>460</v>
      </c>
      <c r="S109" s="375" t="s">
        <v>461</v>
      </c>
      <c r="T109" s="375" t="s">
        <v>1435</v>
      </c>
      <c r="U109" s="1114" t="s">
        <v>18</v>
      </c>
      <c r="V109" s="891"/>
    </row>
    <row r="110" spans="1:25">
      <c r="A110" s="198" t="s">
        <v>432</v>
      </c>
      <c r="B110" s="199">
        <f t="shared" ref="B110:J110" si="81">+B127-B115-B114-B113-B112</f>
        <v>0</v>
      </c>
      <c r="C110" s="1302">
        <f t="shared" si="81"/>
        <v>1211</v>
      </c>
      <c r="D110" s="201">
        <f t="shared" ref="D110" si="82">+D127-D115-D114-D113-D112</f>
        <v>1211</v>
      </c>
      <c r="E110" s="201"/>
      <c r="F110" s="1306">
        <f t="shared" ref="F110" si="83">+F127-F115-F114-F113-F112</f>
        <v>1211</v>
      </c>
      <c r="G110" s="200">
        <f t="shared" si="81"/>
        <v>0</v>
      </c>
      <c r="H110" s="201">
        <f t="shared" si="81"/>
        <v>0</v>
      </c>
      <c r="I110" s="201">
        <f t="shared" si="81"/>
        <v>0</v>
      </c>
      <c r="J110" s="202">
        <f t="shared" si="81"/>
        <v>1211</v>
      </c>
      <c r="K110" s="907"/>
      <c r="L110" s="198" t="s">
        <v>432</v>
      </c>
      <c r="M110" s="199">
        <f t="shared" ref="M110:U110" si="84">+M127-M115-M114-M113-M112</f>
        <v>0</v>
      </c>
      <c r="N110" s="1302">
        <f t="shared" si="84"/>
        <v>35880</v>
      </c>
      <c r="O110" s="201">
        <f t="shared" ref="O110" si="85">+O127-O115-O114-O113-O112</f>
        <v>35880</v>
      </c>
      <c r="P110" s="201"/>
      <c r="Q110" s="1306">
        <f t="shared" ref="Q110" si="86">+Q127-Q115-Q114-Q113-Q112</f>
        <v>35880</v>
      </c>
      <c r="R110" s="200">
        <f t="shared" si="84"/>
        <v>0</v>
      </c>
      <c r="S110" s="201">
        <f t="shared" si="84"/>
        <v>0</v>
      </c>
      <c r="T110" s="201">
        <f t="shared" si="84"/>
        <v>0</v>
      </c>
      <c r="U110" s="202">
        <f t="shared" si="84"/>
        <v>35880</v>
      </c>
      <c r="V110" s="192"/>
    </row>
    <row r="111" spans="1:25">
      <c r="A111" s="203" t="s">
        <v>433</v>
      </c>
      <c r="B111" s="204"/>
      <c r="C111" s="1303"/>
      <c r="D111" s="206"/>
      <c r="E111" s="206"/>
      <c r="F111" s="1307">
        <f>+D111+E111</f>
        <v>0</v>
      </c>
      <c r="G111" s="205"/>
      <c r="H111" s="206"/>
      <c r="I111" s="206"/>
      <c r="J111" s="207">
        <f>+B111+F111+G111+H111+I111</f>
        <v>0</v>
      </c>
      <c r="K111" s="907"/>
      <c r="L111" s="203" t="s">
        <v>433</v>
      </c>
      <c r="M111" s="204"/>
      <c r="N111" s="1303"/>
      <c r="O111" s="206"/>
      <c r="P111" s="206"/>
      <c r="Q111" s="1307">
        <f>+O111+P111</f>
        <v>0</v>
      </c>
      <c r="R111" s="205"/>
      <c r="S111" s="206"/>
      <c r="T111" s="206"/>
      <c r="U111" s="207">
        <f>+M111+Q111+R111+S111+T111</f>
        <v>0</v>
      </c>
      <c r="V111" s="892"/>
      <c r="W111" s="118"/>
    </row>
    <row r="112" spans="1:25">
      <c r="A112" s="208" t="s">
        <v>434</v>
      </c>
      <c r="B112" s="209"/>
      <c r="C112" s="1304"/>
      <c r="D112" s="211"/>
      <c r="E112" s="211"/>
      <c r="F112" s="1308">
        <f t="shared" ref="F112:F115" si="87">+D112+E112</f>
        <v>0</v>
      </c>
      <c r="G112" s="210"/>
      <c r="H112" s="211"/>
      <c r="I112" s="211"/>
      <c r="J112" s="212">
        <f>+B112+F112+G112+H112+I112</f>
        <v>0</v>
      </c>
      <c r="K112" s="907"/>
      <c r="L112" s="208" t="s">
        <v>434</v>
      </c>
      <c r="M112" s="209"/>
      <c r="N112" s="1304"/>
      <c r="O112" s="211"/>
      <c r="P112" s="211"/>
      <c r="Q112" s="1308">
        <f t="shared" ref="Q112:Q115" si="88">+O112+P112</f>
        <v>0</v>
      </c>
      <c r="R112" s="210"/>
      <c r="S112" s="211"/>
      <c r="T112" s="211"/>
      <c r="U112" s="212">
        <f>+M112+Q112+R112+S112+T112</f>
        <v>0</v>
      </c>
      <c r="V112" s="192"/>
      <c r="W112" s="118"/>
      <c r="X112" s="118"/>
      <c r="Y112" s="118"/>
    </row>
    <row r="113" spans="1:25">
      <c r="A113" s="208" t="s">
        <v>435</v>
      </c>
      <c r="B113" s="209"/>
      <c r="C113" s="1304"/>
      <c r="D113" s="211"/>
      <c r="E113" s="211"/>
      <c r="F113" s="1308">
        <f t="shared" si="87"/>
        <v>0</v>
      </c>
      <c r="G113" s="210"/>
      <c r="H113" s="211"/>
      <c r="I113" s="211"/>
      <c r="J113" s="212">
        <f>+B113+F113+G113+H113+I113</f>
        <v>0</v>
      </c>
      <c r="K113" s="907"/>
      <c r="L113" s="208" t="s">
        <v>435</v>
      </c>
      <c r="M113" s="209"/>
      <c r="N113" s="1304"/>
      <c r="O113" s="211"/>
      <c r="P113" s="211"/>
      <c r="Q113" s="1308">
        <f t="shared" si="88"/>
        <v>0</v>
      </c>
      <c r="R113" s="210"/>
      <c r="S113" s="211"/>
      <c r="T113" s="211"/>
      <c r="U113" s="212">
        <f>+M113+Q113+R113+S113+T113</f>
        <v>0</v>
      </c>
      <c r="V113" s="192"/>
      <c r="W113" s="118"/>
    </row>
    <row r="114" spans="1:25">
      <c r="A114" s="208" t="s">
        <v>436</v>
      </c>
      <c r="B114" s="209"/>
      <c r="C114" s="1304"/>
      <c r="D114" s="211"/>
      <c r="E114" s="211"/>
      <c r="F114" s="1308">
        <f t="shared" si="87"/>
        <v>0</v>
      </c>
      <c r="G114" s="210"/>
      <c r="H114" s="211"/>
      <c r="I114" s="211"/>
      <c r="J114" s="212">
        <f>+B114+F114+G114+H114+I114</f>
        <v>0</v>
      </c>
      <c r="K114" s="907"/>
      <c r="L114" s="208" t="s">
        <v>436</v>
      </c>
      <c r="M114" s="209"/>
      <c r="N114" s="1304"/>
      <c r="O114" s="211"/>
      <c r="P114" s="211"/>
      <c r="Q114" s="1308">
        <f t="shared" si="88"/>
        <v>0</v>
      </c>
      <c r="R114" s="210"/>
      <c r="S114" s="211"/>
      <c r="T114" s="211"/>
      <c r="U114" s="212">
        <f>+M114+Q114+R114+S114+T114</f>
        <v>0</v>
      </c>
      <c r="V114" s="192"/>
      <c r="W114" s="118"/>
    </row>
    <row r="115" spans="1:25" ht="12.75" thickBot="1">
      <c r="A115" s="208" t="s">
        <v>437</v>
      </c>
      <c r="B115" s="209"/>
      <c r="C115" s="1304"/>
      <c r="D115" s="211"/>
      <c r="E115" s="211"/>
      <c r="F115" s="1308">
        <f t="shared" si="87"/>
        <v>0</v>
      </c>
      <c r="G115" s="210"/>
      <c r="H115" s="211"/>
      <c r="I115" s="211"/>
      <c r="J115" s="212">
        <f>+B115+F115+G115+H115+I115</f>
        <v>0</v>
      </c>
      <c r="K115" s="907"/>
      <c r="L115" s="208" t="s">
        <v>437</v>
      </c>
      <c r="M115" s="209"/>
      <c r="N115" s="1304"/>
      <c r="O115" s="211"/>
      <c r="P115" s="211"/>
      <c r="Q115" s="1308">
        <f t="shared" si="88"/>
        <v>0</v>
      </c>
      <c r="R115" s="210"/>
      <c r="S115" s="211"/>
      <c r="T115" s="211"/>
      <c r="U115" s="212">
        <f>+M115+Q115+R115+S115+T115</f>
        <v>0</v>
      </c>
      <c r="V115" s="192"/>
      <c r="W115" s="118"/>
    </row>
    <row r="116" spans="1:25" ht="12.75" thickBot="1">
      <c r="A116" s="191" t="s">
        <v>438</v>
      </c>
      <c r="B116" s="213">
        <f t="shared" ref="B116:J116" si="89">+B110+B112+B113+B114+B115</f>
        <v>0</v>
      </c>
      <c r="C116" s="1305">
        <f t="shared" si="89"/>
        <v>1211</v>
      </c>
      <c r="D116" s="213">
        <f t="shared" ref="D116:E116" si="90">+D110+D112+D113+D114+D115</f>
        <v>1211</v>
      </c>
      <c r="E116" s="213">
        <f t="shared" si="90"/>
        <v>0</v>
      </c>
      <c r="F116" s="1309">
        <f t="shared" si="89"/>
        <v>1211</v>
      </c>
      <c r="G116" s="215">
        <f t="shared" si="89"/>
        <v>0</v>
      </c>
      <c r="H116" s="213">
        <f t="shared" si="89"/>
        <v>0</v>
      </c>
      <c r="I116" s="213">
        <f t="shared" si="89"/>
        <v>0</v>
      </c>
      <c r="J116" s="214">
        <f t="shared" si="89"/>
        <v>1211</v>
      </c>
      <c r="K116" s="907"/>
      <c r="L116" s="191" t="s">
        <v>438</v>
      </c>
      <c r="M116" s="213">
        <f t="shared" ref="M116:U116" si="91">+M110+M112+M113+M114+M115</f>
        <v>0</v>
      </c>
      <c r="N116" s="1305">
        <f t="shared" si="91"/>
        <v>35880</v>
      </c>
      <c r="O116" s="213">
        <f t="shared" ref="O116:P116" si="92">+O110+O112+O113+O114+O115</f>
        <v>35880</v>
      </c>
      <c r="P116" s="213">
        <f t="shared" si="92"/>
        <v>0</v>
      </c>
      <c r="Q116" s="1309">
        <f t="shared" si="91"/>
        <v>35880</v>
      </c>
      <c r="R116" s="215">
        <f t="shared" si="91"/>
        <v>0</v>
      </c>
      <c r="S116" s="213">
        <f t="shared" si="91"/>
        <v>0</v>
      </c>
      <c r="T116" s="213">
        <f t="shared" si="91"/>
        <v>0</v>
      </c>
      <c r="U116" s="214">
        <f t="shared" si="91"/>
        <v>35880</v>
      </c>
      <c r="V116" s="192"/>
    </row>
    <row r="117" spans="1:25" ht="12.75" thickBot="1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907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</row>
    <row r="118" spans="1:25" s="906" customFormat="1" ht="36.75" thickBot="1">
      <c r="A118" s="394" t="s">
        <v>439</v>
      </c>
      <c r="B118" s="395" t="s">
        <v>1434</v>
      </c>
      <c r="C118" s="1165" t="s">
        <v>1586</v>
      </c>
      <c r="D118" s="6" t="s">
        <v>1587</v>
      </c>
      <c r="E118" s="6" t="s">
        <v>1658</v>
      </c>
      <c r="F118" s="7" t="s">
        <v>1659</v>
      </c>
      <c r="G118" s="374" t="s">
        <v>460</v>
      </c>
      <c r="H118" s="375" t="s">
        <v>461</v>
      </c>
      <c r="I118" s="375" t="s">
        <v>1435</v>
      </c>
      <c r="J118" s="1114" t="s">
        <v>18</v>
      </c>
      <c r="K118" s="909"/>
      <c r="L118" s="394" t="s">
        <v>439</v>
      </c>
      <c r="M118" s="395" t="s">
        <v>1434</v>
      </c>
      <c r="N118" s="1165" t="s">
        <v>1586</v>
      </c>
      <c r="O118" s="6" t="s">
        <v>1587</v>
      </c>
      <c r="P118" s="6" t="s">
        <v>1658</v>
      </c>
      <c r="Q118" s="7" t="s">
        <v>1659</v>
      </c>
      <c r="R118" s="374" t="s">
        <v>460</v>
      </c>
      <c r="S118" s="375" t="s">
        <v>461</v>
      </c>
      <c r="T118" s="375" t="s">
        <v>1435</v>
      </c>
      <c r="U118" s="1114" t="s">
        <v>18</v>
      </c>
      <c r="V118" s="891"/>
    </row>
    <row r="119" spans="1:25">
      <c r="A119" s="198" t="s">
        <v>445</v>
      </c>
      <c r="B119" s="199"/>
      <c r="C119" s="1302"/>
      <c r="D119" s="201"/>
      <c r="E119" s="1318"/>
      <c r="F119" s="1306">
        <f t="shared" ref="F119:F126" si="93">+D119+E119</f>
        <v>0</v>
      </c>
      <c r="G119" s="200"/>
      <c r="H119" s="201"/>
      <c r="I119" s="201"/>
      <c r="J119" s="202">
        <f t="shared" ref="J119:J126" si="94">+B119+F119+G119+H119+I119</f>
        <v>0</v>
      </c>
      <c r="K119" s="907"/>
      <c r="L119" s="198" t="s">
        <v>445</v>
      </c>
      <c r="M119" s="199"/>
      <c r="N119" s="1302"/>
      <c r="O119" s="201"/>
      <c r="P119" s="1318"/>
      <c r="Q119" s="1306">
        <f t="shared" ref="Q119:Q126" si="95">+O119+P119</f>
        <v>0</v>
      </c>
      <c r="R119" s="200"/>
      <c r="S119" s="201"/>
      <c r="T119" s="201"/>
      <c r="U119" s="202">
        <f t="shared" ref="U119:U126" si="96">+M119+Q119+R119+S119+T119</f>
        <v>0</v>
      </c>
      <c r="V119" s="192"/>
      <c r="W119" s="118"/>
      <c r="X119" s="118"/>
      <c r="Y119" s="118"/>
    </row>
    <row r="120" spans="1:25">
      <c r="A120" s="217" t="s">
        <v>446</v>
      </c>
      <c r="B120" s="209"/>
      <c r="C120" s="1304"/>
      <c r="D120" s="211"/>
      <c r="E120" s="1319"/>
      <c r="F120" s="1308">
        <f t="shared" si="93"/>
        <v>0</v>
      </c>
      <c r="G120" s="210"/>
      <c r="H120" s="211"/>
      <c r="I120" s="211"/>
      <c r="J120" s="212">
        <f t="shared" si="94"/>
        <v>0</v>
      </c>
      <c r="K120" s="907"/>
      <c r="L120" s="217" t="s">
        <v>446</v>
      </c>
      <c r="M120" s="209"/>
      <c r="N120" s="1304"/>
      <c r="O120" s="211"/>
      <c r="P120" s="1319"/>
      <c r="Q120" s="1308">
        <f t="shared" si="95"/>
        <v>0</v>
      </c>
      <c r="R120" s="210"/>
      <c r="S120" s="211"/>
      <c r="T120" s="211"/>
      <c r="U120" s="212">
        <f t="shared" si="96"/>
        <v>0</v>
      </c>
      <c r="V120" s="192"/>
      <c r="W120" s="118"/>
      <c r="X120" s="118"/>
      <c r="Y120" s="118"/>
    </row>
    <row r="121" spans="1:25">
      <c r="A121" s="208" t="s">
        <v>447</v>
      </c>
      <c r="B121" s="209"/>
      <c r="C121" s="1304"/>
      <c r="D121" s="211"/>
      <c r="E121" s="1319"/>
      <c r="F121" s="1308">
        <f t="shared" si="93"/>
        <v>0</v>
      </c>
      <c r="G121" s="210"/>
      <c r="H121" s="211"/>
      <c r="I121" s="211"/>
      <c r="J121" s="212">
        <f t="shared" si="94"/>
        <v>0</v>
      </c>
      <c r="K121" s="907"/>
      <c r="L121" s="208" t="s">
        <v>447</v>
      </c>
      <c r="M121" s="209"/>
      <c r="N121" s="1304"/>
      <c r="O121" s="211"/>
      <c r="P121" s="1319"/>
      <c r="Q121" s="1308">
        <f t="shared" si="95"/>
        <v>0</v>
      </c>
      <c r="R121" s="210"/>
      <c r="S121" s="211"/>
      <c r="T121" s="211"/>
      <c r="U121" s="212">
        <f t="shared" si="96"/>
        <v>0</v>
      </c>
      <c r="V121" s="192"/>
      <c r="W121" s="118"/>
      <c r="X121" s="118"/>
      <c r="Y121" s="118"/>
    </row>
    <row r="122" spans="1:25">
      <c r="A122" s="208" t="s">
        <v>448</v>
      </c>
      <c r="B122" s="209"/>
      <c r="C122" s="1304"/>
      <c r="D122" s="211"/>
      <c r="E122" s="1319"/>
      <c r="F122" s="1308">
        <f t="shared" si="93"/>
        <v>0</v>
      </c>
      <c r="G122" s="210"/>
      <c r="H122" s="211"/>
      <c r="I122" s="211"/>
      <c r="J122" s="212">
        <f t="shared" si="94"/>
        <v>0</v>
      </c>
      <c r="K122" s="907"/>
      <c r="L122" s="208" t="s">
        <v>448</v>
      </c>
      <c r="M122" s="209"/>
      <c r="N122" s="1304"/>
      <c r="O122" s="211"/>
      <c r="P122" s="1319"/>
      <c r="Q122" s="1308">
        <f t="shared" si="95"/>
        <v>0</v>
      </c>
      <c r="R122" s="210"/>
      <c r="S122" s="211"/>
      <c r="T122" s="211"/>
      <c r="U122" s="212">
        <f t="shared" si="96"/>
        <v>0</v>
      </c>
      <c r="V122" s="192"/>
      <c r="W122" s="118"/>
      <c r="Y122" s="118"/>
    </row>
    <row r="123" spans="1:25">
      <c r="A123" s="218" t="s">
        <v>449</v>
      </c>
      <c r="B123" s="219"/>
      <c r="C123" s="1304">
        <v>1211</v>
      </c>
      <c r="D123" s="211">
        <v>1211</v>
      </c>
      <c r="E123" s="1319"/>
      <c r="F123" s="1308">
        <f t="shared" si="93"/>
        <v>1211</v>
      </c>
      <c r="G123" s="210"/>
      <c r="H123" s="211"/>
      <c r="I123" s="211"/>
      <c r="J123" s="212">
        <f t="shared" si="94"/>
        <v>1211</v>
      </c>
      <c r="K123" s="907"/>
      <c r="L123" s="218" t="s">
        <v>449</v>
      </c>
      <c r="M123" s="219"/>
      <c r="N123" s="1304">
        <v>35880</v>
      </c>
      <c r="O123" s="211">
        <v>35880</v>
      </c>
      <c r="P123" s="1319"/>
      <c r="Q123" s="1308">
        <f t="shared" si="95"/>
        <v>35880</v>
      </c>
      <c r="R123" s="210"/>
      <c r="S123" s="211"/>
      <c r="T123" s="211"/>
      <c r="U123" s="212">
        <f t="shared" si="96"/>
        <v>35880</v>
      </c>
      <c r="V123" s="192"/>
      <c r="W123" s="118"/>
      <c r="X123" s="118"/>
      <c r="Y123" s="118"/>
    </row>
    <row r="124" spans="1:25">
      <c r="A124" s="218" t="s">
        <v>450</v>
      </c>
      <c r="B124" s="219"/>
      <c r="C124" s="1304"/>
      <c r="D124" s="211"/>
      <c r="E124" s="1319"/>
      <c r="F124" s="1308">
        <f t="shared" si="93"/>
        <v>0</v>
      </c>
      <c r="G124" s="210"/>
      <c r="H124" s="211"/>
      <c r="I124" s="211"/>
      <c r="J124" s="212">
        <f t="shared" si="94"/>
        <v>0</v>
      </c>
      <c r="K124" s="907"/>
      <c r="L124" s="218" t="s">
        <v>450</v>
      </c>
      <c r="M124" s="219"/>
      <c r="N124" s="1304"/>
      <c r="O124" s="211"/>
      <c r="P124" s="1319"/>
      <c r="Q124" s="1308">
        <f t="shared" si="95"/>
        <v>0</v>
      </c>
      <c r="R124" s="210"/>
      <c r="S124" s="211"/>
      <c r="T124" s="211"/>
      <c r="U124" s="212">
        <f t="shared" si="96"/>
        <v>0</v>
      </c>
      <c r="V124" s="192"/>
      <c r="W124" s="118"/>
      <c r="X124" s="118"/>
      <c r="Y124" s="118"/>
    </row>
    <row r="125" spans="1:25">
      <c r="A125" s="220" t="s">
        <v>451</v>
      </c>
      <c r="B125" s="221"/>
      <c r="C125" s="1310"/>
      <c r="D125" s="223"/>
      <c r="E125" s="1320"/>
      <c r="F125" s="1311">
        <f t="shared" si="93"/>
        <v>0</v>
      </c>
      <c r="G125" s="222"/>
      <c r="H125" s="223"/>
      <c r="I125" s="223"/>
      <c r="J125" s="212">
        <f t="shared" si="94"/>
        <v>0</v>
      </c>
      <c r="K125" s="907"/>
      <c r="L125" s="220" t="s">
        <v>451</v>
      </c>
      <c r="M125" s="221"/>
      <c r="N125" s="1310"/>
      <c r="O125" s="223"/>
      <c r="P125" s="1320"/>
      <c r="Q125" s="1311">
        <f t="shared" si="95"/>
        <v>0</v>
      </c>
      <c r="R125" s="210"/>
      <c r="S125" s="223"/>
      <c r="T125" s="223"/>
      <c r="U125" s="212">
        <f t="shared" si="96"/>
        <v>0</v>
      </c>
      <c r="V125" s="192"/>
      <c r="W125" s="118"/>
      <c r="X125" s="118"/>
      <c r="Y125" s="118"/>
    </row>
    <row r="126" spans="1:25" ht="12.75" thickBot="1">
      <c r="A126" s="220" t="s">
        <v>452</v>
      </c>
      <c r="B126" s="221"/>
      <c r="C126" s="1310"/>
      <c r="D126" s="223"/>
      <c r="E126" s="1320"/>
      <c r="F126" s="1311">
        <f t="shared" si="93"/>
        <v>0</v>
      </c>
      <c r="G126" s="222"/>
      <c r="H126" s="223"/>
      <c r="I126" s="223"/>
      <c r="J126" s="212">
        <f t="shared" si="94"/>
        <v>0</v>
      </c>
      <c r="K126" s="907"/>
      <c r="L126" s="220" t="s">
        <v>452</v>
      </c>
      <c r="M126" s="221"/>
      <c r="N126" s="1310"/>
      <c r="O126" s="223"/>
      <c r="P126" s="1320"/>
      <c r="Q126" s="1311">
        <f t="shared" si="95"/>
        <v>0</v>
      </c>
      <c r="R126" s="222"/>
      <c r="S126" s="223"/>
      <c r="T126" s="223"/>
      <c r="U126" s="212">
        <f t="shared" si="96"/>
        <v>0</v>
      </c>
      <c r="V126" s="192"/>
      <c r="W126" s="118"/>
      <c r="X126" s="118"/>
      <c r="Y126" s="118"/>
    </row>
    <row r="127" spans="1:25" ht="12.75" thickBot="1">
      <c r="A127" s="191" t="s">
        <v>453</v>
      </c>
      <c r="B127" s="213">
        <f t="shared" ref="B127:J127" si="97">+B119+B120+B121+B122+B123+B124+B125+B126</f>
        <v>0</v>
      </c>
      <c r="C127" s="1305">
        <f t="shared" si="97"/>
        <v>1211</v>
      </c>
      <c r="D127" s="213">
        <f t="shared" ref="D127:E127" si="98">+D119+D120+D121+D122+D123+D124+D125+D126</f>
        <v>1211</v>
      </c>
      <c r="E127" s="1312">
        <f t="shared" si="98"/>
        <v>0</v>
      </c>
      <c r="F127" s="1309">
        <f t="shared" si="97"/>
        <v>1211</v>
      </c>
      <c r="G127" s="215">
        <f t="shared" si="97"/>
        <v>0</v>
      </c>
      <c r="H127" s="213">
        <f t="shared" si="97"/>
        <v>0</v>
      </c>
      <c r="I127" s="213">
        <f t="shared" si="97"/>
        <v>0</v>
      </c>
      <c r="J127" s="214">
        <f t="shared" si="97"/>
        <v>1211</v>
      </c>
      <c r="L127" s="191" t="s">
        <v>453</v>
      </c>
      <c r="M127" s="213">
        <f t="shared" ref="M127:U127" si="99">+M119+M120+M121+M122+M123+M124+M125+M126</f>
        <v>0</v>
      </c>
      <c r="N127" s="1305">
        <f t="shared" si="99"/>
        <v>35880</v>
      </c>
      <c r="O127" s="213">
        <f t="shared" ref="O127:P127" si="100">+O119+O120+O121+O122+O123+O124+O125+O126</f>
        <v>35880</v>
      </c>
      <c r="P127" s="1312">
        <f t="shared" si="100"/>
        <v>0</v>
      </c>
      <c r="Q127" s="1309">
        <f t="shared" si="99"/>
        <v>35880</v>
      </c>
      <c r="R127" s="215">
        <f t="shared" si="99"/>
        <v>0</v>
      </c>
      <c r="S127" s="213">
        <f t="shared" si="99"/>
        <v>0</v>
      </c>
      <c r="T127" s="213">
        <f t="shared" si="99"/>
        <v>0</v>
      </c>
      <c r="U127" s="214">
        <f t="shared" si="99"/>
        <v>35880</v>
      </c>
      <c r="V127" s="192"/>
      <c r="X127" s="907"/>
    </row>
    <row r="128" spans="1:25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907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</row>
    <row r="130" spans="1:25" s="900" customFormat="1" ht="15.75">
      <c r="A130" s="190" t="s">
        <v>1198</v>
      </c>
      <c r="B130" s="1476" t="s">
        <v>1205</v>
      </c>
      <c r="C130" s="1476"/>
      <c r="D130" s="1476"/>
      <c r="E130" s="1476"/>
      <c r="F130" s="1476"/>
      <c r="G130" s="1476"/>
      <c r="H130" s="1476"/>
      <c r="I130" s="1476"/>
      <c r="J130" s="1476"/>
      <c r="K130" s="803"/>
      <c r="L130" s="190" t="s">
        <v>1200</v>
      </c>
      <c r="M130" s="1476" t="s">
        <v>1207</v>
      </c>
      <c r="N130" s="1476"/>
      <c r="O130" s="1476"/>
      <c r="P130" s="1476"/>
      <c r="Q130" s="1476"/>
      <c r="R130" s="1476"/>
      <c r="S130" s="1476"/>
      <c r="T130" s="1476"/>
      <c r="U130" s="1476"/>
      <c r="V130" s="972"/>
    </row>
    <row r="131" spans="1:25" s="900" customFormat="1" ht="15.75" customHeight="1">
      <c r="A131" s="1474" t="s">
        <v>1208</v>
      </c>
      <c r="B131" s="1474"/>
      <c r="C131" s="1474"/>
      <c r="D131" s="1474"/>
      <c r="E131" s="1474"/>
      <c r="F131" s="1474"/>
      <c r="G131" s="1474"/>
      <c r="H131" s="1474"/>
      <c r="I131" s="1474"/>
      <c r="J131" s="1474"/>
      <c r="K131" s="803"/>
      <c r="L131" s="1474" t="s">
        <v>1209</v>
      </c>
      <c r="M131" s="1474"/>
      <c r="N131" s="1474"/>
      <c r="O131" s="1474"/>
      <c r="P131" s="1474"/>
      <c r="Q131" s="1474"/>
      <c r="R131" s="1474"/>
      <c r="S131" s="1474"/>
      <c r="T131" s="1474"/>
      <c r="U131" s="1474"/>
      <c r="V131" s="966"/>
    </row>
    <row r="132" spans="1:25" s="900" customFormat="1" ht="15.75">
      <c r="A132" s="1473" t="s">
        <v>1109</v>
      </c>
      <c r="B132" s="1473"/>
      <c r="C132" s="1473"/>
      <c r="D132" s="1473"/>
      <c r="E132" s="1473"/>
      <c r="F132" s="1473"/>
      <c r="G132" s="1473"/>
      <c r="H132" s="1473"/>
      <c r="I132" s="1473"/>
      <c r="J132" s="1473"/>
      <c r="K132" s="803"/>
      <c r="L132" s="1473" t="s">
        <v>1210</v>
      </c>
      <c r="M132" s="1473"/>
      <c r="N132" s="1473"/>
      <c r="O132" s="1473"/>
      <c r="P132" s="1473"/>
      <c r="Q132" s="1473"/>
      <c r="R132" s="1473"/>
      <c r="S132" s="1473"/>
      <c r="T132" s="1473"/>
      <c r="U132" s="1473"/>
      <c r="V132" s="971"/>
    </row>
    <row r="133" spans="1:25" s="903" customFormat="1" ht="12.75" thickBot="1">
      <c r="A133" s="902"/>
      <c r="B133" s="902"/>
      <c r="G133" s="902"/>
      <c r="H133" s="902"/>
      <c r="J133" s="235" t="s">
        <v>280</v>
      </c>
      <c r="K133" s="904"/>
      <c r="L133" s="902"/>
      <c r="M133" s="902"/>
      <c r="N133" s="902"/>
      <c r="O133" s="902"/>
      <c r="P133" s="902"/>
      <c r="Q133" s="902"/>
      <c r="R133" s="902"/>
      <c r="S133" s="902"/>
      <c r="U133" s="235" t="s">
        <v>280</v>
      </c>
      <c r="V133" s="890"/>
    </row>
    <row r="134" spans="1:25" s="906" customFormat="1" ht="36.75" thickBot="1">
      <c r="A134" s="394" t="s">
        <v>431</v>
      </c>
      <c r="B134" s="395" t="s">
        <v>1434</v>
      </c>
      <c r="C134" s="1165" t="s">
        <v>1586</v>
      </c>
      <c r="D134" s="6" t="s">
        <v>1587</v>
      </c>
      <c r="E134" s="6" t="s">
        <v>1658</v>
      </c>
      <c r="F134" s="7" t="s">
        <v>1659</v>
      </c>
      <c r="G134" s="374" t="s">
        <v>460</v>
      </c>
      <c r="H134" s="375" t="s">
        <v>461</v>
      </c>
      <c r="I134" s="375" t="s">
        <v>1435</v>
      </c>
      <c r="J134" s="1114" t="s">
        <v>18</v>
      </c>
      <c r="K134" s="905"/>
      <c r="L134" s="394" t="s">
        <v>431</v>
      </c>
      <c r="M134" s="395" t="s">
        <v>1434</v>
      </c>
      <c r="N134" s="1165" t="s">
        <v>1586</v>
      </c>
      <c r="O134" s="6" t="s">
        <v>1587</v>
      </c>
      <c r="P134" s="6" t="s">
        <v>1658</v>
      </c>
      <c r="Q134" s="7" t="s">
        <v>1659</v>
      </c>
      <c r="R134" s="374" t="s">
        <v>460</v>
      </c>
      <c r="S134" s="375" t="s">
        <v>461</v>
      </c>
      <c r="T134" s="375" t="s">
        <v>1435</v>
      </c>
      <c r="U134" s="1114" t="s">
        <v>18</v>
      </c>
      <c r="V134" s="891"/>
    </row>
    <row r="135" spans="1:25">
      <c r="A135" s="198" t="s">
        <v>432</v>
      </c>
      <c r="B135" s="199">
        <f t="shared" ref="B135:J135" si="101">+B152-B140-B139-B138-B137</f>
        <v>0</v>
      </c>
      <c r="C135" s="1302">
        <f t="shared" si="101"/>
        <v>30074</v>
      </c>
      <c r="D135" s="201">
        <f t="shared" ref="D135" si="102">+D152-D140-D139-D138-D137</f>
        <v>30074</v>
      </c>
      <c r="E135" s="201"/>
      <c r="F135" s="1306">
        <f t="shared" ref="F135" si="103">+F152-F140-F139-F138-F137</f>
        <v>30074</v>
      </c>
      <c r="G135" s="200">
        <f t="shared" si="101"/>
        <v>0</v>
      </c>
      <c r="H135" s="201">
        <f t="shared" si="101"/>
        <v>0</v>
      </c>
      <c r="I135" s="201">
        <f t="shared" si="101"/>
        <v>0</v>
      </c>
      <c r="J135" s="202">
        <f t="shared" si="101"/>
        <v>30074</v>
      </c>
      <c r="K135" s="907"/>
      <c r="L135" s="198" t="s">
        <v>432</v>
      </c>
      <c r="M135" s="199">
        <f t="shared" ref="M135:U135" si="104">+M152-M140-M139-M138-M137</f>
        <v>0</v>
      </c>
      <c r="N135" s="1302">
        <f t="shared" si="104"/>
        <v>195124</v>
      </c>
      <c r="O135" s="201">
        <f t="shared" ref="O135" si="105">+O152-O140-O139-O138-O137</f>
        <v>195124</v>
      </c>
      <c r="P135" s="201"/>
      <c r="Q135" s="1306">
        <f t="shared" ref="Q135" si="106">+Q152-Q140-Q139-Q138-Q137</f>
        <v>195124</v>
      </c>
      <c r="R135" s="200">
        <f t="shared" si="104"/>
        <v>0</v>
      </c>
      <c r="S135" s="201">
        <f t="shared" si="104"/>
        <v>0</v>
      </c>
      <c r="T135" s="201">
        <f t="shared" si="104"/>
        <v>0</v>
      </c>
      <c r="U135" s="202">
        <f t="shared" si="104"/>
        <v>195124</v>
      </c>
      <c r="V135" s="192"/>
    </row>
    <row r="136" spans="1:25">
      <c r="A136" s="203" t="s">
        <v>433</v>
      </c>
      <c r="B136" s="204"/>
      <c r="C136" s="1303"/>
      <c r="D136" s="206"/>
      <c r="E136" s="206"/>
      <c r="F136" s="1307">
        <f>+D136+E136</f>
        <v>0</v>
      </c>
      <c r="G136" s="205"/>
      <c r="H136" s="206"/>
      <c r="I136" s="206"/>
      <c r="J136" s="207">
        <f>+B136+F136+G136+H136+I136</f>
        <v>0</v>
      </c>
      <c r="K136" s="907"/>
      <c r="L136" s="203" t="s">
        <v>433</v>
      </c>
      <c r="M136" s="204"/>
      <c r="N136" s="1303"/>
      <c r="O136" s="206"/>
      <c r="P136" s="206"/>
      <c r="Q136" s="1307">
        <f>+O136+P136</f>
        <v>0</v>
      </c>
      <c r="R136" s="205"/>
      <c r="S136" s="206"/>
      <c r="T136" s="206"/>
      <c r="U136" s="207">
        <f>+M136+Q136+R136+S136+T136</f>
        <v>0</v>
      </c>
      <c r="V136" s="892"/>
      <c r="W136" s="118"/>
    </row>
    <row r="137" spans="1:25">
      <c r="A137" s="208" t="s">
        <v>434</v>
      </c>
      <c r="B137" s="209"/>
      <c r="C137" s="1304"/>
      <c r="D137" s="211"/>
      <c r="E137" s="211"/>
      <c r="F137" s="1308">
        <f t="shared" ref="F137:F140" si="107">+D137+E137</f>
        <v>0</v>
      </c>
      <c r="G137" s="210"/>
      <c r="H137" s="211"/>
      <c r="I137" s="211"/>
      <c r="J137" s="212">
        <f>+B137+F137+G137+H137+I137</f>
        <v>0</v>
      </c>
      <c r="K137" s="907"/>
      <c r="L137" s="208" t="s">
        <v>434</v>
      </c>
      <c r="M137" s="209"/>
      <c r="N137" s="1304"/>
      <c r="O137" s="211"/>
      <c r="P137" s="211"/>
      <c r="Q137" s="1308">
        <f t="shared" ref="Q137:Q140" si="108">+O137+P137</f>
        <v>0</v>
      </c>
      <c r="R137" s="210"/>
      <c r="S137" s="211"/>
      <c r="T137" s="211"/>
      <c r="U137" s="212">
        <f>+M137+Q137+R137+S137+T137</f>
        <v>0</v>
      </c>
      <c r="V137" s="192"/>
      <c r="W137" s="118"/>
      <c r="X137" s="118"/>
      <c r="Y137" s="118"/>
    </row>
    <row r="138" spans="1:25">
      <c r="A138" s="208" t="s">
        <v>435</v>
      </c>
      <c r="B138" s="209"/>
      <c r="C138" s="1304"/>
      <c r="D138" s="211"/>
      <c r="E138" s="211"/>
      <c r="F138" s="1308">
        <f t="shared" si="107"/>
        <v>0</v>
      </c>
      <c r="G138" s="210"/>
      <c r="H138" s="211"/>
      <c r="I138" s="211"/>
      <c r="J138" s="212">
        <f>+B138+F138+G138+H138+I138</f>
        <v>0</v>
      </c>
      <c r="K138" s="907"/>
      <c r="L138" s="208" t="s">
        <v>435</v>
      </c>
      <c r="M138" s="209"/>
      <c r="N138" s="1304"/>
      <c r="O138" s="211"/>
      <c r="P138" s="211"/>
      <c r="Q138" s="1308">
        <f t="shared" si="108"/>
        <v>0</v>
      </c>
      <c r="R138" s="210"/>
      <c r="S138" s="211"/>
      <c r="T138" s="211"/>
      <c r="U138" s="212">
        <f>+M138+Q138+R138+S138+T138</f>
        <v>0</v>
      </c>
      <c r="V138" s="192"/>
      <c r="W138" s="118"/>
    </row>
    <row r="139" spans="1:25">
      <c r="A139" s="208" t="s">
        <v>436</v>
      </c>
      <c r="B139" s="209"/>
      <c r="C139" s="1304"/>
      <c r="D139" s="211"/>
      <c r="E139" s="211"/>
      <c r="F139" s="1308">
        <f t="shared" si="107"/>
        <v>0</v>
      </c>
      <c r="G139" s="210"/>
      <c r="H139" s="211"/>
      <c r="I139" s="211"/>
      <c r="J139" s="212">
        <f>+B139+F139+G139+H139+I139</f>
        <v>0</v>
      </c>
      <c r="K139" s="907"/>
      <c r="L139" s="208" t="s">
        <v>436</v>
      </c>
      <c r="M139" s="209"/>
      <c r="N139" s="1304"/>
      <c r="O139" s="211"/>
      <c r="P139" s="211"/>
      <c r="Q139" s="1308">
        <f t="shared" si="108"/>
        <v>0</v>
      </c>
      <c r="R139" s="210"/>
      <c r="S139" s="211"/>
      <c r="T139" s="211"/>
      <c r="U139" s="212">
        <f>+M139+Q139+R139+S139+T139</f>
        <v>0</v>
      </c>
      <c r="V139" s="192"/>
      <c r="W139" s="118"/>
    </row>
    <row r="140" spans="1:25" ht="12.75" thickBot="1">
      <c r="A140" s="208" t="s">
        <v>437</v>
      </c>
      <c r="B140" s="209"/>
      <c r="C140" s="1304"/>
      <c r="D140" s="211"/>
      <c r="E140" s="211"/>
      <c r="F140" s="1308">
        <f t="shared" si="107"/>
        <v>0</v>
      </c>
      <c r="G140" s="210"/>
      <c r="H140" s="211"/>
      <c r="I140" s="211"/>
      <c r="J140" s="212">
        <f>+B140+F140+G140+H140+I140</f>
        <v>0</v>
      </c>
      <c r="K140" s="907"/>
      <c r="L140" s="208" t="s">
        <v>437</v>
      </c>
      <c r="M140" s="209"/>
      <c r="N140" s="1304"/>
      <c r="O140" s="211"/>
      <c r="P140" s="211"/>
      <c r="Q140" s="1308">
        <f t="shared" si="108"/>
        <v>0</v>
      </c>
      <c r="R140" s="210"/>
      <c r="S140" s="211"/>
      <c r="T140" s="211"/>
      <c r="U140" s="212">
        <f>+M140+Q140+R140+S140+T140</f>
        <v>0</v>
      </c>
      <c r="V140" s="192"/>
      <c r="W140" s="118"/>
    </row>
    <row r="141" spans="1:25" ht="12.75" thickBot="1">
      <c r="A141" s="191" t="s">
        <v>438</v>
      </c>
      <c r="B141" s="213">
        <f t="shared" ref="B141:J141" si="109">+B135+B137+B138+B139+B140</f>
        <v>0</v>
      </c>
      <c r="C141" s="1305">
        <f t="shared" si="109"/>
        <v>30074</v>
      </c>
      <c r="D141" s="213">
        <f t="shared" ref="D141:E141" si="110">+D135+D137+D138+D139+D140</f>
        <v>30074</v>
      </c>
      <c r="E141" s="213">
        <f t="shared" si="110"/>
        <v>0</v>
      </c>
      <c r="F141" s="1309">
        <f t="shared" si="109"/>
        <v>30074</v>
      </c>
      <c r="G141" s="215">
        <f t="shared" si="109"/>
        <v>0</v>
      </c>
      <c r="H141" s="213">
        <f t="shared" si="109"/>
        <v>0</v>
      </c>
      <c r="I141" s="213">
        <f t="shared" si="109"/>
        <v>0</v>
      </c>
      <c r="J141" s="214">
        <f t="shared" si="109"/>
        <v>30074</v>
      </c>
      <c r="K141" s="907"/>
      <c r="L141" s="191" t="s">
        <v>438</v>
      </c>
      <c r="M141" s="213">
        <f t="shared" ref="M141:U141" si="111">+M135+M137+M138+M139+M140</f>
        <v>0</v>
      </c>
      <c r="N141" s="1305">
        <f t="shared" si="111"/>
        <v>195124</v>
      </c>
      <c r="O141" s="213">
        <f t="shared" ref="O141:P141" si="112">+O135+O137+O138+O139+O140</f>
        <v>195124</v>
      </c>
      <c r="P141" s="213">
        <f t="shared" si="112"/>
        <v>0</v>
      </c>
      <c r="Q141" s="1309">
        <f t="shared" si="111"/>
        <v>195124</v>
      </c>
      <c r="R141" s="215">
        <f t="shared" si="111"/>
        <v>0</v>
      </c>
      <c r="S141" s="213">
        <f t="shared" si="111"/>
        <v>0</v>
      </c>
      <c r="T141" s="213">
        <f t="shared" si="111"/>
        <v>0</v>
      </c>
      <c r="U141" s="214">
        <f t="shared" si="111"/>
        <v>195124</v>
      </c>
      <c r="V141" s="192"/>
    </row>
    <row r="142" spans="1:25" ht="12.75" thickBot="1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907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</row>
    <row r="143" spans="1:25" s="906" customFormat="1" ht="36.75" thickBot="1">
      <c r="A143" s="394" t="s">
        <v>439</v>
      </c>
      <c r="B143" s="395" t="s">
        <v>1434</v>
      </c>
      <c r="C143" s="1165" t="s">
        <v>1586</v>
      </c>
      <c r="D143" s="6" t="s">
        <v>1587</v>
      </c>
      <c r="E143" s="6" t="s">
        <v>1658</v>
      </c>
      <c r="F143" s="7" t="s">
        <v>1659</v>
      </c>
      <c r="G143" s="374" t="s">
        <v>460</v>
      </c>
      <c r="H143" s="375" t="s">
        <v>461</v>
      </c>
      <c r="I143" s="375" t="s">
        <v>1435</v>
      </c>
      <c r="J143" s="1114" t="s">
        <v>18</v>
      </c>
      <c r="K143" s="909"/>
      <c r="L143" s="394" t="s">
        <v>439</v>
      </c>
      <c r="M143" s="395" t="s">
        <v>1434</v>
      </c>
      <c r="N143" s="1165" t="s">
        <v>1586</v>
      </c>
      <c r="O143" s="6" t="s">
        <v>1587</v>
      </c>
      <c r="P143" s="6" t="s">
        <v>1658</v>
      </c>
      <c r="Q143" s="7" t="s">
        <v>1659</v>
      </c>
      <c r="R143" s="374" t="s">
        <v>460</v>
      </c>
      <c r="S143" s="375" t="s">
        <v>461</v>
      </c>
      <c r="T143" s="375" t="s">
        <v>1435</v>
      </c>
      <c r="U143" s="1114" t="s">
        <v>18</v>
      </c>
      <c r="V143" s="891"/>
    </row>
    <row r="144" spans="1:25">
      <c r="A144" s="198" t="s">
        <v>445</v>
      </c>
      <c r="B144" s="199"/>
      <c r="C144" s="1302"/>
      <c r="D144" s="201"/>
      <c r="E144" s="1318"/>
      <c r="F144" s="1306">
        <f t="shared" ref="F144:F151" si="113">+D144+E144</f>
        <v>0</v>
      </c>
      <c r="G144" s="200"/>
      <c r="H144" s="201"/>
      <c r="I144" s="201"/>
      <c r="J144" s="202">
        <f t="shared" ref="J144:J151" si="114">+B144+F144+G144+H144+I144</f>
        <v>0</v>
      </c>
      <c r="K144" s="907"/>
      <c r="L144" s="198" t="s">
        <v>445</v>
      </c>
      <c r="M144" s="199"/>
      <c r="N144" s="1302"/>
      <c r="O144" s="201"/>
      <c r="P144" s="1318"/>
      <c r="Q144" s="1306">
        <f t="shared" ref="Q144:Q151" si="115">+O144+P144</f>
        <v>0</v>
      </c>
      <c r="R144" s="200"/>
      <c r="S144" s="201"/>
      <c r="T144" s="201"/>
      <c r="U144" s="202">
        <f t="shared" ref="U144:U151" si="116">+M144+Q144+R144+S144+T144</f>
        <v>0</v>
      </c>
      <c r="V144" s="192"/>
      <c r="W144" s="118"/>
      <c r="X144" s="118"/>
      <c r="Y144" s="118"/>
    </row>
    <row r="145" spans="1:25">
      <c r="A145" s="217" t="s">
        <v>446</v>
      </c>
      <c r="B145" s="209"/>
      <c r="C145" s="1304"/>
      <c r="D145" s="211"/>
      <c r="E145" s="1319"/>
      <c r="F145" s="1308">
        <f t="shared" si="113"/>
        <v>0</v>
      </c>
      <c r="G145" s="210"/>
      <c r="H145" s="211"/>
      <c r="I145" s="211"/>
      <c r="J145" s="212">
        <f t="shared" si="114"/>
        <v>0</v>
      </c>
      <c r="K145" s="907"/>
      <c r="L145" s="217" t="s">
        <v>446</v>
      </c>
      <c r="M145" s="209"/>
      <c r="N145" s="1304"/>
      <c r="O145" s="211"/>
      <c r="P145" s="1319"/>
      <c r="Q145" s="1308">
        <f t="shared" si="115"/>
        <v>0</v>
      </c>
      <c r="R145" s="210"/>
      <c r="S145" s="211"/>
      <c r="T145" s="211"/>
      <c r="U145" s="212">
        <f t="shared" si="116"/>
        <v>0</v>
      </c>
      <c r="V145" s="192"/>
      <c r="W145" s="118"/>
      <c r="X145" s="118"/>
      <c r="Y145" s="118"/>
    </row>
    <row r="146" spans="1:25">
      <c r="A146" s="208" t="s">
        <v>447</v>
      </c>
      <c r="B146" s="209"/>
      <c r="C146" s="1304"/>
      <c r="D146" s="211"/>
      <c r="E146" s="1319"/>
      <c r="F146" s="1308">
        <f t="shared" si="113"/>
        <v>0</v>
      </c>
      <c r="G146" s="210"/>
      <c r="H146" s="211"/>
      <c r="I146" s="211"/>
      <c r="J146" s="212">
        <f t="shared" si="114"/>
        <v>0</v>
      </c>
      <c r="K146" s="907"/>
      <c r="L146" s="208" t="s">
        <v>447</v>
      </c>
      <c r="M146" s="209"/>
      <c r="N146" s="1304"/>
      <c r="O146" s="211"/>
      <c r="P146" s="1319"/>
      <c r="Q146" s="1308">
        <f t="shared" si="115"/>
        <v>0</v>
      </c>
      <c r="R146" s="210"/>
      <c r="S146" s="211"/>
      <c r="T146" s="211"/>
      <c r="U146" s="212">
        <f t="shared" si="116"/>
        <v>0</v>
      </c>
      <c r="V146" s="192"/>
      <c r="W146" s="118"/>
      <c r="X146" s="118"/>
      <c r="Y146" s="118"/>
    </row>
    <row r="147" spans="1:25">
      <c r="A147" s="208" t="s">
        <v>448</v>
      </c>
      <c r="B147" s="209"/>
      <c r="C147" s="1304"/>
      <c r="D147" s="211"/>
      <c r="E147" s="1319"/>
      <c r="F147" s="1308">
        <f t="shared" si="113"/>
        <v>0</v>
      </c>
      <c r="G147" s="210"/>
      <c r="H147" s="211"/>
      <c r="I147" s="211"/>
      <c r="J147" s="212">
        <f t="shared" si="114"/>
        <v>0</v>
      </c>
      <c r="K147" s="907"/>
      <c r="L147" s="208" t="s">
        <v>448</v>
      </c>
      <c r="M147" s="209"/>
      <c r="N147" s="1304"/>
      <c r="O147" s="211"/>
      <c r="P147" s="1319"/>
      <c r="Q147" s="1308">
        <f t="shared" si="115"/>
        <v>0</v>
      </c>
      <c r="R147" s="210"/>
      <c r="S147" s="211"/>
      <c r="T147" s="211"/>
      <c r="U147" s="212">
        <f t="shared" si="116"/>
        <v>0</v>
      </c>
      <c r="V147" s="192"/>
      <c r="W147" s="118"/>
      <c r="Y147" s="118"/>
    </row>
    <row r="148" spans="1:25">
      <c r="A148" s="218" t="s">
        <v>449</v>
      </c>
      <c r="B148" s="219"/>
      <c r="C148" s="1304">
        <v>30074</v>
      </c>
      <c r="D148" s="211">
        <v>30074</v>
      </c>
      <c r="E148" s="1319"/>
      <c r="F148" s="1308">
        <f t="shared" si="113"/>
        <v>30074</v>
      </c>
      <c r="G148" s="210"/>
      <c r="H148" s="211"/>
      <c r="I148" s="211"/>
      <c r="J148" s="212">
        <f t="shared" si="114"/>
        <v>30074</v>
      </c>
      <c r="K148" s="907"/>
      <c r="L148" s="218" t="s">
        <v>449</v>
      </c>
      <c r="M148" s="219"/>
      <c r="N148" s="1304">
        <v>195124</v>
      </c>
      <c r="O148" s="211">
        <v>195124</v>
      </c>
      <c r="P148" s="1319"/>
      <c r="Q148" s="1308">
        <f t="shared" si="115"/>
        <v>195124</v>
      </c>
      <c r="R148" s="210"/>
      <c r="S148" s="211"/>
      <c r="T148" s="211"/>
      <c r="U148" s="212">
        <f t="shared" si="116"/>
        <v>195124</v>
      </c>
      <c r="V148" s="192"/>
      <c r="W148" s="118"/>
      <c r="X148" s="118"/>
      <c r="Y148" s="118"/>
    </row>
    <row r="149" spans="1:25">
      <c r="A149" s="218" t="s">
        <v>450</v>
      </c>
      <c r="B149" s="219"/>
      <c r="C149" s="1304"/>
      <c r="D149" s="211"/>
      <c r="E149" s="1319"/>
      <c r="F149" s="1308">
        <f t="shared" si="113"/>
        <v>0</v>
      </c>
      <c r="G149" s="210"/>
      <c r="H149" s="211"/>
      <c r="I149" s="211"/>
      <c r="J149" s="212">
        <f t="shared" si="114"/>
        <v>0</v>
      </c>
      <c r="K149" s="907"/>
      <c r="L149" s="218" t="s">
        <v>450</v>
      </c>
      <c r="M149" s="219"/>
      <c r="N149" s="1304"/>
      <c r="O149" s="211"/>
      <c r="P149" s="1319"/>
      <c r="Q149" s="1308">
        <f t="shared" si="115"/>
        <v>0</v>
      </c>
      <c r="R149" s="210"/>
      <c r="S149" s="211"/>
      <c r="T149" s="211"/>
      <c r="U149" s="212">
        <f t="shared" si="116"/>
        <v>0</v>
      </c>
      <c r="V149" s="192"/>
      <c r="W149" s="118"/>
      <c r="X149" s="118"/>
      <c r="Y149" s="118"/>
    </row>
    <row r="150" spans="1:25">
      <c r="A150" s="220" t="s">
        <v>451</v>
      </c>
      <c r="B150" s="221"/>
      <c r="C150" s="1310"/>
      <c r="D150" s="223"/>
      <c r="E150" s="1320"/>
      <c r="F150" s="1311">
        <f t="shared" si="113"/>
        <v>0</v>
      </c>
      <c r="G150" s="222"/>
      <c r="H150" s="223"/>
      <c r="I150" s="223"/>
      <c r="J150" s="212">
        <f t="shared" si="114"/>
        <v>0</v>
      </c>
      <c r="K150" s="907"/>
      <c r="L150" s="220" t="s">
        <v>451</v>
      </c>
      <c r="M150" s="221"/>
      <c r="N150" s="1310"/>
      <c r="O150" s="223"/>
      <c r="P150" s="1320"/>
      <c r="Q150" s="1311">
        <f t="shared" si="115"/>
        <v>0</v>
      </c>
      <c r="R150" s="210"/>
      <c r="S150" s="223"/>
      <c r="T150" s="223"/>
      <c r="U150" s="212">
        <f t="shared" si="116"/>
        <v>0</v>
      </c>
      <c r="V150" s="192"/>
      <c r="W150" s="118"/>
      <c r="X150" s="118"/>
      <c r="Y150" s="118"/>
    </row>
    <row r="151" spans="1:25" ht="12.75" thickBot="1">
      <c r="A151" s="220" t="s">
        <v>452</v>
      </c>
      <c r="B151" s="221"/>
      <c r="C151" s="1310"/>
      <c r="D151" s="223"/>
      <c r="E151" s="1320"/>
      <c r="F151" s="1311">
        <f t="shared" si="113"/>
        <v>0</v>
      </c>
      <c r="G151" s="222"/>
      <c r="H151" s="223"/>
      <c r="I151" s="223"/>
      <c r="J151" s="212">
        <f t="shared" si="114"/>
        <v>0</v>
      </c>
      <c r="K151" s="907"/>
      <c r="L151" s="220" t="s">
        <v>452</v>
      </c>
      <c r="M151" s="221"/>
      <c r="N151" s="1310"/>
      <c r="O151" s="223"/>
      <c r="P151" s="1320"/>
      <c r="Q151" s="1311">
        <f t="shared" si="115"/>
        <v>0</v>
      </c>
      <c r="R151" s="222"/>
      <c r="S151" s="223"/>
      <c r="T151" s="223"/>
      <c r="U151" s="212">
        <f t="shared" si="116"/>
        <v>0</v>
      </c>
      <c r="V151" s="192"/>
      <c r="W151" s="118"/>
      <c r="X151" s="118"/>
      <c r="Y151" s="118"/>
    </row>
    <row r="152" spans="1:25" ht="12.75" thickBot="1">
      <c r="A152" s="191" t="s">
        <v>453</v>
      </c>
      <c r="B152" s="213">
        <f t="shared" ref="B152:J152" si="117">+B144+B145+B146+B147+B148+B149+B150+B151</f>
        <v>0</v>
      </c>
      <c r="C152" s="1305">
        <f t="shared" si="117"/>
        <v>30074</v>
      </c>
      <c r="D152" s="213">
        <f t="shared" ref="D152:E152" si="118">+D144+D145+D146+D147+D148+D149+D150+D151</f>
        <v>30074</v>
      </c>
      <c r="E152" s="1312">
        <f t="shared" si="118"/>
        <v>0</v>
      </c>
      <c r="F152" s="1309">
        <f t="shared" si="117"/>
        <v>30074</v>
      </c>
      <c r="G152" s="215">
        <f t="shared" si="117"/>
        <v>0</v>
      </c>
      <c r="H152" s="213">
        <f t="shared" si="117"/>
        <v>0</v>
      </c>
      <c r="I152" s="213">
        <f t="shared" si="117"/>
        <v>0</v>
      </c>
      <c r="J152" s="214">
        <f t="shared" si="117"/>
        <v>30074</v>
      </c>
      <c r="L152" s="191" t="s">
        <v>453</v>
      </c>
      <c r="M152" s="213">
        <f t="shared" ref="M152:U152" si="119">+M144+M145+M146+M147+M148+M149+M150+M151</f>
        <v>0</v>
      </c>
      <c r="N152" s="1305">
        <f t="shared" si="119"/>
        <v>195124</v>
      </c>
      <c r="O152" s="213">
        <f t="shared" ref="O152:P152" si="120">+O144+O145+O146+O147+O148+O149+O150+O151</f>
        <v>195124</v>
      </c>
      <c r="P152" s="1312">
        <f t="shared" si="120"/>
        <v>0</v>
      </c>
      <c r="Q152" s="1309">
        <f t="shared" si="119"/>
        <v>195124</v>
      </c>
      <c r="R152" s="215">
        <f t="shared" si="119"/>
        <v>0</v>
      </c>
      <c r="S152" s="213">
        <f t="shared" si="119"/>
        <v>0</v>
      </c>
      <c r="T152" s="213">
        <f t="shared" si="119"/>
        <v>0</v>
      </c>
      <c r="U152" s="214">
        <f t="shared" si="119"/>
        <v>195124</v>
      </c>
      <c r="V152" s="192"/>
      <c r="X152" s="907"/>
    </row>
    <row r="153" spans="1:25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907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</row>
    <row r="155" spans="1:25" s="900" customFormat="1" ht="15.75">
      <c r="A155" s="190" t="s">
        <v>1204</v>
      </c>
      <c r="B155" s="972" t="s">
        <v>1196</v>
      </c>
      <c r="C155" s="1113"/>
      <c r="D155" s="1113"/>
      <c r="E155" s="1113"/>
      <c r="F155" s="972"/>
      <c r="G155" s="972"/>
      <c r="H155" s="972"/>
      <c r="I155" s="972"/>
      <c r="J155" s="972"/>
      <c r="K155" s="803"/>
      <c r="L155" s="190" t="s">
        <v>1206</v>
      </c>
      <c r="M155" s="972" t="s">
        <v>1509</v>
      </c>
      <c r="N155" s="1113"/>
      <c r="O155" s="1113"/>
      <c r="P155" s="1113"/>
      <c r="Q155" s="972"/>
      <c r="R155" s="972"/>
      <c r="S155" s="972"/>
      <c r="T155" s="972"/>
      <c r="U155" s="972"/>
      <c r="V155" s="972"/>
    </row>
    <row r="156" spans="1:25" s="900" customFormat="1" ht="15.75" customHeight="1">
      <c r="A156" s="1474" t="s">
        <v>1401</v>
      </c>
      <c r="B156" s="1474"/>
      <c r="C156" s="1474"/>
      <c r="D156" s="1474"/>
      <c r="E156" s="1474"/>
      <c r="F156" s="1474"/>
      <c r="G156" s="1474"/>
      <c r="H156" s="1474"/>
      <c r="I156" s="1474"/>
      <c r="J156" s="1474"/>
      <c r="K156" s="803"/>
      <c r="L156" s="1474" t="s">
        <v>1402</v>
      </c>
      <c r="M156" s="1474"/>
      <c r="N156" s="1474"/>
      <c r="O156" s="1474"/>
      <c r="P156" s="1474"/>
      <c r="Q156" s="1474"/>
      <c r="R156" s="1474"/>
      <c r="S156" s="1474"/>
      <c r="T156" s="1474"/>
      <c r="U156" s="1474"/>
      <c r="V156" s="966"/>
    </row>
    <row r="157" spans="1:25" s="900" customFormat="1" ht="15.75">
      <c r="A157" s="1473" t="s">
        <v>1109</v>
      </c>
      <c r="B157" s="1473"/>
      <c r="C157" s="1473"/>
      <c r="D157" s="1473"/>
      <c r="E157" s="1473"/>
      <c r="F157" s="1473"/>
      <c r="G157" s="1473"/>
      <c r="H157" s="1473"/>
      <c r="I157" s="1473"/>
      <c r="J157" s="1473"/>
      <c r="K157" s="803"/>
      <c r="L157" s="1473" t="s">
        <v>1109</v>
      </c>
      <c r="M157" s="1473"/>
      <c r="N157" s="1473"/>
      <c r="O157" s="1473"/>
      <c r="P157" s="1473"/>
      <c r="Q157" s="1473"/>
      <c r="R157" s="1473"/>
      <c r="S157" s="1473"/>
      <c r="T157" s="1473"/>
      <c r="U157" s="1473"/>
      <c r="V157" s="971"/>
    </row>
    <row r="158" spans="1:25" s="903" customFormat="1" ht="12.75" thickBot="1">
      <c r="A158" s="902"/>
      <c r="B158" s="902"/>
      <c r="G158" s="902"/>
      <c r="H158" s="902"/>
      <c r="J158" s="235" t="s">
        <v>280</v>
      </c>
      <c r="K158" s="904"/>
      <c r="L158" s="902"/>
      <c r="M158" s="902"/>
      <c r="N158" s="902"/>
      <c r="O158" s="902"/>
      <c r="P158" s="902"/>
      <c r="Q158" s="902"/>
      <c r="R158" s="902"/>
      <c r="S158" s="902"/>
      <c r="U158" s="235" t="s">
        <v>280</v>
      </c>
      <c r="V158" s="890"/>
    </row>
    <row r="159" spans="1:25" s="906" customFormat="1" ht="36.75" thickBot="1">
      <c r="A159" s="394" t="s">
        <v>431</v>
      </c>
      <c r="B159" s="395" t="s">
        <v>1434</v>
      </c>
      <c r="C159" s="1165" t="s">
        <v>1586</v>
      </c>
      <c r="D159" s="6" t="s">
        <v>1587</v>
      </c>
      <c r="E159" s="6" t="s">
        <v>1658</v>
      </c>
      <c r="F159" s="7" t="s">
        <v>1659</v>
      </c>
      <c r="G159" s="374" t="s">
        <v>460</v>
      </c>
      <c r="H159" s="375" t="s">
        <v>461</v>
      </c>
      <c r="I159" s="375" t="s">
        <v>1435</v>
      </c>
      <c r="J159" s="1114" t="s">
        <v>18</v>
      </c>
      <c r="K159" s="905"/>
      <c r="L159" s="394" t="s">
        <v>431</v>
      </c>
      <c r="M159" s="395" t="s">
        <v>1434</v>
      </c>
      <c r="N159" s="1165" t="s">
        <v>1586</v>
      </c>
      <c r="O159" s="6" t="s">
        <v>1587</v>
      </c>
      <c r="P159" s="6" t="s">
        <v>1658</v>
      </c>
      <c r="Q159" s="7" t="s">
        <v>1659</v>
      </c>
      <c r="R159" s="374" t="s">
        <v>460</v>
      </c>
      <c r="S159" s="375" t="s">
        <v>461</v>
      </c>
      <c r="T159" s="375" t="s">
        <v>1435</v>
      </c>
      <c r="U159" s="1114" t="s">
        <v>18</v>
      </c>
      <c r="V159" s="891"/>
    </row>
    <row r="160" spans="1:25">
      <c r="A160" s="198" t="s">
        <v>432</v>
      </c>
      <c r="B160" s="199">
        <f t="shared" ref="B160:J160" si="121">+B177-B165-B164-B163-B162</f>
        <v>0</v>
      </c>
      <c r="C160" s="1302">
        <f t="shared" si="121"/>
        <v>4509</v>
      </c>
      <c r="D160" s="201">
        <f t="shared" ref="D160" si="122">+D177-D165-D164-D163-D162</f>
        <v>4509</v>
      </c>
      <c r="E160" s="201"/>
      <c r="F160" s="1306">
        <f t="shared" ref="F160" si="123">+F177-F165-F164-F163-F162</f>
        <v>4509</v>
      </c>
      <c r="G160" s="200">
        <f t="shared" si="121"/>
        <v>0</v>
      </c>
      <c r="H160" s="201">
        <f t="shared" si="121"/>
        <v>0</v>
      </c>
      <c r="I160" s="201">
        <f t="shared" si="121"/>
        <v>0</v>
      </c>
      <c r="J160" s="202">
        <f t="shared" si="121"/>
        <v>4509</v>
      </c>
      <c r="K160" s="907"/>
      <c r="L160" s="198" t="s">
        <v>432</v>
      </c>
      <c r="M160" s="199">
        <f t="shared" ref="M160:U160" si="124">+M177-M165-M164-M163-M162</f>
        <v>0</v>
      </c>
      <c r="N160" s="1302">
        <f t="shared" si="124"/>
        <v>40360</v>
      </c>
      <c r="O160" s="201">
        <f t="shared" ref="O160" si="125">+O177-O165-O164-O163-O162</f>
        <v>40360</v>
      </c>
      <c r="P160" s="201"/>
      <c r="Q160" s="1306">
        <f t="shared" ref="Q160" si="126">+Q177-Q165-Q164-Q163-Q162</f>
        <v>40360</v>
      </c>
      <c r="R160" s="200">
        <f t="shared" si="124"/>
        <v>0</v>
      </c>
      <c r="S160" s="201">
        <f t="shared" si="124"/>
        <v>0</v>
      </c>
      <c r="T160" s="201">
        <f t="shared" si="124"/>
        <v>0</v>
      </c>
      <c r="U160" s="202">
        <f t="shared" si="124"/>
        <v>40360</v>
      </c>
      <c r="V160" s="192"/>
    </row>
    <row r="161" spans="1:25">
      <c r="A161" s="203" t="s">
        <v>433</v>
      </c>
      <c r="B161" s="204"/>
      <c r="C161" s="1303"/>
      <c r="D161" s="206"/>
      <c r="E161" s="206"/>
      <c r="F161" s="1307">
        <f>+D161+E161</f>
        <v>0</v>
      </c>
      <c r="G161" s="205"/>
      <c r="H161" s="206"/>
      <c r="I161" s="206"/>
      <c r="J161" s="207">
        <f>+B161+F161+G161+H161+I161</f>
        <v>0</v>
      </c>
      <c r="K161" s="907"/>
      <c r="L161" s="203" t="s">
        <v>433</v>
      </c>
      <c r="M161" s="204"/>
      <c r="N161" s="1303"/>
      <c r="O161" s="206"/>
      <c r="P161" s="206"/>
      <c r="Q161" s="1307">
        <f>+O161+P161</f>
        <v>0</v>
      </c>
      <c r="R161" s="205"/>
      <c r="S161" s="206"/>
      <c r="T161" s="206"/>
      <c r="U161" s="207">
        <f>+M161+Q161+R161+S161+T161</f>
        <v>0</v>
      </c>
      <c r="V161" s="892"/>
      <c r="W161" s="118"/>
    </row>
    <row r="162" spans="1:25">
      <c r="A162" s="208" t="s">
        <v>434</v>
      </c>
      <c r="B162" s="209"/>
      <c r="C162" s="1304"/>
      <c r="D162" s="211"/>
      <c r="E162" s="211"/>
      <c r="F162" s="1308">
        <f t="shared" ref="F162:F165" si="127">+D162+E162</f>
        <v>0</v>
      </c>
      <c r="G162" s="210"/>
      <c r="H162" s="211"/>
      <c r="I162" s="211"/>
      <c r="J162" s="212">
        <f>+B162+F162+G162+H162+I162</f>
        <v>0</v>
      </c>
      <c r="K162" s="907"/>
      <c r="L162" s="208" t="s">
        <v>434</v>
      </c>
      <c r="M162" s="209"/>
      <c r="N162" s="1304"/>
      <c r="O162" s="211"/>
      <c r="P162" s="211"/>
      <c r="Q162" s="1308">
        <f t="shared" ref="Q162:Q165" si="128">+O162+P162</f>
        <v>0</v>
      </c>
      <c r="R162" s="210"/>
      <c r="S162" s="211"/>
      <c r="T162" s="211"/>
      <c r="U162" s="212">
        <f>+M162+Q162+R162+S162+T162</f>
        <v>0</v>
      </c>
      <c r="V162" s="192"/>
      <c r="W162" s="118"/>
      <c r="X162" s="118"/>
      <c r="Y162" s="118"/>
    </row>
    <row r="163" spans="1:25">
      <c r="A163" s="208" t="s">
        <v>435</v>
      </c>
      <c r="B163" s="209"/>
      <c r="C163" s="1304"/>
      <c r="D163" s="211"/>
      <c r="E163" s="211"/>
      <c r="F163" s="1308">
        <f t="shared" si="127"/>
        <v>0</v>
      </c>
      <c r="G163" s="210"/>
      <c r="H163" s="211"/>
      <c r="I163" s="211"/>
      <c r="J163" s="212">
        <f>+B163+F163+G163+H163+I163</f>
        <v>0</v>
      </c>
      <c r="K163" s="907"/>
      <c r="L163" s="208" t="s">
        <v>435</v>
      </c>
      <c r="M163" s="209"/>
      <c r="N163" s="1304"/>
      <c r="O163" s="211"/>
      <c r="P163" s="211"/>
      <c r="Q163" s="1308">
        <f t="shared" si="128"/>
        <v>0</v>
      </c>
      <c r="R163" s="210"/>
      <c r="S163" s="211"/>
      <c r="T163" s="211"/>
      <c r="U163" s="212">
        <f>+M163+Q163+R163+S163+T163</f>
        <v>0</v>
      </c>
      <c r="V163" s="192"/>
      <c r="W163" s="118"/>
    </row>
    <row r="164" spans="1:25">
      <c r="A164" s="208" t="s">
        <v>436</v>
      </c>
      <c r="B164" s="209"/>
      <c r="C164" s="1304"/>
      <c r="D164" s="211"/>
      <c r="E164" s="211"/>
      <c r="F164" s="1308">
        <f t="shared" si="127"/>
        <v>0</v>
      </c>
      <c r="G164" s="210"/>
      <c r="H164" s="211"/>
      <c r="I164" s="211"/>
      <c r="J164" s="212">
        <f>+B164+F164+G164+H164+I164</f>
        <v>0</v>
      </c>
      <c r="K164" s="907"/>
      <c r="L164" s="208" t="s">
        <v>436</v>
      </c>
      <c r="M164" s="209"/>
      <c r="N164" s="1304"/>
      <c r="O164" s="211"/>
      <c r="P164" s="211"/>
      <c r="Q164" s="1308">
        <f t="shared" si="128"/>
        <v>0</v>
      </c>
      <c r="R164" s="210"/>
      <c r="S164" s="211"/>
      <c r="T164" s="211"/>
      <c r="U164" s="212">
        <f>+M164+Q164+R164+S164+T164</f>
        <v>0</v>
      </c>
      <c r="V164" s="192"/>
      <c r="W164" s="118"/>
    </row>
    <row r="165" spans="1:25" ht="12.75" thickBot="1">
      <c r="A165" s="208" t="s">
        <v>437</v>
      </c>
      <c r="B165" s="209"/>
      <c r="C165" s="1304"/>
      <c r="D165" s="211"/>
      <c r="E165" s="211"/>
      <c r="F165" s="1308">
        <f t="shared" si="127"/>
        <v>0</v>
      </c>
      <c r="G165" s="210"/>
      <c r="H165" s="211"/>
      <c r="I165" s="211"/>
      <c r="J165" s="212">
        <f>+B165+F165+G165+H165+I165</f>
        <v>0</v>
      </c>
      <c r="K165" s="907"/>
      <c r="L165" s="208" t="s">
        <v>437</v>
      </c>
      <c r="M165" s="209"/>
      <c r="N165" s="1304"/>
      <c r="O165" s="211"/>
      <c r="P165" s="211"/>
      <c r="Q165" s="1308">
        <f t="shared" si="128"/>
        <v>0</v>
      </c>
      <c r="R165" s="210"/>
      <c r="S165" s="211"/>
      <c r="T165" s="211"/>
      <c r="U165" s="212">
        <f>+M165+Q165+R165+S165+T165</f>
        <v>0</v>
      </c>
      <c r="V165" s="192"/>
      <c r="W165" s="118"/>
    </row>
    <row r="166" spans="1:25" ht="12.75" thickBot="1">
      <c r="A166" s="191" t="s">
        <v>438</v>
      </c>
      <c r="B166" s="213">
        <f t="shared" ref="B166:J166" si="129">+B160+B162+B163+B164+B165</f>
        <v>0</v>
      </c>
      <c r="C166" s="1305">
        <f t="shared" si="129"/>
        <v>4509</v>
      </c>
      <c r="D166" s="213">
        <f t="shared" ref="D166:E166" si="130">+D160+D162+D163+D164+D165</f>
        <v>4509</v>
      </c>
      <c r="E166" s="213">
        <f t="shared" si="130"/>
        <v>0</v>
      </c>
      <c r="F166" s="1309">
        <f t="shared" si="129"/>
        <v>4509</v>
      </c>
      <c r="G166" s="215">
        <f t="shared" si="129"/>
        <v>0</v>
      </c>
      <c r="H166" s="213">
        <f t="shared" si="129"/>
        <v>0</v>
      </c>
      <c r="I166" s="213">
        <f t="shared" si="129"/>
        <v>0</v>
      </c>
      <c r="J166" s="214">
        <f t="shared" si="129"/>
        <v>4509</v>
      </c>
      <c r="K166" s="907"/>
      <c r="L166" s="191" t="s">
        <v>438</v>
      </c>
      <c r="M166" s="213">
        <f t="shared" ref="M166:U166" si="131">+M160+M162+M163+M164+M165</f>
        <v>0</v>
      </c>
      <c r="N166" s="1305">
        <f t="shared" si="131"/>
        <v>40360</v>
      </c>
      <c r="O166" s="213">
        <f t="shared" ref="O166:P166" si="132">+O160+O162+O163+O164+O165</f>
        <v>40360</v>
      </c>
      <c r="P166" s="213">
        <f t="shared" si="132"/>
        <v>0</v>
      </c>
      <c r="Q166" s="1309">
        <f t="shared" si="131"/>
        <v>40360</v>
      </c>
      <c r="R166" s="215">
        <f t="shared" si="131"/>
        <v>0</v>
      </c>
      <c r="S166" s="213">
        <f t="shared" si="131"/>
        <v>0</v>
      </c>
      <c r="T166" s="213">
        <f t="shared" si="131"/>
        <v>0</v>
      </c>
      <c r="U166" s="214">
        <f t="shared" si="131"/>
        <v>40360</v>
      </c>
      <c r="V166" s="192"/>
    </row>
    <row r="167" spans="1:25" ht="12.75" thickBot="1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907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</row>
    <row r="168" spans="1:25" s="906" customFormat="1" ht="36.75" thickBot="1">
      <c r="A168" s="394" t="s">
        <v>439</v>
      </c>
      <c r="B168" s="395" t="s">
        <v>1434</v>
      </c>
      <c r="C168" s="1165" t="s">
        <v>1586</v>
      </c>
      <c r="D168" s="6" t="s">
        <v>1587</v>
      </c>
      <c r="E168" s="6" t="s">
        <v>1658</v>
      </c>
      <c r="F168" s="7" t="s">
        <v>1659</v>
      </c>
      <c r="G168" s="374" t="s">
        <v>460</v>
      </c>
      <c r="H168" s="375" t="s">
        <v>461</v>
      </c>
      <c r="I168" s="375" t="s">
        <v>1435</v>
      </c>
      <c r="J168" s="1114" t="s">
        <v>18</v>
      </c>
      <c r="K168" s="909"/>
      <c r="L168" s="394" t="s">
        <v>439</v>
      </c>
      <c r="M168" s="395" t="s">
        <v>1434</v>
      </c>
      <c r="N168" s="1165" t="s">
        <v>1586</v>
      </c>
      <c r="O168" s="6" t="s">
        <v>1587</v>
      </c>
      <c r="P168" s="6" t="s">
        <v>1658</v>
      </c>
      <c r="Q168" s="7" t="s">
        <v>1659</v>
      </c>
      <c r="R168" s="374" t="s">
        <v>460</v>
      </c>
      <c r="S168" s="375" t="s">
        <v>461</v>
      </c>
      <c r="T168" s="375" t="s">
        <v>1435</v>
      </c>
      <c r="U168" s="1114" t="s">
        <v>18</v>
      </c>
      <c r="V168" s="891"/>
    </row>
    <row r="169" spans="1:25">
      <c r="A169" s="198" t="s">
        <v>445</v>
      </c>
      <c r="B169" s="199"/>
      <c r="C169" s="1302"/>
      <c r="D169" s="201"/>
      <c r="E169" s="1318"/>
      <c r="F169" s="1306">
        <f t="shared" ref="F169:F176" si="133">+D169+E169</f>
        <v>0</v>
      </c>
      <c r="G169" s="200"/>
      <c r="H169" s="201"/>
      <c r="I169" s="201"/>
      <c r="J169" s="202">
        <f t="shared" ref="J169:J176" si="134">+B169+F169+G169+H169+I169</f>
        <v>0</v>
      </c>
      <c r="K169" s="907"/>
      <c r="L169" s="198" t="s">
        <v>445</v>
      </c>
      <c r="M169" s="199"/>
      <c r="N169" s="1302"/>
      <c r="O169" s="201"/>
      <c r="P169" s="1318"/>
      <c r="Q169" s="1306">
        <f t="shared" ref="Q169:Q176" si="135">+O169+P169</f>
        <v>0</v>
      </c>
      <c r="R169" s="200"/>
      <c r="S169" s="201"/>
      <c r="T169" s="201"/>
      <c r="U169" s="202">
        <f t="shared" ref="U169:U176" si="136">+M169+Q169+R169+S169+T169</f>
        <v>0</v>
      </c>
      <c r="V169" s="192"/>
      <c r="W169" s="118"/>
      <c r="X169" s="118"/>
      <c r="Y169" s="118"/>
    </row>
    <row r="170" spans="1:25">
      <c r="A170" s="217" t="s">
        <v>446</v>
      </c>
      <c r="B170" s="209"/>
      <c r="C170" s="1304"/>
      <c r="D170" s="211"/>
      <c r="E170" s="1319"/>
      <c r="F170" s="1308">
        <f t="shared" si="133"/>
        <v>0</v>
      </c>
      <c r="G170" s="210"/>
      <c r="H170" s="211"/>
      <c r="I170" s="211"/>
      <c r="J170" s="212">
        <f t="shared" si="134"/>
        <v>0</v>
      </c>
      <c r="K170" s="907"/>
      <c r="L170" s="217" t="s">
        <v>446</v>
      </c>
      <c r="M170" s="209"/>
      <c r="N170" s="1304"/>
      <c r="O170" s="211"/>
      <c r="P170" s="1319"/>
      <c r="Q170" s="1308">
        <f t="shared" si="135"/>
        <v>0</v>
      </c>
      <c r="R170" s="210"/>
      <c r="S170" s="211"/>
      <c r="T170" s="211"/>
      <c r="U170" s="212">
        <f t="shared" si="136"/>
        <v>0</v>
      </c>
      <c r="V170" s="192"/>
      <c r="W170" s="118"/>
      <c r="X170" s="118"/>
      <c r="Y170" s="118"/>
    </row>
    <row r="171" spans="1:25">
      <c r="A171" s="208" t="s">
        <v>447</v>
      </c>
      <c r="B171" s="209"/>
      <c r="C171" s="1304"/>
      <c r="D171" s="211"/>
      <c r="E171" s="1319"/>
      <c r="F171" s="1308">
        <f t="shared" si="133"/>
        <v>0</v>
      </c>
      <c r="G171" s="210"/>
      <c r="H171" s="211"/>
      <c r="I171" s="211"/>
      <c r="J171" s="212">
        <f t="shared" si="134"/>
        <v>0</v>
      </c>
      <c r="K171" s="907"/>
      <c r="L171" s="208" t="s">
        <v>447</v>
      </c>
      <c r="M171" s="209"/>
      <c r="N171" s="1304"/>
      <c r="O171" s="211"/>
      <c r="P171" s="1319"/>
      <c r="Q171" s="1308">
        <f t="shared" si="135"/>
        <v>0</v>
      </c>
      <c r="R171" s="210"/>
      <c r="S171" s="211"/>
      <c r="T171" s="211"/>
      <c r="U171" s="212">
        <f t="shared" si="136"/>
        <v>0</v>
      </c>
      <c r="V171" s="192"/>
      <c r="W171" s="118"/>
      <c r="X171" s="118"/>
      <c r="Y171" s="118"/>
    </row>
    <row r="172" spans="1:25">
      <c r="A172" s="208" t="s">
        <v>448</v>
      </c>
      <c r="B172" s="209"/>
      <c r="C172" s="1304"/>
      <c r="D172" s="211"/>
      <c r="E172" s="1319"/>
      <c r="F172" s="1308">
        <f t="shared" si="133"/>
        <v>0</v>
      </c>
      <c r="G172" s="210"/>
      <c r="H172" s="211"/>
      <c r="I172" s="211"/>
      <c r="J172" s="212">
        <f t="shared" si="134"/>
        <v>0</v>
      </c>
      <c r="K172" s="907"/>
      <c r="L172" s="208" t="s">
        <v>448</v>
      </c>
      <c r="M172" s="209"/>
      <c r="N172" s="1304"/>
      <c r="O172" s="211"/>
      <c r="P172" s="1319"/>
      <c r="Q172" s="1308">
        <f t="shared" si="135"/>
        <v>0</v>
      </c>
      <c r="R172" s="210"/>
      <c r="S172" s="211"/>
      <c r="T172" s="211"/>
      <c r="U172" s="212">
        <f t="shared" si="136"/>
        <v>0</v>
      </c>
      <c r="V172" s="192"/>
      <c r="W172" s="118"/>
      <c r="Y172" s="118"/>
    </row>
    <row r="173" spans="1:25">
      <c r="A173" s="218" t="s">
        <v>449</v>
      </c>
      <c r="B173" s="219"/>
      <c r="C173" s="1304">
        <f>4497+12</f>
        <v>4509</v>
      </c>
      <c r="D173" s="211">
        <f>4497+12</f>
        <v>4509</v>
      </c>
      <c r="E173" s="1319"/>
      <c r="F173" s="1308">
        <f t="shared" si="133"/>
        <v>4509</v>
      </c>
      <c r="G173" s="210"/>
      <c r="H173" s="211"/>
      <c r="I173" s="211"/>
      <c r="J173" s="212">
        <f t="shared" si="134"/>
        <v>4509</v>
      </c>
      <c r="K173" s="907"/>
      <c r="L173" s="218" t="s">
        <v>449</v>
      </c>
      <c r="M173" s="219"/>
      <c r="N173" s="1304">
        <v>40360</v>
      </c>
      <c r="O173" s="211">
        <v>40360</v>
      </c>
      <c r="P173" s="1319"/>
      <c r="Q173" s="1308">
        <f t="shared" si="135"/>
        <v>40360</v>
      </c>
      <c r="R173" s="210"/>
      <c r="S173" s="211"/>
      <c r="T173" s="211"/>
      <c r="U173" s="212">
        <f t="shared" si="136"/>
        <v>40360</v>
      </c>
      <c r="V173" s="192"/>
      <c r="W173" s="118"/>
      <c r="X173" s="118"/>
      <c r="Y173" s="118"/>
    </row>
    <row r="174" spans="1:25">
      <c r="A174" s="218" t="s">
        <v>450</v>
      </c>
      <c r="B174" s="219"/>
      <c r="C174" s="1304"/>
      <c r="D174" s="211"/>
      <c r="E174" s="1319"/>
      <c r="F174" s="1308">
        <f t="shared" si="133"/>
        <v>0</v>
      </c>
      <c r="G174" s="210"/>
      <c r="H174" s="211"/>
      <c r="I174" s="211"/>
      <c r="J174" s="212">
        <f t="shared" si="134"/>
        <v>0</v>
      </c>
      <c r="K174" s="907"/>
      <c r="L174" s="218" t="s">
        <v>450</v>
      </c>
      <c r="M174" s="219"/>
      <c r="N174" s="1304"/>
      <c r="O174" s="211"/>
      <c r="P174" s="1319"/>
      <c r="Q174" s="1308">
        <f t="shared" si="135"/>
        <v>0</v>
      </c>
      <c r="R174" s="210"/>
      <c r="S174" s="211"/>
      <c r="T174" s="211"/>
      <c r="U174" s="212">
        <f t="shared" si="136"/>
        <v>0</v>
      </c>
      <c r="V174" s="192"/>
      <c r="W174" s="118"/>
      <c r="X174" s="118"/>
      <c r="Y174" s="118"/>
    </row>
    <row r="175" spans="1:25">
      <c r="A175" s="220" t="s">
        <v>451</v>
      </c>
      <c r="B175" s="221"/>
      <c r="C175" s="1310"/>
      <c r="D175" s="223"/>
      <c r="E175" s="1320"/>
      <c r="F175" s="1311">
        <f t="shared" si="133"/>
        <v>0</v>
      </c>
      <c r="G175" s="222"/>
      <c r="H175" s="223"/>
      <c r="I175" s="223"/>
      <c r="J175" s="212">
        <f t="shared" si="134"/>
        <v>0</v>
      </c>
      <c r="K175" s="907"/>
      <c r="L175" s="220" t="s">
        <v>451</v>
      </c>
      <c r="M175" s="221"/>
      <c r="N175" s="1310"/>
      <c r="O175" s="223"/>
      <c r="P175" s="1320"/>
      <c r="Q175" s="1311">
        <f t="shared" si="135"/>
        <v>0</v>
      </c>
      <c r="R175" s="210"/>
      <c r="S175" s="223"/>
      <c r="T175" s="223"/>
      <c r="U175" s="212">
        <f t="shared" si="136"/>
        <v>0</v>
      </c>
      <c r="V175" s="192"/>
      <c r="W175" s="118"/>
      <c r="X175" s="118"/>
      <c r="Y175" s="118"/>
    </row>
    <row r="176" spans="1:25" ht="12.75" thickBot="1">
      <c r="A176" s="220" t="s">
        <v>452</v>
      </c>
      <c r="B176" s="221"/>
      <c r="C176" s="1310"/>
      <c r="D176" s="223"/>
      <c r="E176" s="1320"/>
      <c r="F176" s="1311">
        <f t="shared" si="133"/>
        <v>0</v>
      </c>
      <c r="G176" s="222"/>
      <c r="H176" s="223"/>
      <c r="I176" s="223"/>
      <c r="J176" s="212">
        <f t="shared" si="134"/>
        <v>0</v>
      </c>
      <c r="K176" s="907"/>
      <c r="L176" s="220" t="s">
        <v>452</v>
      </c>
      <c r="M176" s="221"/>
      <c r="N176" s="1310"/>
      <c r="O176" s="223"/>
      <c r="P176" s="1320"/>
      <c r="Q176" s="1311">
        <f t="shared" si="135"/>
        <v>0</v>
      </c>
      <c r="R176" s="222"/>
      <c r="S176" s="223"/>
      <c r="T176" s="223"/>
      <c r="U176" s="212">
        <f t="shared" si="136"/>
        <v>0</v>
      </c>
      <c r="V176" s="192"/>
      <c r="W176" s="118"/>
      <c r="X176" s="118"/>
      <c r="Y176" s="118"/>
    </row>
    <row r="177" spans="1:25" ht="12.75" thickBot="1">
      <c r="A177" s="191" t="s">
        <v>453</v>
      </c>
      <c r="B177" s="213">
        <f t="shared" ref="B177:J177" si="137">+B169+B170+B171+B172+B173+B174+B175+B176</f>
        <v>0</v>
      </c>
      <c r="C177" s="1305">
        <f t="shared" si="137"/>
        <v>4509</v>
      </c>
      <c r="D177" s="213">
        <f t="shared" ref="D177:E177" si="138">+D169+D170+D171+D172+D173+D174+D175+D176</f>
        <v>4509</v>
      </c>
      <c r="E177" s="1312">
        <f t="shared" si="138"/>
        <v>0</v>
      </c>
      <c r="F177" s="1309">
        <f t="shared" si="137"/>
        <v>4509</v>
      </c>
      <c r="G177" s="215">
        <f t="shared" si="137"/>
        <v>0</v>
      </c>
      <c r="H177" s="213">
        <f t="shared" si="137"/>
        <v>0</v>
      </c>
      <c r="I177" s="213">
        <f t="shared" si="137"/>
        <v>0</v>
      </c>
      <c r="J177" s="214">
        <f t="shared" si="137"/>
        <v>4509</v>
      </c>
      <c r="L177" s="191" t="s">
        <v>453</v>
      </c>
      <c r="M177" s="213">
        <f t="shared" ref="M177:U177" si="139">+M169+M170+M171+M172+M173+M174+M175+M176</f>
        <v>0</v>
      </c>
      <c r="N177" s="1305">
        <f t="shared" si="139"/>
        <v>40360</v>
      </c>
      <c r="O177" s="213">
        <f t="shared" ref="O177:P177" si="140">+O169+O170+O171+O172+O173+O174+O175+O176</f>
        <v>40360</v>
      </c>
      <c r="P177" s="1312">
        <f t="shared" si="140"/>
        <v>0</v>
      </c>
      <c r="Q177" s="1309">
        <f t="shared" si="139"/>
        <v>40360</v>
      </c>
      <c r="R177" s="215">
        <f t="shared" si="139"/>
        <v>0</v>
      </c>
      <c r="S177" s="213">
        <f t="shared" si="139"/>
        <v>0</v>
      </c>
      <c r="T177" s="213">
        <f t="shared" si="139"/>
        <v>0</v>
      </c>
      <c r="U177" s="214">
        <f t="shared" si="139"/>
        <v>40360</v>
      </c>
      <c r="V177" s="192"/>
      <c r="X177" s="907"/>
    </row>
    <row r="178" spans="1:25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907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</row>
    <row r="180" spans="1:25" s="900" customFormat="1" ht="15.75">
      <c r="A180" s="190" t="s">
        <v>1366</v>
      </c>
      <c r="B180" s="972" t="s">
        <v>1378</v>
      </c>
      <c r="C180" s="1113"/>
      <c r="D180" s="1113"/>
      <c r="E180" s="1113"/>
      <c r="F180" s="972"/>
      <c r="G180" s="972"/>
      <c r="H180" s="972"/>
      <c r="I180" s="972"/>
      <c r="J180" s="972"/>
      <c r="K180" s="803"/>
      <c r="L180" s="190" t="s">
        <v>1367</v>
      </c>
      <c r="M180" s="972" t="s">
        <v>1510</v>
      </c>
      <c r="N180" s="1113"/>
      <c r="O180" s="1113"/>
      <c r="P180" s="1113"/>
      <c r="Q180" s="972"/>
      <c r="R180" s="972"/>
      <c r="S180" s="972"/>
      <c r="T180" s="972"/>
      <c r="U180" s="972"/>
      <c r="V180" s="972"/>
    </row>
    <row r="181" spans="1:25" s="900" customFormat="1" ht="15.75" customHeight="1">
      <c r="A181" s="1474" t="s">
        <v>1379</v>
      </c>
      <c r="B181" s="1474"/>
      <c r="C181" s="1474"/>
      <c r="D181" s="1474"/>
      <c r="E181" s="1474"/>
      <c r="F181" s="1474"/>
      <c r="G181" s="1474"/>
      <c r="H181" s="1474"/>
      <c r="I181" s="1474"/>
      <c r="J181" s="1474"/>
      <c r="K181" s="803"/>
      <c r="L181" s="1474" t="s">
        <v>1380</v>
      </c>
      <c r="M181" s="1474"/>
      <c r="N181" s="1474"/>
      <c r="O181" s="1474"/>
      <c r="P181" s="1474"/>
      <c r="Q181" s="1474"/>
      <c r="R181" s="1474"/>
      <c r="S181" s="1474"/>
      <c r="T181" s="1474"/>
      <c r="U181" s="1474"/>
      <c r="V181" s="966"/>
    </row>
    <row r="182" spans="1:25" s="900" customFormat="1" ht="15.75">
      <c r="A182" s="1473" t="s">
        <v>1109</v>
      </c>
      <c r="B182" s="1473"/>
      <c r="C182" s="1473"/>
      <c r="D182" s="1473"/>
      <c r="E182" s="1473"/>
      <c r="F182" s="1473"/>
      <c r="G182" s="1473"/>
      <c r="H182" s="1473"/>
      <c r="I182" s="1473"/>
      <c r="J182" s="1473"/>
      <c r="K182" s="803"/>
      <c r="L182" s="1473" t="s">
        <v>1109</v>
      </c>
      <c r="M182" s="1473"/>
      <c r="N182" s="1473"/>
      <c r="O182" s="1473"/>
      <c r="P182" s="1473"/>
      <c r="Q182" s="1473"/>
      <c r="R182" s="1473"/>
      <c r="S182" s="1473"/>
      <c r="T182" s="1473"/>
      <c r="U182" s="1473"/>
      <c r="V182" s="971"/>
    </row>
    <row r="183" spans="1:25" s="903" customFormat="1" ht="12.75" thickBot="1">
      <c r="A183" s="902"/>
      <c r="B183" s="902"/>
      <c r="G183" s="902"/>
      <c r="H183" s="902"/>
      <c r="J183" s="235" t="s">
        <v>280</v>
      </c>
      <c r="K183" s="904"/>
      <c r="L183" s="902"/>
      <c r="M183" s="902"/>
      <c r="N183" s="902"/>
      <c r="O183" s="902"/>
      <c r="P183" s="902"/>
      <c r="Q183" s="902"/>
      <c r="R183" s="902"/>
      <c r="S183" s="902"/>
      <c r="U183" s="235" t="s">
        <v>280</v>
      </c>
      <c r="V183" s="890"/>
    </row>
    <row r="184" spans="1:25" s="906" customFormat="1" ht="36.75" thickBot="1">
      <c r="A184" s="394" t="s">
        <v>431</v>
      </c>
      <c r="B184" s="395" t="s">
        <v>1434</v>
      </c>
      <c r="C184" s="1165" t="s">
        <v>1586</v>
      </c>
      <c r="D184" s="6" t="s">
        <v>1587</v>
      </c>
      <c r="E184" s="6" t="s">
        <v>1658</v>
      </c>
      <c r="F184" s="7" t="s">
        <v>1659</v>
      </c>
      <c r="G184" s="374" t="s">
        <v>460</v>
      </c>
      <c r="H184" s="375" t="s">
        <v>461</v>
      </c>
      <c r="I184" s="375" t="s">
        <v>1435</v>
      </c>
      <c r="J184" s="1114" t="s">
        <v>18</v>
      </c>
      <c r="K184" s="905"/>
      <c r="L184" s="394" t="s">
        <v>431</v>
      </c>
      <c r="M184" s="395" t="s">
        <v>1434</v>
      </c>
      <c r="N184" s="1165" t="s">
        <v>1586</v>
      </c>
      <c r="O184" s="6" t="s">
        <v>1587</v>
      </c>
      <c r="P184" s="6" t="s">
        <v>1658</v>
      </c>
      <c r="Q184" s="7" t="s">
        <v>1659</v>
      </c>
      <c r="R184" s="374" t="s">
        <v>460</v>
      </c>
      <c r="S184" s="375" t="s">
        <v>461</v>
      </c>
      <c r="T184" s="375" t="s">
        <v>1435</v>
      </c>
      <c r="U184" s="1114" t="s">
        <v>18</v>
      </c>
      <c r="V184" s="891"/>
    </row>
    <row r="185" spans="1:25">
      <c r="A185" s="198" t="s">
        <v>432</v>
      </c>
      <c r="B185" s="199">
        <f t="shared" ref="B185:J185" si="141">+B202-B190-B189-B188-B187</f>
        <v>0</v>
      </c>
      <c r="C185" s="1302">
        <f t="shared" si="141"/>
        <v>67673</v>
      </c>
      <c r="D185" s="201">
        <f t="shared" ref="D185" si="142">+D202-D190-D189-D188-D187</f>
        <v>67673</v>
      </c>
      <c r="E185" s="201"/>
      <c r="F185" s="1306">
        <f t="shared" ref="F185" si="143">+F202-F190-F189-F188-F187</f>
        <v>67673</v>
      </c>
      <c r="G185" s="200">
        <f t="shared" si="141"/>
        <v>0</v>
      </c>
      <c r="H185" s="201">
        <f t="shared" si="141"/>
        <v>0</v>
      </c>
      <c r="I185" s="201">
        <f t="shared" si="141"/>
        <v>0</v>
      </c>
      <c r="J185" s="202">
        <f t="shared" si="141"/>
        <v>67673</v>
      </c>
      <c r="K185" s="907"/>
      <c r="L185" s="198" t="s">
        <v>432</v>
      </c>
      <c r="M185" s="199">
        <f t="shared" ref="M185:U185" si="144">+M202-M190-M189-M188-M187</f>
        <v>0</v>
      </c>
      <c r="N185" s="1302">
        <f t="shared" si="144"/>
        <v>7553</v>
      </c>
      <c r="O185" s="201">
        <f t="shared" ref="O185" si="145">+O202-O190-O189-O188-O187</f>
        <v>7553</v>
      </c>
      <c r="P185" s="201"/>
      <c r="Q185" s="1306">
        <f t="shared" ref="Q185" si="146">+Q202-Q190-Q189-Q188-Q187</f>
        <v>7553</v>
      </c>
      <c r="R185" s="200">
        <f t="shared" si="144"/>
        <v>0</v>
      </c>
      <c r="S185" s="201">
        <f t="shared" si="144"/>
        <v>0</v>
      </c>
      <c r="T185" s="201">
        <f t="shared" si="144"/>
        <v>0</v>
      </c>
      <c r="U185" s="202">
        <f t="shared" si="144"/>
        <v>7553</v>
      </c>
      <c r="V185" s="192"/>
    </row>
    <row r="186" spans="1:25">
      <c r="A186" s="203" t="s">
        <v>433</v>
      </c>
      <c r="B186" s="204"/>
      <c r="C186" s="1303"/>
      <c r="D186" s="206"/>
      <c r="E186" s="206"/>
      <c r="F186" s="1307">
        <f>+D186+E186</f>
        <v>0</v>
      </c>
      <c r="G186" s="205"/>
      <c r="H186" s="206"/>
      <c r="I186" s="206"/>
      <c r="J186" s="207">
        <f>+B186+F186+G186+H186+I186</f>
        <v>0</v>
      </c>
      <c r="K186" s="907"/>
      <c r="L186" s="203" t="s">
        <v>433</v>
      </c>
      <c r="M186" s="204"/>
      <c r="N186" s="1303"/>
      <c r="O186" s="206"/>
      <c r="P186" s="206"/>
      <c r="Q186" s="1307">
        <f>+O186+P186</f>
        <v>0</v>
      </c>
      <c r="R186" s="205"/>
      <c r="S186" s="206"/>
      <c r="T186" s="206"/>
      <c r="U186" s="207">
        <f>+M186+Q186+R186+S186+T186</f>
        <v>0</v>
      </c>
      <c r="V186" s="892"/>
      <c r="W186" s="118"/>
    </row>
    <row r="187" spans="1:25">
      <c r="A187" s="208" t="s">
        <v>434</v>
      </c>
      <c r="B187" s="209"/>
      <c r="C187" s="1304"/>
      <c r="D187" s="211"/>
      <c r="E187" s="211"/>
      <c r="F187" s="1308">
        <f t="shared" ref="F187:F190" si="147">+D187+E187</f>
        <v>0</v>
      </c>
      <c r="G187" s="210"/>
      <c r="H187" s="211"/>
      <c r="I187" s="211"/>
      <c r="J187" s="212">
        <f>+B187+F187+G187+H187+I187</f>
        <v>0</v>
      </c>
      <c r="K187" s="907"/>
      <c r="L187" s="208" t="s">
        <v>434</v>
      </c>
      <c r="M187" s="209"/>
      <c r="N187" s="1304"/>
      <c r="O187" s="211"/>
      <c r="P187" s="211"/>
      <c r="Q187" s="1308">
        <f t="shared" ref="Q187:Q190" si="148">+O187+P187</f>
        <v>0</v>
      </c>
      <c r="R187" s="210"/>
      <c r="S187" s="211"/>
      <c r="T187" s="211"/>
      <c r="U187" s="212">
        <f>+M187+Q187+R187+S187+T187</f>
        <v>0</v>
      </c>
      <c r="V187" s="192"/>
      <c r="W187" s="118"/>
      <c r="X187" s="118"/>
      <c r="Y187" s="118"/>
    </row>
    <row r="188" spans="1:25">
      <c r="A188" s="208" t="s">
        <v>435</v>
      </c>
      <c r="B188" s="209"/>
      <c r="C188" s="1304"/>
      <c r="D188" s="211"/>
      <c r="E188" s="211"/>
      <c r="F188" s="1308">
        <f t="shared" si="147"/>
        <v>0</v>
      </c>
      <c r="G188" s="210"/>
      <c r="H188" s="211"/>
      <c r="I188" s="211"/>
      <c r="J188" s="212">
        <f>+B188+F188+G188+H188+I188</f>
        <v>0</v>
      </c>
      <c r="K188" s="907"/>
      <c r="L188" s="208" t="s">
        <v>435</v>
      </c>
      <c r="M188" s="209"/>
      <c r="N188" s="1304"/>
      <c r="O188" s="211"/>
      <c r="P188" s="211"/>
      <c r="Q188" s="1308">
        <f t="shared" si="148"/>
        <v>0</v>
      </c>
      <c r="R188" s="210"/>
      <c r="S188" s="211"/>
      <c r="T188" s="211"/>
      <c r="U188" s="212">
        <f>+M188+Q188+R188+S188+T188</f>
        <v>0</v>
      </c>
      <c r="V188" s="192"/>
      <c r="W188" s="118"/>
    </row>
    <row r="189" spans="1:25">
      <c r="A189" s="208" t="s">
        <v>436</v>
      </c>
      <c r="B189" s="209"/>
      <c r="C189" s="1304"/>
      <c r="D189" s="211"/>
      <c r="E189" s="211"/>
      <c r="F189" s="1308">
        <f t="shared" si="147"/>
        <v>0</v>
      </c>
      <c r="G189" s="210"/>
      <c r="H189" s="211"/>
      <c r="I189" s="211"/>
      <c r="J189" s="212">
        <f>+B189+F189+G189+H189+I189</f>
        <v>0</v>
      </c>
      <c r="K189" s="907"/>
      <c r="L189" s="208" t="s">
        <v>436</v>
      </c>
      <c r="M189" s="209"/>
      <c r="N189" s="1304"/>
      <c r="O189" s="211"/>
      <c r="P189" s="211"/>
      <c r="Q189" s="1308">
        <f t="shared" si="148"/>
        <v>0</v>
      </c>
      <c r="R189" s="210"/>
      <c r="S189" s="211"/>
      <c r="T189" s="211"/>
      <c r="U189" s="212">
        <f>+M189+Q189+R189+S189+T189</f>
        <v>0</v>
      </c>
      <c r="V189" s="192"/>
      <c r="W189" s="118"/>
    </row>
    <row r="190" spans="1:25" ht="12.75" thickBot="1">
      <c r="A190" s="208" t="s">
        <v>437</v>
      </c>
      <c r="B190" s="209"/>
      <c r="C190" s="1304"/>
      <c r="D190" s="211"/>
      <c r="E190" s="211"/>
      <c r="F190" s="1308">
        <f t="shared" si="147"/>
        <v>0</v>
      </c>
      <c r="G190" s="210"/>
      <c r="H190" s="211"/>
      <c r="I190" s="211"/>
      <c r="J190" s="212">
        <f>+B190+F190+G190+H190+I190</f>
        <v>0</v>
      </c>
      <c r="K190" s="907"/>
      <c r="L190" s="208" t="s">
        <v>437</v>
      </c>
      <c r="M190" s="209"/>
      <c r="N190" s="1304"/>
      <c r="O190" s="211"/>
      <c r="P190" s="211"/>
      <c r="Q190" s="1308">
        <f t="shared" si="148"/>
        <v>0</v>
      </c>
      <c r="R190" s="210"/>
      <c r="S190" s="211"/>
      <c r="T190" s="211"/>
      <c r="U190" s="212">
        <f>+M190+Q190+R190+S190+T190</f>
        <v>0</v>
      </c>
      <c r="V190" s="192"/>
      <c r="W190" s="118"/>
    </row>
    <row r="191" spans="1:25" ht="12.75" thickBot="1">
      <c r="A191" s="191" t="s">
        <v>438</v>
      </c>
      <c r="B191" s="213">
        <f t="shared" ref="B191:J191" si="149">+B185+B187+B188+B189+B190</f>
        <v>0</v>
      </c>
      <c r="C191" s="1305">
        <f t="shared" si="149"/>
        <v>67673</v>
      </c>
      <c r="D191" s="213">
        <f t="shared" ref="D191:E191" si="150">+D185+D187+D188+D189+D190</f>
        <v>67673</v>
      </c>
      <c r="E191" s="213">
        <f t="shared" si="150"/>
        <v>0</v>
      </c>
      <c r="F191" s="1309">
        <f t="shared" si="149"/>
        <v>67673</v>
      </c>
      <c r="G191" s="215">
        <f t="shared" si="149"/>
        <v>0</v>
      </c>
      <c r="H191" s="213">
        <f t="shared" si="149"/>
        <v>0</v>
      </c>
      <c r="I191" s="213">
        <f t="shared" si="149"/>
        <v>0</v>
      </c>
      <c r="J191" s="214">
        <f t="shared" si="149"/>
        <v>67673</v>
      </c>
      <c r="K191" s="907"/>
      <c r="L191" s="191" t="s">
        <v>438</v>
      </c>
      <c r="M191" s="213">
        <f t="shared" ref="M191:U191" si="151">+M185+M187+M188+M189+M190</f>
        <v>0</v>
      </c>
      <c r="N191" s="1305">
        <f t="shared" si="151"/>
        <v>7553</v>
      </c>
      <c r="O191" s="213">
        <f t="shared" ref="O191:P191" si="152">+O185+O187+O188+O189+O190</f>
        <v>7553</v>
      </c>
      <c r="P191" s="213">
        <f t="shared" si="152"/>
        <v>0</v>
      </c>
      <c r="Q191" s="1309">
        <f t="shared" si="151"/>
        <v>7553</v>
      </c>
      <c r="R191" s="215">
        <f t="shared" si="151"/>
        <v>0</v>
      </c>
      <c r="S191" s="213">
        <f t="shared" si="151"/>
        <v>0</v>
      </c>
      <c r="T191" s="213">
        <f t="shared" si="151"/>
        <v>0</v>
      </c>
      <c r="U191" s="214">
        <f t="shared" si="151"/>
        <v>7553</v>
      </c>
      <c r="V191" s="192"/>
    </row>
    <row r="192" spans="1:25" ht="12.75" thickBot="1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907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</row>
    <row r="193" spans="1:25" s="906" customFormat="1" ht="36.75" thickBot="1">
      <c r="A193" s="394" t="s">
        <v>439</v>
      </c>
      <c r="B193" s="395" t="s">
        <v>1434</v>
      </c>
      <c r="C193" s="1165" t="s">
        <v>1586</v>
      </c>
      <c r="D193" s="6" t="s">
        <v>1587</v>
      </c>
      <c r="E193" s="6" t="s">
        <v>1658</v>
      </c>
      <c r="F193" s="7" t="s">
        <v>1659</v>
      </c>
      <c r="G193" s="374" t="s">
        <v>460</v>
      </c>
      <c r="H193" s="375" t="s">
        <v>461</v>
      </c>
      <c r="I193" s="375" t="s">
        <v>1435</v>
      </c>
      <c r="J193" s="1114" t="s">
        <v>18</v>
      </c>
      <c r="K193" s="909"/>
      <c r="L193" s="394" t="s">
        <v>439</v>
      </c>
      <c r="M193" s="395" t="s">
        <v>1434</v>
      </c>
      <c r="N193" s="1165" t="s">
        <v>1586</v>
      </c>
      <c r="O193" s="6" t="s">
        <v>1587</v>
      </c>
      <c r="P193" s="6" t="s">
        <v>1658</v>
      </c>
      <c r="Q193" s="7" t="s">
        <v>1659</v>
      </c>
      <c r="R193" s="374" t="s">
        <v>460</v>
      </c>
      <c r="S193" s="375" t="s">
        <v>461</v>
      </c>
      <c r="T193" s="375" t="s">
        <v>1435</v>
      </c>
      <c r="U193" s="1114" t="s">
        <v>18</v>
      </c>
      <c r="V193" s="891"/>
    </row>
    <row r="194" spans="1:25">
      <c r="A194" s="198" t="s">
        <v>445</v>
      </c>
      <c r="B194" s="199"/>
      <c r="C194" s="1302"/>
      <c r="D194" s="201"/>
      <c r="E194" s="1318"/>
      <c r="F194" s="1306">
        <f t="shared" ref="F194:F201" si="153">+D194+E194</f>
        <v>0</v>
      </c>
      <c r="G194" s="200"/>
      <c r="H194" s="201"/>
      <c r="I194" s="201"/>
      <c r="J194" s="202">
        <f t="shared" ref="J194:J201" si="154">+B194+F194+G194+H194+I194</f>
        <v>0</v>
      </c>
      <c r="K194" s="907"/>
      <c r="L194" s="198" t="s">
        <v>445</v>
      </c>
      <c r="M194" s="199"/>
      <c r="N194" s="1302"/>
      <c r="O194" s="201"/>
      <c r="P194" s="1318"/>
      <c r="Q194" s="1306">
        <f t="shared" ref="Q194:Q201" si="155">+O194+P194</f>
        <v>0</v>
      </c>
      <c r="R194" s="200"/>
      <c r="S194" s="201"/>
      <c r="T194" s="201"/>
      <c r="U194" s="202">
        <f t="shared" ref="U194:U201" si="156">+M194+Q194+R194+S194+T194</f>
        <v>0</v>
      </c>
      <c r="V194" s="192"/>
      <c r="W194" s="118"/>
      <c r="X194" s="118"/>
      <c r="Y194" s="118"/>
    </row>
    <row r="195" spans="1:25">
      <c r="A195" s="217" t="s">
        <v>446</v>
      </c>
      <c r="B195" s="209"/>
      <c r="C195" s="1304"/>
      <c r="D195" s="211"/>
      <c r="E195" s="1319"/>
      <c r="F195" s="1308">
        <f t="shared" si="153"/>
        <v>0</v>
      </c>
      <c r="G195" s="210"/>
      <c r="H195" s="211"/>
      <c r="I195" s="211"/>
      <c r="J195" s="212">
        <f t="shared" si="154"/>
        <v>0</v>
      </c>
      <c r="K195" s="907"/>
      <c r="L195" s="217" t="s">
        <v>446</v>
      </c>
      <c r="M195" s="209"/>
      <c r="N195" s="1304"/>
      <c r="O195" s="211"/>
      <c r="P195" s="1319"/>
      <c r="Q195" s="1308">
        <f t="shared" si="155"/>
        <v>0</v>
      </c>
      <c r="R195" s="210"/>
      <c r="S195" s="211"/>
      <c r="T195" s="211"/>
      <c r="U195" s="212">
        <f t="shared" si="156"/>
        <v>0</v>
      </c>
      <c r="V195" s="192"/>
      <c r="W195" s="118"/>
      <c r="X195" s="118"/>
      <c r="Y195" s="118"/>
    </row>
    <row r="196" spans="1:25">
      <c r="A196" s="208" t="s">
        <v>447</v>
      </c>
      <c r="B196" s="209"/>
      <c r="C196" s="1304"/>
      <c r="D196" s="211"/>
      <c r="E196" s="1319"/>
      <c r="F196" s="1308">
        <f t="shared" si="153"/>
        <v>0</v>
      </c>
      <c r="G196" s="210"/>
      <c r="H196" s="211"/>
      <c r="I196" s="211"/>
      <c r="J196" s="212">
        <f t="shared" si="154"/>
        <v>0</v>
      </c>
      <c r="K196" s="907"/>
      <c r="L196" s="208" t="s">
        <v>447</v>
      </c>
      <c r="M196" s="209"/>
      <c r="N196" s="1304"/>
      <c r="O196" s="211"/>
      <c r="P196" s="1319"/>
      <c r="Q196" s="1308">
        <f t="shared" si="155"/>
        <v>0</v>
      </c>
      <c r="R196" s="210"/>
      <c r="S196" s="211"/>
      <c r="T196" s="211"/>
      <c r="U196" s="212">
        <f t="shared" si="156"/>
        <v>0</v>
      </c>
      <c r="V196" s="192"/>
      <c r="W196" s="118"/>
      <c r="X196" s="118"/>
      <c r="Y196" s="118"/>
    </row>
    <row r="197" spans="1:25">
      <c r="A197" s="208" t="s">
        <v>448</v>
      </c>
      <c r="B197" s="209"/>
      <c r="C197" s="1304"/>
      <c r="D197" s="211"/>
      <c r="E197" s="1319"/>
      <c r="F197" s="1308">
        <f t="shared" si="153"/>
        <v>0</v>
      </c>
      <c r="G197" s="210"/>
      <c r="H197" s="211"/>
      <c r="I197" s="211"/>
      <c r="J197" s="212">
        <f t="shared" si="154"/>
        <v>0</v>
      </c>
      <c r="K197" s="907"/>
      <c r="L197" s="208" t="s">
        <v>448</v>
      </c>
      <c r="M197" s="209"/>
      <c r="N197" s="1304"/>
      <c r="O197" s="211"/>
      <c r="P197" s="1319"/>
      <c r="Q197" s="1308">
        <f t="shared" si="155"/>
        <v>0</v>
      </c>
      <c r="R197" s="210"/>
      <c r="S197" s="211"/>
      <c r="T197" s="211"/>
      <c r="U197" s="212">
        <f t="shared" si="156"/>
        <v>0</v>
      </c>
      <c r="V197" s="192"/>
      <c r="W197" s="118"/>
      <c r="Y197" s="118"/>
    </row>
    <row r="198" spans="1:25">
      <c r="A198" s="218" t="s">
        <v>449</v>
      </c>
      <c r="B198" s="219"/>
      <c r="C198" s="1304">
        <v>67673</v>
      </c>
      <c r="D198" s="211">
        <v>67673</v>
      </c>
      <c r="E198" s="1319"/>
      <c r="F198" s="1308">
        <f t="shared" si="153"/>
        <v>67673</v>
      </c>
      <c r="G198" s="210"/>
      <c r="H198" s="211"/>
      <c r="I198" s="211"/>
      <c r="J198" s="212">
        <f t="shared" si="154"/>
        <v>67673</v>
      </c>
      <c r="K198" s="907"/>
      <c r="L198" s="218" t="s">
        <v>449</v>
      </c>
      <c r="M198" s="219"/>
      <c r="N198" s="1304">
        <v>7553</v>
      </c>
      <c r="O198" s="211">
        <v>7553</v>
      </c>
      <c r="P198" s="1319"/>
      <c r="Q198" s="1308">
        <f t="shared" si="155"/>
        <v>7553</v>
      </c>
      <c r="R198" s="210"/>
      <c r="S198" s="211"/>
      <c r="T198" s="211"/>
      <c r="U198" s="212">
        <f t="shared" si="156"/>
        <v>7553</v>
      </c>
      <c r="V198" s="192"/>
      <c r="W198" s="118"/>
      <c r="X198" s="118"/>
      <c r="Y198" s="118"/>
    </row>
    <row r="199" spans="1:25">
      <c r="A199" s="218" t="s">
        <v>450</v>
      </c>
      <c r="B199" s="219"/>
      <c r="C199" s="1304"/>
      <c r="D199" s="211"/>
      <c r="E199" s="1319"/>
      <c r="F199" s="1308">
        <f t="shared" si="153"/>
        <v>0</v>
      </c>
      <c r="G199" s="210"/>
      <c r="H199" s="211"/>
      <c r="I199" s="211"/>
      <c r="J199" s="212">
        <f t="shared" si="154"/>
        <v>0</v>
      </c>
      <c r="K199" s="907"/>
      <c r="L199" s="218" t="s">
        <v>450</v>
      </c>
      <c r="M199" s="219"/>
      <c r="N199" s="1304"/>
      <c r="O199" s="211"/>
      <c r="P199" s="1319"/>
      <c r="Q199" s="1308">
        <f t="shared" si="155"/>
        <v>0</v>
      </c>
      <c r="R199" s="210"/>
      <c r="S199" s="211"/>
      <c r="T199" s="211"/>
      <c r="U199" s="212">
        <f t="shared" si="156"/>
        <v>0</v>
      </c>
      <c r="V199" s="192"/>
      <c r="W199" s="118"/>
      <c r="X199" s="118"/>
      <c r="Y199" s="118"/>
    </row>
    <row r="200" spans="1:25">
      <c r="A200" s="220" t="s">
        <v>451</v>
      </c>
      <c r="B200" s="221"/>
      <c r="C200" s="1310"/>
      <c r="D200" s="223"/>
      <c r="E200" s="1320"/>
      <c r="F200" s="1311">
        <f t="shared" si="153"/>
        <v>0</v>
      </c>
      <c r="G200" s="222"/>
      <c r="H200" s="223"/>
      <c r="I200" s="223"/>
      <c r="J200" s="212">
        <f t="shared" si="154"/>
        <v>0</v>
      </c>
      <c r="K200" s="907"/>
      <c r="L200" s="220" t="s">
        <v>451</v>
      </c>
      <c r="M200" s="221"/>
      <c r="N200" s="1310"/>
      <c r="O200" s="223"/>
      <c r="P200" s="1320"/>
      <c r="Q200" s="1311">
        <f t="shared" si="155"/>
        <v>0</v>
      </c>
      <c r="R200" s="210"/>
      <c r="S200" s="223"/>
      <c r="T200" s="223"/>
      <c r="U200" s="212">
        <f t="shared" si="156"/>
        <v>0</v>
      </c>
      <c r="V200" s="192"/>
      <c r="W200" s="118"/>
      <c r="X200" s="118"/>
      <c r="Y200" s="118"/>
    </row>
    <row r="201" spans="1:25" ht="12.75" thickBot="1">
      <c r="A201" s="220" t="s">
        <v>452</v>
      </c>
      <c r="B201" s="221"/>
      <c r="C201" s="1310"/>
      <c r="D201" s="223"/>
      <c r="E201" s="1320"/>
      <c r="F201" s="1311">
        <f t="shared" si="153"/>
        <v>0</v>
      </c>
      <c r="G201" s="222"/>
      <c r="H201" s="223"/>
      <c r="I201" s="223"/>
      <c r="J201" s="212">
        <f t="shared" si="154"/>
        <v>0</v>
      </c>
      <c r="K201" s="907"/>
      <c r="L201" s="220" t="s">
        <v>452</v>
      </c>
      <c r="M201" s="221"/>
      <c r="N201" s="1310"/>
      <c r="O201" s="223"/>
      <c r="P201" s="1320"/>
      <c r="Q201" s="1311">
        <f t="shared" si="155"/>
        <v>0</v>
      </c>
      <c r="R201" s="222"/>
      <c r="S201" s="223"/>
      <c r="T201" s="223"/>
      <c r="U201" s="212">
        <f t="shared" si="156"/>
        <v>0</v>
      </c>
      <c r="V201" s="192"/>
      <c r="W201" s="118"/>
      <c r="X201" s="118"/>
      <c r="Y201" s="118"/>
    </row>
    <row r="202" spans="1:25" ht="12.75" thickBot="1">
      <c r="A202" s="191" t="s">
        <v>453</v>
      </c>
      <c r="B202" s="213">
        <f t="shared" ref="B202:J202" si="157">+B194+B195+B196+B197+B198+B199+B200+B201</f>
        <v>0</v>
      </c>
      <c r="C202" s="1305">
        <f t="shared" si="157"/>
        <v>67673</v>
      </c>
      <c r="D202" s="213">
        <f t="shared" ref="D202:E202" si="158">+D194+D195+D196+D197+D198+D199+D200+D201</f>
        <v>67673</v>
      </c>
      <c r="E202" s="1312">
        <f t="shared" si="158"/>
        <v>0</v>
      </c>
      <c r="F202" s="1309">
        <f t="shared" si="157"/>
        <v>67673</v>
      </c>
      <c r="G202" s="215">
        <f t="shared" si="157"/>
        <v>0</v>
      </c>
      <c r="H202" s="213">
        <f t="shared" si="157"/>
        <v>0</v>
      </c>
      <c r="I202" s="213">
        <f t="shared" si="157"/>
        <v>0</v>
      </c>
      <c r="J202" s="214">
        <f t="shared" si="157"/>
        <v>67673</v>
      </c>
      <c r="L202" s="191" t="s">
        <v>453</v>
      </c>
      <c r="M202" s="213">
        <f t="shared" ref="M202:U202" si="159">+M194+M195+M196+M197+M198+M199+M200+M201</f>
        <v>0</v>
      </c>
      <c r="N202" s="1305">
        <f t="shared" si="159"/>
        <v>7553</v>
      </c>
      <c r="O202" s="213">
        <f t="shared" ref="O202:P202" si="160">+O194+O195+O196+O197+O198+O199+O200+O201</f>
        <v>7553</v>
      </c>
      <c r="P202" s="1312">
        <f t="shared" si="160"/>
        <v>0</v>
      </c>
      <c r="Q202" s="1309">
        <f t="shared" si="159"/>
        <v>7553</v>
      </c>
      <c r="R202" s="215">
        <f t="shared" si="159"/>
        <v>0</v>
      </c>
      <c r="S202" s="213">
        <f t="shared" si="159"/>
        <v>0</v>
      </c>
      <c r="T202" s="213">
        <f t="shared" si="159"/>
        <v>0</v>
      </c>
      <c r="U202" s="214">
        <f t="shared" si="159"/>
        <v>7553</v>
      </c>
      <c r="V202" s="192"/>
      <c r="X202" s="907"/>
    </row>
    <row r="203" spans="1:25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907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5" spans="1:25" s="900" customFormat="1" ht="15.75">
      <c r="A205" s="190" t="s">
        <v>1368</v>
      </c>
      <c r="B205" s="972" t="s">
        <v>1381</v>
      </c>
      <c r="C205" s="1113"/>
      <c r="D205" s="1113"/>
      <c r="E205" s="1113"/>
      <c r="F205" s="972"/>
      <c r="G205" s="972"/>
      <c r="H205" s="972"/>
      <c r="I205" s="972"/>
      <c r="J205" s="972"/>
      <c r="K205" s="803"/>
      <c r="L205" s="190" t="s">
        <v>1369</v>
      </c>
      <c r="M205" s="972" t="s">
        <v>1383</v>
      </c>
      <c r="N205" s="1113"/>
      <c r="O205" s="1113"/>
      <c r="P205" s="1113"/>
      <c r="Q205" s="972"/>
      <c r="R205" s="972"/>
      <c r="S205" s="972"/>
      <c r="T205" s="972"/>
      <c r="U205" s="972"/>
      <c r="V205" s="972"/>
    </row>
    <row r="206" spans="1:25" s="900" customFormat="1" ht="15.75" customHeight="1">
      <c r="A206" s="1474" t="s">
        <v>1382</v>
      </c>
      <c r="B206" s="1474"/>
      <c r="C206" s="1474"/>
      <c r="D206" s="1474"/>
      <c r="E206" s="1474"/>
      <c r="F206" s="1474"/>
      <c r="G206" s="1474"/>
      <c r="H206" s="1474"/>
      <c r="I206" s="1474"/>
      <c r="J206" s="1474"/>
      <c r="K206" s="803"/>
      <c r="L206" s="1474" t="s">
        <v>1384</v>
      </c>
      <c r="M206" s="1474"/>
      <c r="N206" s="1474"/>
      <c r="O206" s="1474"/>
      <c r="P206" s="1474"/>
      <c r="Q206" s="1474"/>
      <c r="R206" s="1474"/>
      <c r="S206" s="1474"/>
      <c r="T206" s="1474"/>
      <c r="U206" s="1474"/>
      <c r="V206" s="966"/>
    </row>
    <row r="207" spans="1:25" s="900" customFormat="1" ht="15.75">
      <c r="A207" s="1473" t="s">
        <v>1109</v>
      </c>
      <c r="B207" s="1473"/>
      <c r="C207" s="1473"/>
      <c r="D207" s="1473"/>
      <c r="E207" s="1473"/>
      <c r="F207" s="1473"/>
      <c r="G207" s="1473"/>
      <c r="H207" s="1473"/>
      <c r="I207" s="1473"/>
      <c r="J207" s="1473"/>
      <c r="K207" s="803"/>
      <c r="L207" s="1473" t="s">
        <v>1109</v>
      </c>
      <c r="M207" s="1473"/>
      <c r="N207" s="1473"/>
      <c r="O207" s="1473"/>
      <c r="P207" s="1473"/>
      <c r="Q207" s="1473"/>
      <c r="R207" s="1473"/>
      <c r="S207" s="1473"/>
      <c r="T207" s="1473"/>
      <c r="U207" s="1473"/>
      <c r="V207" s="971"/>
    </row>
    <row r="208" spans="1:25" s="903" customFormat="1" ht="12.75" thickBot="1">
      <c r="A208" s="902"/>
      <c r="B208" s="902"/>
      <c r="G208" s="902"/>
      <c r="H208" s="902"/>
      <c r="J208" s="235" t="s">
        <v>280</v>
      </c>
      <c r="K208" s="904"/>
      <c r="L208" s="902"/>
      <c r="M208" s="902"/>
      <c r="N208" s="902"/>
      <c r="O208" s="902"/>
      <c r="P208" s="902"/>
      <c r="Q208" s="902"/>
      <c r="R208" s="902"/>
      <c r="S208" s="902"/>
      <c r="U208" s="235" t="s">
        <v>280</v>
      </c>
      <c r="V208" s="890"/>
    </row>
    <row r="209" spans="1:25" s="906" customFormat="1" ht="36.75" thickBot="1">
      <c r="A209" s="394" t="s">
        <v>431</v>
      </c>
      <c r="B209" s="395" t="s">
        <v>1434</v>
      </c>
      <c r="C209" s="1165" t="s">
        <v>1586</v>
      </c>
      <c r="D209" s="6" t="s">
        <v>1587</v>
      </c>
      <c r="E209" s="6" t="s">
        <v>1658</v>
      </c>
      <c r="F209" s="7" t="s">
        <v>1659</v>
      </c>
      <c r="G209" s="374" t="s">
        <v>460</v>
      </c>
      <c r="H209" s="375" t="s">
        <v>461</v>
      </c>
      <c r="I209" s="375" t="s">
        <v>1435</v>
      </c>
      <c r="J209" s="1114" t="s">
        <v>18</v>
      </c>
      <c r="K209" s="905"/>
      <c r="L209" s="394" t="s">
        <v>431</v>
      </c>
      <c r="M209" s="395" t="s">
        <v>1434</v>
      </c>
      <c r="N209" s="1165" t="s">
        <v>1586</v>
      </c>
      <c r="O209" s="6" t="s">
        <v>1587</v>
      </c>
      <c r="P209" s="6" t="s">
        <v>1658</v>
      </c>
      <c r="Q209" s="7" t="s">
        <v>1659</v>
      </c>
      <c r="R209" s="374" t="s">
        <v>460</v>
      </c>
      <c r="S209" s="375" t="s">
        <v>461</v>
      </c>
      <c r="T209" s="375" t="s">
        <v>1435</v>
      </c>
      <c r="U209" s="1114" t="s">
        <v>18</v>
      </c>
      <c r="V209" s="891"/>
    </row>
    <row r="210" spans="1:25">
      <c r="A210" s="198" t="s">
        <v>432</v>
      </c>
      <c r="B210" s="199">
        <f t="shared" ref="B210:J210" si="161">+B227-B215-B214-B213-B212</f>
        <v>0</v>
      </c>
      <c r="C210" s="1302">
        <f t="shared" si="161"/>
        <v>2976</v>
      </c>
      <c r="D210" s="201">
        <f t="shared" ref="D210" si="162">+D227-D215-D214-D213-D212</f>
        <v>2976</v>
      </c>
      <c r="E210" s="201"/>
      <c r="F210" s="1306">
        <f t="shared" ref="F210" si="163">+F227-F215-F214-F213-F212</f>
        <v>2976</v>
      </c>
      <c r="G210" s="200">
        <f t="shared" si="161"/>
        <v>0</v>
      </c>
      <c r="H210" s="201">
        <f t="shared" si="161"/>
        <v>0</v>
      </c>
      <c r="I210" s="201">
        <f t="shared" si="161"/>
        <v>0</v>
      </c>
      <c r="J210" s="202">
        <f t="shared" si="161"/>
        <v>2976</v>
      </c>
      <c r="K210" s="907"/>
      <c r="L210" s="198" t="s">
        <v>432</v>
      </c>
      <c r="M210" s="199">
        <f t="shared" ref="M210:U210" si="164">+M227-M215-M214-M213-M212</f>
        <v>0</v>
      </c>
      <c r="N210" s="1302">
        <f t="shared" si="164"/>
        <v>10672</v>
      </c>
      <c r="O210" s="201">
        <f t="shared" ref="O210" si="165">+O227-O215-O214-O213-O212</f>
        <v>10672</v>
      </c>
      <c r="P210" s="201"/>
      <c r="Q210" s="1306">
        <f t="shared" ref="Q210" si="166">+Q227-Q215-Q214-Q213-Q212</f>
        <v>10672</v>
      </c>
      <c r="R210" s="200">
        <f t="shared" si="164"/>
        <v>0</v>
      </c>
      <c r="S210" s="201">
        <f t="shared" si="164"/>
        <v>0</v>
      </c>
      <c r="T210" s="201">
        <f t="shared" si="164"/>
        <v>0</v>
      </c>
      <c r="U210" s="202">
        <f t="shared" si="164"/>
        <v>10672</v>
      </c>
      <c r="V210" s="192"/>
    </row>
    <row r="211" spans="1:25">
      <c r="A211" s="203" t="s">
        <v>433</v>
      </c>
      <c r="B211" s="204"/>
      <c r="C211" s="1303"/>
      <c r="D211" s="206"/>
      <c r="E211" s="206"/>
      <c r="F211" s="1307">
        <f>+D211+E211</f>
        <v>0</v>
      </c>
      <c r="G211" s="205"/>
      <c r="H211" s="206"/>
      <c r="I211" s="206"/>
      <c r="J211" s="207">
        <f>+B211+F211+G211+H211+I211</f>
        <v>0</v>
      </c>
      <c r="K211" s="907"/>
      <c r="L211" s="203" t="s">
        <v>433</v>
      </c>
      <c r="M211" s="204"/>
      <c r="N211" s="1303"/>
      <c r="O211" s="206"/>
      <c r="P211" s="206"/>
      <c r="Q211" s="1307">
        <f>+O211+P211</f>
        <v>0</v>
      </c>
      <c r="R211" s="205"/>
      <c r="S211" s="206"/>
      <c r="T211" s="206"/>
      <c r="U211" s="207">
        <f>+M211+Q211+R211+S211+T211</f>
        <v>0</v>
      </c>
      <c r="V211" s="892"/>
      <c r="W211" s="118"/>
    </row>
    <row r="212" spans="1:25">
      <c r="A212" s="208" t="s">
        <v>434</v>
      </c>
      <c r="B212" s="209"/>
      <c r="C212" s="1304"/>
      <c r="D212" s="211"/>
      <c r="E212" s="211"/>
      <c r="F212" s="1308">
        <f t="shared" ref="F212:F215" si="167">+D212+E212</f>
        <v>0</v>
      </c>
      <c r="G212" s="210"/>
      <c r="H212" s="211"/>
      <c r="I212" s="211"/>
      <c r="J212" s="212">
        <f>+B212+F212+G212+H212+I212</f>
        <v>0</v>
      </c>
      <c r="K212" s="907"/>
      <c r="L212" s="208" t="s">
        <v>434</v>
      </c>
      <c r="M212" s="209"/>
      <c r="N212" s="1304"/>
      <c r="O212" s="211"/>
      <c r="P212" s="211"/>
      <c r="Q212" s="1308">
        <f t="shared" ref="Q212:Q215" si="168">+O212+P212</f>
        <v>0</v>
      </c>
      <c r="R212" s="210"/>
      <c r="S212" s="211"/>
      <c r="T212" s="211"/>
      <c r="U212" s="212">
        <f>+M212+Q212+R212+S212+T212</f>
        <v>0</v>
      </c>
      <c r="V212" s="192"/>
      <c r="W212" s="118"/>
      <c r="X212" s="118"/>
      <c r="Y212" s="118"/>
    </row>
    <row r="213" spans="1:25">
      <c r="A213" s="208" t="s">
        <v>435</v>
      </c>
      <c r="B213" s="209"/>
      <c r="C213" s="1304"/>
      <c r="D213" s="211"/>
      <c r="E213" s="211"/>
      <c r="F213" s="1308">
        <f t="shared" si="167"/>
        <v>0</v>
      </c>
      <c r="G213" s="210"/>
      <c r="H213" s="211"/>
      <c r="I213" s="211"/>
      <c r="J213" s="212">
        <f>+B213+F213+G213+H213+I213</f>
        <v>0</v>
      </c>
      <c r="K213" s="907"/>
      <c r="L213" s="208" t="s">
        <v>435</v>
      </c>
      <c r="M213" s="209"/>
      <c r="N213" s="1304"/>
      <c r="O213" s="211"/>
      <c r="P213" s="211"/>
      <c r="Q213" s="1308">
        <f t="shared" si="168"/>
        <v>0</v>
      </c>
      <c r="R213" s="210"/>
      <c r="S213" s="211"/>
      <c r="T213" s="211"/>
      <c r="U213" s="212">
        <f>+M213+Q213+R213+S213+T213</f>
        <v>0</v>
      </c>
      <c r="V213" s="192"/>
      <c r="W213" s="118"/>
    </row>
    <row r="214" spans="1:25">
      <c r="A214" s="208" t="s">
        <v>436</v>
      </c>
      <c r="B214" s="209"/>
      <c r="C214" s="1304"/>
      <c r="D214" s="211"/>
      <c r="E214" s="211"/>
      <c r="F214" s="1308">
        <f t="shared" si="167"/>
        <v>0</v>
      </c>
      <c r="G214" s="210"/>
      <c r="H214" s="211"/>
      <c r="I214" s="211"/>
      <c r="J214" s="212">
        <f>+B214+F214+G214+H214+I214</f>
        <v>0</v>
      </c>
      <c r="K214" s="907"/>
      <c r="L214" s="208" t="s">
        <v>436</v>
      </c>
      <c r="M214" s="209"/>
      <c r="N214" s="1304"/>
      <c r="O214" s="211"/>
      <c r="P214" s="211"/>
      <c r="Q214" s="1308">
        <f t="shared" si="168"/>
        <v>0</v>
      </c>
      <c r="R214" s="210"/>
      <c r="S214" s="211"/>
      <c r="T214" s="211"/>
      <c r="U214" s="212">
        <f>+M214+Q214+R214+S214+T214</f>
        <v>0</v>
      </c>
      <c r="V214" s="192"/>
      <c r="W214" s="118"/>
    </row>
    <row r="215" spans="1:25" ht="12.75" thickBot="1">
      <c r="A215" s="208" t="s">
        <v>437</v>
      </c>
      <c r="B215" s="209"/>
      <c r="C215" s="1304"/>
      <c r="D215" s="211"/>
      <c r="E215" s="211"/>
      <c r="F215" s="1308">
        <f t="shared" si="167"/>
        <v>0</v>
      </c>
      <c r="G215" s="210"/>
      <c r="H215" s="211"/>
      <c r="I215" s="211"/>
      <c r="J215" s="212">
        <f>+B215+F215+G215+H215+I215</f>
        <v>0</v>
      </c>
      <c r="K215" s="907"/>
      <c r="L215" s="208" t="s">
        <v>437</v>
      </c>
      <c r="M215" s="209"/>
      <c r="N215" s="1304"/>
      <c r="O215" s="211"/>
      <c r="P215" s="211"/>
      <c r="Q215" s="1308">
        <f t="shared" si="168"/>
        <v>0</v>
      </c>
      <c r="R215" s="210"/>
      <c r="S215" s="211"/>
      <c r="T215" s="211"/>
      <c r="U215" s="212">
        <f>+M215+Q215+R215+S215+T215</f>
        <v>0</v>
      </c>
      <c r="V215" s="192"/>
      <c r="W215" s="118"/>
    </row>
    <row r="216" spans="1:25" ht="12.75" thickBot="1">
      <c r="A216" s="191" t="s">
        <v>438</v>
      </c>
      <c r="B216" s="213">
        <f t="shared" ref="B216:J216" si="169">+B210+B212+B213+B214+B215</f>
        <v>0</v>
      </c>
      <c r="C216" s="1305">
        <f t="shared" si="169"/>
        <v>2976</v>
      </c>
      <c r="D216" s="213">
        <f t="shared" ref="D216:E216" si="170">+D210+D212+D213+D214+D215</f>
        <v>2976</v>
      </c>
      <c r="E216" s="213">
        <f t="shared" si="170"/>
        <v>0</v>
      </c>
      <c r="F216" s="1309">
        <f t="shared" si="169"/>
        <v>2976</v>
      </c>
      <c r="G216" s="215">
        <f t="shared" si="169"/>
        <v>0</v>
      </c>
      <c r="H216" s="213">
        <f t="shared" si="169"/>
        <v>0</v>
      </c>
      <c r="I216" s="213">
        <f t="shared" si="169"/>
        <v>0</v>
      </c>
      <c r="J216" s="214">
        <f t="shared" si="169"/>
        <v>2976</v>
      </c>
      <c r="K216" s="907"/>
      <c r="L216" s="191" t="s">
        <v>438</v>
      </c>
      <c r="M216" s="213">
        <f t="shared" ref="M216:U216" si="171">+M210+M212+M213+M214+M215</f>
        <v>0</v>
      </c>
      <c r="N216" s="1305">
        <f t="shared" si="171"/>
        <v>10672</v>
      </c>
      <c r="O216" s="213">
        <f t="shared" ref="O216:P216" si="172">+O210+O212+O213+O214+O215</f>
        <v>10672</v>
      </c>
      <c r="P216" s="213">
        <f t="shared" si="172"/>
        <v>0</v>
      </c>
      <c r="Q216" s="1309">
        <f t="shared" si="171"/>
        <v>10672</v>
      </c>
      <c r="R216" s="215">
        <f t="shared" si="171"/>
        <v>0</v>
      </c>
      <c r="S216" s="213">
        <f t="shared" si="171"/>
        <v>0</v>
      </c>
      <c r="T216" s="213">
        <f t="shared" si="171"/>
        <v>0</v>
      </c>
      <c r="U216" s="214">
        <f t="shared" si="171"/>
        <v>10672</v>
      </c>
      <c r="V216" s="192"/>
    </row>
    <row r="217" spans="1:25" ht="12.75" thickBot="1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907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</row>
    <row r="218" spans="1:25" s="906" customFormat="1" ht="36.75" thickBot="1">
      <c r="A218" s="394" t="s">
        <v>439</v>
      </c>
      <c r="B218" s="395" t="s">
        <v>1434</v>
      </c>
      <c r="C218" s="1165" t="s">
        <v>1586</v>
      </c>
      <c r="D218" s="6" t="s">
        <v>1587</v>
      </c>
      <c r="E218" s="6" t="s">
        <v>1658</v>
      </c>
      <c r="F218" s="7" t="s">
        <v>1659</v>
      </c>
      <c r="G218" s="374" t="s">
        <v>460</v>
      </c>
      <c r="H218" s="375" t="s">
        <v>461</v>
      </c>
      <c r="I218" s="375" t="s">
        <v>1435</v>
      </c>
      <c r="J218" s="1114" t="s">
        <v>18</v>
      </c>
      <c r="K218" s="909"/>
      <c r="L218" s="394" t="s">
        <v>439</v>
      </c>
      <c r="M218" s="395" t="s">
        <v>1434</v>
      </c>
      <c r="N218" s="1165" t="s">
        <v>1586</v>
      </c>
      <c r="O218" s="6" t="s">
        <v>1587</v>
      </c>
      <c r="P218" s="6" t="s">
        <v>1658</v>
      </c>
      <c r="Q218" s="7" t="s">
        <v>1659</v>
      </c>
      <c r="R218" s="374" t="s">
        <v>460</v>
      </c>
      <c r="S218" s="375" t="s">
        <v>461</v>
      </c>
      <c r="T218" s="375" t="s">
        <v>1435</v>
      </c>
      <c r="U218" s="1114" t="s">
        <v>18</v>
      </c>
      <c r="V218" s="891"/>
    </row>
    <row r="219" spans="1:25">
      <c r="A219" s="198" t="s">
        <v>445</v>
      </c>
      <c r="B219" s="199"/>
      <c r="C219" s="1302"/>
      <c r="D219" s="201"/>
      <c r="E219" s="1318"/>
      <c r="F219" s="1306">
        <f t="shared" ref="F219:F226" si="173">+D219+E219</f>
        <v>0</v>
      </c>
      <c r="G219" s="200"/>
      <c r="H219" s="201"/>
      <c r="I219" s="201"/>
      <c r="J219" s="202">
        <f t="shared" ref="J219:J226" si="174">+B219+F219+G219+H219+I219</f>
        <v>0</v>
      </c>
      <c r="K219" s="907"/>
      <c r="L219" s="198" t="s">
        <v>445</v>
      </c>
      <c r="M219" s="199"/>
      <c r="N219" s="1302"/>
      <c r="O219" s="201"/>
      <c r="P219" s="1318"/>
      <c r="Q219" s="1306">
        <f t="shared" ref="Q219:Q226" si="175">+O219+P219</f>
        <v>0</v>
      </c>
      <c r="R219" s="200"/>
      <c r="S219" s="201"/>
      <c r="T219" s="201"/>
      <c r="U219" s="202">
        <f t="shared" ref="U219:U226" si="176">+M219+Q219+R219+S219+T219</f>
        <v>0</v>
      </c>
      <c r="V219" s="192"/>
      <c r="W219" s="118"/>
      <c r="X219" s="118"/>
      <c r="Y219" s="118"/>
    </row>
    <row r="220" spans="1:25">
      <c r="A220" s="217" t="s">
        <v>446</v>
      </c>
      <c r="B220" s="209"/>
      <c r="C220" s="1304"/>
      <c r="D220" s="211"/>
      <c r="E220" s="1319"/>
      <c r="F220" s="1308">
        <f t="shared" si="173"/>
        <v>0</v>
      </c>
      <c r="G220" s="210"/>
      <c r="H220" s="211"/>
      <c r="I220" s="211"/>
      <c r="J220" s="212">
        <f t="shared" si="174"/>
        <v>0</v>
      </c>
      <c r="K220" s="907"/>
      <c r="L220" s="217" t="s">
        <v>446</v>
      </c>
      <c r="M220" s="209"/>
      <c r="N220" s="1304"/>
      <c r="O220" s="211"/>
      <c r="P220" s="1319"/>
      <c r="Q220" s="1308">
        <f t="shared" si="175"/>
        <v>0</v>
      </c>
      <c r="R220" s="210"/>
      <c r="S220" s="211"/>
      <c r="T220" s="211"/>
      <c r="U220" s="212">
        <f t="shared" si="176"/>
        <v>0</v>
      </c>
      <c r="V220" s="192"/>
      <c r="W220" s="118"/>
      <c r="X220" s="118"/>
      <c r="Y220" s="118"/>
    </row>
    <row r="221" spans="1:25">
      <c r="A221" s="208" t="s">
        <v>447</v>
      </c>
      <c r="B221" s="209"/>
      <c r="C221" s="1304"/>
      <c r="D221" s="211"/>
      <c r="E221" s="1319"/>
      <c r="F221" s="1308">
        <f t="shared" si="173"/>
        <v>0</v>
      </c>
      <c r="G221" s="210"/>
      <c r="H221" s="211"/>
      <c r="I221" s="211"/>
      <c r="J221" s="212">
        <f t="shared" si="174"/>
        <v>0</v>
      </c>
      <c r="K221" s="907"/>
      <c r="L221" s="208" t="s">
        <v>447</v>
      </c>
      <c r="M221" s="209"/>
      <c r="N221" s="1304"/>
      <c r="O221" s="211"/>
      <c r="P221" s="1319"/>
      <c r="Q221" s="1308">
        <f t="shared" si="175"/>
        <v>0</v>
      </c>
      <c r="R221" s="210"/>
      <c r="S221" s="211"/>
      <c r="T221" s="211"/>
      <c r="U221" s="212">
        <f t="shared" si="176"/>
        <v>0</v>
      </c>
      <c r="V221" s="192"/>
      <c r="W221" s="118"/>
      <c r="X221" s="118"/>
      <c r="Y221" s="118"/>
    </row>
    <row r="222" spans="1:25">
      <c r="A222" s="208" t="s">
        <v>448</v>
      </c>
      <c r="B222" s="209"/>
      <c r="C222" s="1304"/>
      <c r="D222" s="211"/>
      <c r="E222" s="1319"/>
      <c r="F222" s="1308">
        <f t="shared" si="173"/>
        <v>0</v>
      </c>
      <c r="G222" s="210"/>
      <c r="H222" s="211"/>
      <c r="I222" s="211"/>
      <c r="J222" s="212">
        <f t="shared" si="174"/>
        <v>0</v>
      </c>
      <c r="K222" s="907"/>
      <c r="L222" s="208" t="s">
        <v>448</v>
      </c>
      <c r="M222" s="209"/>
      <c r="N222" s="1304"/>
      <c r="O222" s="211"/>
      <c r="P222" s="1319"/>
      <c r="Q222" s="1308">
        <f t="shared" si="175"/>
        <v>0</v>
      </c>
      <c r="R222" s="210"/>
      <c r="S222" s="211"/>
      <c r="T222" s="211"/>
      <c r="U222" s="212">
        <f t="shared" si="176"/>
        <v>0</v>
      </c>
      <c r="V222" s="192"/>
      <c r="W222" s="118"/>
      <c r="Y222" s="118"/>
    </row>
    <row r="223" spans="1:25">
      <c r="A223" s="218" t="s">
        <v>449</v>
      </c>
      <c r="B223" s="219"/>
      <c r="C223" s="1304">
        <v>2976</v>
      </c>
      <c r="D223" s="211">
        <v>2976</v>
      </c>
      <c r="E223" s="1319"/>
      <c r="F223" s="1308">
        <f t="shared" si="173"/>
        <v>2976</v>
      </c>
      <c r="G223" s="210"/>
      <c r="H223" s="211"/>
      <c r="I223" s="211"/>
      <c r="J223" s="212">
        <f t="shared" si="174"/>
        <v>2976</v>
      </c>
      <c r="K223" s="907"/>
      <c r="L223" s="218" t="s">
        <v>449</v>
      </c>
      <c r="M223" s="219"/>
      <c r="N223" s="1304">
        <v>10672</v>
      </c>
      <c r="O223" s="211">
        <v>10672</v>
      </c>
      <c r="P223" s="1319"/>
      <c r="Q223" s="1308">
        <f t="shared" si="175"/>
        <v>10672</v>
      </c>
      <c r="R223" s="210"/>
      <c r="S223" s="211"/>
      <c r="T223" s="211"/>
      <c r="U223" s="212">
        <f t="shared" si="176"/>
        <v>10672</v>
      </c>
      <c r="V223" s="192"/>
      <c r="W223" s="118"/>
      <c r="X223" s="118"/>
      <c r="Y223" s="118"/>
    </row>
    <row r="224" spans="1:25">
      <c r="A224" s="218" t="s">
        <v>450</v>
      </c>
      <c r="B224" s="219"/>
      <c r="C224" s="1304"/>
      <c r="D224" s="211"/>
      <c r="E224" s="1319"/>
      <c r="F224" s="1308">
        <f t="shared" si="173"/>
        <v>0</v>
      </c>
      <c r="G224" s="210"/>
      <c r="H224" s="211"/>
      <c r="I224" s="211"/>
      <c r="J224" s="212">
        <f t="shared" si="174"/>
        <v>0</v>
      </c>
      <c r="K224" s="907"/>
      <c r="L224" s="218" t="s">
        <v>450</v>
      </c>
      <c r="M224" s="219"/>
      <c r="N224" s="1304"/>
      <c r="O224" s="211"/>
      <c r="P224" s="1319"/>
      <c r="Q224" s="1308">
        <f t="shared" si="175"/>
        <v>0</v>
      </c>
      <c r="R224" s="210"/>
      <c r="S224" s="211"/>
      <c r="T224" s="211"/>
      <c r="U224" s="212">
        <f t="shared" si="176"/>
        <v>0</v>
      </c>
      <c r="V224" s="192"/>
      <c r="W224" s="118"/>
      <c r="X224" s="118"/>
      <c r="Y224" s="118"/>
    </row>
    <row r="225" spans="1:25">
      <c r="A225" s="220" t="s">
        <v>451</v>
      </c>
      <c r="B225" s="221"/>
      <c r="C225" s="1310"/>
      <c r="D225" s="223"/>
      <c r="E225" s="1320"/>
      <c r="F225" s="1311">
        <f t="shared" si="173"/>
        <v>0</v>
      </c>
      <c r="G225" s="222"/>
      <c r="H225" s="223"/>
      <c r="I225" s="223"/>
      <c r="J225" s="212">
        <f t="shared" si="174"/>
        <v>0</v>
      </c>
      <c r="K225" s="907"/>
      <c r="L225" s="220" t="s">
        <v>451</v>
      </c>
      <c r="M225" s="221"/>
      <c r="N225" s="1310"/>
      <c r="O225" s="223"/>
      <c r="P225" s="1320"/>
      <c r="Q225" s="1311">
        <f t="shared" si="175"/>
        <v>0</v>
      </c>
      <c r="R225" s="210"/>
      <c r="S225" s="223"/>
      <c r="T225" s="223"/>
      <c r="U225" s="212">
        <f t="shared" si="176"/>
        <v>0</v>
      </c>
      <c r="V225" s="192"/>
      <c r="W225" s="118"/>
      <c r="X225" s="118"/>
      <c r="Y225" s="118"/>
    </row>
    <row r="226" spans="1:25" ht="12.75" thickBot="1">
      <c r="A226" s="220" t="s">
        <v>452</v>
      </c>
      <c r="B226" s="221"/>
      <c r="C226" s="1310"/>
      <c r="D226" s="223"/>
      <c r="E226" s="1320"/>
      <c r="F226" s="1311">
        <f t="shared" si="173"/>
        <v>0</v>
      </c>
      <c r="G226" s="222"/>
      <c r="H226" s="223"/>
      <c r="I226" s="223"/>
      <c r="J226" s="212">
        <f t="shared" si="174"/>
        <v>0</v>
      </c>
      <c r="K226" s="907"/>
      <c r="L226" s="220" t="s">
        <v>452</v>
      </c>
      <c r="M226" s="221"/>
      <c r="N226" s="1310"/>
      <c r="O226" s="223"/>
      <c r="P226" s="1320"/>
      <c r="Q226" s="1311">
        <f t="shared" si="175"/>
        <v>0</v>
      </c>
      <c r="R226" s="222"/>
      <c r="S226" s="223"/>
      <c r="T226" s="223"/>
      <c r="U226" s="212">
        <f t="shared" si="176"/>
        <v>0</v>
      </c>
      <c r="V226" s="192"/>
      <c r="W226" s="118"/>
      <c r="X226" s="118"/>
      <c r="Y226" s="118"/>
    </row>
    <row r="227" spans="1:25" ht="12.75" thickBot="1">
      <c r="A227" s="191" t="s">
        <v>453</v>
      </c>
      <c r="B227" s="213">
        <f t="shared" ref="B227:J227" si="177">+B219+B220+B221+B222+B223+B224+B225+B226</f>
        <v>0</v>
      </c>
      <c r="C227" s="1305">
        <f t="shared" si="177"/>
        <v>2976</v>
      </c>
      <c r="D227" s="213">
        <f t="shared" ref="D227:E227" si="178">+D219+D220+D221+D222+D223+D224+D225+D226</f>
        <v>2976</v>
      </c>
      <c r="E227" s="1312">
        <f t="shared" si="178"/>
        <v>0</v>
      </c>
      <c r="F227" s="1309">
        <f t="shared" si="177"/>
        <v>2976</v>
      </c>
      <c r="G227" s="215">
        <f t="shared" si="177"/>
        <v>0</v>
      </c>
      <c r="H227" s="213">
        <f t="shared" si="177"/>
        <v>0</v>
      </c>
      <c r="I227" s="213">
        <f t="shared" si="177"/>
        <v>0</v>
      </c>
      <c r="J227" s="214">
        <f t="shared" si="177"/>
        <v>2976</v>
      </c>
      <c r="L227" s="191" t="s">
        <v>453</v>
      </c>
      <c r="M227" s="213">
        <f t="shared" ref="M227:U227" si="179">+M219+M220+M221+M222+M223+M224+M225+M226</f>
        <v>0</v>
      </c>
      <c r="N227" s="1305">
        <f t="shared" si="179"/>
        <v>10672</v>
      </c>
      <c r="O227" s="213">
        <f t="shared" ref="O227:P227" si="180">+O219+O220+O221+O222+O223+O224+O225+O226</f>
        <v>10672</v>
      </c>
      <c r="P227" s="1312">
        <f t="shared" si="180"/>
        <v>0</v>
      </c>
      <c r="Q227" s="1309">
        <f t="shared" si="179"/>
        <v>10672</v>
      </c>
      <c r="R227" s="215">
        <f t="shared" si="179"/>
        <v>0</v>
      </c>
      <c r="S227" s="213">
        <f t="shared" si="179"/>
        <v>0</v>
      </c>
      <c r="T227" s="213">
        <f t="shared" si="179"/>
        <v>0</v>
      </c>
      <c r="U227" s="214">
        <f t="shared" si="179"/>
        <v>10672</v>
      </c>
      <c r="V227" s="192"/>
      <c r="X227" s="907"/>
    </row>
    <row r="228" spans="1:25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907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</row>
    <row r="230" spans="1:25" s="900" customFormat="1" ht="15.75">
      <c r="A230" s="190" t="s">
        <v>1370</v>
      </c>
      <c r="B230" s="972" t="s">
        <v>1385</v>
      </c>
      <c r="C230" s="1113"/>
      <c r="D230" s="1113"/>
      <c r="E230" s="1113"/>
      <c r="F230" s="972"/>
      <c r="G230" s="972"/>
      <c r="H230" s="972"/>
      <c r="I230" s="972"/>
      <c r="J230" s="972"/>
      <c r="K230" s="803"/>
      <c r="L230" s="190" t="s">
        <v>1371</v>
      </c>
      <c r="M230" s="972" t="s">
        <v>1360</v>
      </c>
      <c r="N230" s="1113"/>
      <c r="O230" s="1113"/>
      <c r="P230" s="1113"/>
      <c r="Q230" s="972"/>
      <c r="R230" s="972"/>
      <c r="S230" s="972"/>
      <c r="T230" s="972"/>
      <c r="U230" s="972"/>
      <c r="V230" s="972"/>
    </row>
    <row r="231" spans="1:25" s="900" customFormat="1" ht="15.75" customHeight="1">
      <c r="A231" s="1474" t="s">
        <v>1386</v>
      </c>
      <c r="B231" s="1474"/>
      <c r="C231" s="1474"/>
      <c r="D231" s="1474"/>
      <c r="E231" s="1474"/>
      <c r="F231" s="1474"/>
      <c r="G231" s="1474"/>
      <c r="H231" s="1474"/>
      <c r="I231" s="1474"/>
      <c r="J231" s="1474"/>
      <c r="K231" s="803"/>
      <c r="L231" s="1474" t="s">
        <v>1403</v>
      </c>
      <c r="M231" s="1474"/>
      <c r="N231" s="1474"/>
      <c r="O231" s="1474"/>
      <c r="P231" s="1474"/>
      <c r="Q231" s="1474"/>
      <c r="R231" s="1474"/>
      <c r="S231" s="1474"/>
      <c r="T231" s="1474"/>
      <c r="U231" s="1474"/>
      <c r="V231" s="966"/>
    </row>
    <row r="232" spans="1:25" s="900" customFormat="1" ht="15.75">
      <c r="A232" s="1473" t="s">
        <v>1109</v>
      </c>
      <c r="B232" s="1473"/>
      <c r="C232" s="1473"/>
      <c r="D232" s="1473"/>
      <c r="E232" s="1473"/>
      <c r="F232" s="1473"/>
      <c r="G232" s="1473"/>
      <c r="H232" s="1473"/>
      <c r="I232" s="1473"/>
      <c r="J232" s="1473"/>
      <c r="K232" s="803"/>
      <c r="L232" s="1473" t="s">
        <v>1109</v>
      </c>
      <c r="M232" s="1473"/>
      <c r="N232" s="1473"/>
      <c r="O232" s="1473"/>
      <c r="P232" s="1473"/>
      <c r="Q232" s="1473"/>
      <c r="R232" s="1473"/>
      <c r="S232" s="1473"/>
      <c r="T232" s="1473"/>
      <c r="U232" s="1473"/>
      <c r="V232" s="971"/>
    </row>
    <row r="233" spans="1:25" s="903" customFormat="1" ht="12.75" thickBot="1">
      <c r="A233" s="902"/>
      <c r="B233" s="902"/>
      <c r="G233" s="902"/>
      <c r="H233" s="902"/>
      <c r="J233" s="235" t="s">
        <v>280</v>
      </c>
      <c r="K233" s="904"/>
      <c r="L233" s="902"/>
      <c r="M233" s="902"/>
      <c r="N233" s="902"/>
      <c r="O233" s="902"/>
      <c r="P233" s="902"/>
      <c r="Q233" s="902"/>
      <c r="R233" s="902"/>
      <c r="S233" s="902"/>
      <c r="U233" s="235" t="s">
        <v>280</v>
      </c>
      <c r="V233" s="890"/>
    </row>
    <row r="234" spans="1:25" s="906" customFormat="1" ht="36.75" thickBot="1">
      <c r="A234" s="394" t="s">
        <v>431</v>
      </c>
      <c r="B234" s="395" t="s">
        <v>1434</v>
      </c>
      <c r="C234" s="1165" t="s">
        <v>1586</v>
      </c>
      <c r="D234" s="6" t="s">
        <v>1587</v>
      </c>
      <c r="E234" s="6" t="s">
        <v>1658</v>
      </c>
      <c r="F234" s="7" t="s">
        <v>1659</v>
      </c>
      <c r="G234" s="374" t="s">
        <v>460</v>
      </c>
      <c r="H234" s="375" t="s">
        <v>461</v>
      </c>
      <c r="I234" s="375" t="s">
        <v>1435</v>
      </c>
      <c r="J234" s="1114" t="s">
        <v>18</v>
      </c>
      <c r="K234" s="905"/>
      <c r="L234" s="394" t="s">
        <v>431</v>
      </c>
      <c r="M234" s="395" t="s">
        <v>1434</v>
      </c>
      <c r="N234" s="1165" t="s">
        <v>1586</v>
      </c>
      <c r="O234" s="6" t="s">
        <v>1587</v>
      </c>
      <c r="P234" s="6" t="s">
        <v>1658</v>
      </c>
      <c r="Q234" s="7" t="s">
        <v>1659</v>
      </c>
      <c r="R234" s="374" t="s">
        <v>460</v>
      </c>
      <c r="S234" s="375" t="s">
        <v>461</v>
      </c>
      <c r="T234" s="375" t="s">
        <v>1435</v>
      </c>
      <c r="U234" s="1114" t="s">
        <v>18</v>
      </c>
      <c r="V234" s="891"/>
    </row>
    <row r="235" spans="1:25">
      <c r="A235" s="198" t="s">
        <v>432</v>
      </c>
      <c r="B235" s="199">
        <f t="shared" ref="B235:J235" si="181">+B252-B240-B239-B238-B237</f>
        <v>0</v>
      </c>
      <c r="C235" s="1302">
        <f t="shared" si="181"/>
        <v>57079</v>
      </c>
      <c r="D235" s="201">
        <f t="shared" ref="D235" si="182">+D252-D240-D239-D238-D237</f>
        <v>57079</v>
      </c>
      <c r="E235" s="201"/>
      <c r="F235" s="1306">
        <f t="shared" ref="F235" si="183">+F252-F240-F239-F238-F237</f>
        <v>57079</v>
      </c>
      <c r="G235" s="200">
        <f t="shared" si="181"/>
        <v>0</v>
      </c>
      <c r="H235" s="201">
        <f t="shared" si="181"/>
        <v>0</v>
      </c>
      <c r="I235" s="201">
        <f t="shared" si="181"/>
        <v>0</v>
      </c>
      <c r="J235" s="202">
        <f t="shared" si="181"/>
        <v>57079</v>
      </c>
      <c r="K235" s="907"/>
      <c r="L235" s="198" t="s">
        <v>432</v>
      </c>
      <c r="M235" s="199">
        <f t="shared" ref="M235:U235" si="184">+M252-M240-M239-M238-M237</f>
        <v>0</v>
      </c>
      <c r="N235" s="1302">
        <f t="shared" si="184"/>
        <v>97922</v>
      </c>
      <c r="O235" s="201">
        <f t="shared" ref="O235" si="185">+O252-O240-O239-O238-O237</f>
        <v>97922</v>
      </c>
      <c r="P235" s="201"/>
      <c r="Q235" s="1306">
        <f t="shared" ref="Q235" si="186">+Q252-Q240-Q239-Q238-Q237</f>
        <v>97922</v>
      </c>
      <c r="R235" s="200">
        <f t="shared" si="184"/>
        <v>0</v>
      </c>
      <c r="S235" s="201">
        <f t="shared" si="184"/>
        <v>0</v>
      </c>
      <c r="T235" s="201">
        <f t="shared" si="184"/>
        <v>0</v>
      </c>
      <c r="U235" s="202">
        <f t="shared" si="184"/>
        <v>97922</v>
      </c>
      <c r="V235" s="192"/>
    </row>
    <row r="236" spans="1:25">
      <c r="A236" s="203" t="s">
        <v>433</v>
      </c>
      <c r="B236" s="204"/>
      <c r="C236" s="1303"/>
      <c r="D236" s="206"/>
      <c r="E236" s="206"/>
      <c r="F236" s="1307">
        <f>+D236+E236</f>
        <v>0</v>
      </c>
      <c r="G236" s="205"/>
      <c r="H236" s="206"/>
      <c r="I236" s="206"/>
      <c r="J236" s="207">
        <f>+B236+F236+G236+H236+I236</f>
        <v>0</v>
      </c>
      <c r="K236" s="907"/>
      <c r="L236" s="203" t="s">
        <v>433</v>
      </c>
      <c r="M236" s="204"/>
      <c r="N236" s="1303"/>
      <c r="O236" s="206"/>
      <c r="P236" s="206"/>
      <c r="Q236" s="1307">
        <f>+O236+P236</f>
        <v>0</v>
      </c>
      <c r="R236" s="205"/>
      <c r="S236" s="206"/>
      <c r="T236" s="206"/>
      <c r="U236" s="207">
        <f>+M236+Q236+R236+S236+T236</f>
        <v>0</v>
      </c>
      <c r="V236" s="892"/>
      <c r="W236" s="118"/>
    </row>
    <row r="237" spans="1:25">
      <c r="A237" s="208" t="s">
        <v>434</v>
      </c>
      <c r="B237" s="209"/>
      <c r="C237" s="1304"/>
      <c r="D237" s="211"/>
      <c r="E237" s="211"/>
      <c r="F237" s="1308">
        <f t="shared" ref="F237:F240" si="187">+D237+E237</f>
        <v>0</v>
      </c>
      <c r="G237" s="210"/>
      <c r="H237" s="211"/>
      <c r="I237" s="211"/>
      <c r="J237" s="212">
        <f>+B237+F237+G237+H237+I237</f>
        <v>0</v>
      </c>
      <c r="K237" s="907"/>
      <c r="L237" s="208" t="s">
        <v>434</v>
      </c>
      <c r="M237" s="209"/>
      <c r="N237" s="1304"/>
      <c r="O237" s="211"/>
      <c r="P237" s="211"/>
      <c r="Q237" s="1308">
        <f t="shared" ref="Q237:Q240" si="188">+O237+P237</f>
        <v>0</v>
      </c>
      <c r="R237" s="210"/>
      <c r="S237" s="211"/>
      <c r="T237" s="211"/>
      <c r="U237" s="212">
        <f>+M237+Q237+R237+S237+T237</f>
        <v>0</v>
      </c>
      <c r="V237" s="192"/>
      <c r="W237" s="118"/>
      <c r="X237" s="118"/>
      <c r="Y237" s="118"/>
    </row>
    <row r="238" spans="1:25">
      <c r="A238" s="208" t="s">
        <v>435</v>
      </c>
      <c r="B238" s="209"/>
      <c r="C238" s="1304"/>
      <c r="D238" s="211"/>
      <c r="E238" s="211"/>
      <c r="F238" s="1308">
        <f t="shared" si="187"/>
        <v>0</v>
      </c>
      <c r="G238" s="210"/>
      <c r="H238" s="211"/>
      <c r="I238" s="211"/>
      <c r="J238" s="212">
        <f>+B238+F238+G238+H238+I238</f>
        <v>0</v>
      </c>
      <c r="K238" s="907"/>
      <c r="L238" s="208" t="s">
        <v>435</v>
      </c>
      <c r="M238" s="209"/>
      <c r="N238" s="1304"/>
      <c r="O238" s="211"/>
      <c r="P238" s="211"/>
      <c r="Q238" s="1308">
        <f t="shared" si="188"/>
        <v>0</v>
      </c>
      <c r="R238" s="210"/>
      <c r="S238" s="211"/>
      <c r="T238" s="211"/>
      <c r="U238" s="212">
        <f>+M238+Q238+R238+S238+T238</f>
        <v>0</v>
      </c>
      <c r="V238" s="192"/>
      <c r="W238" s="118"/>
    </row>
    <row r="239" spans="1:25">
      <c r="A239" s="208" t="s">
        <v>436</v>
      </c>
      <c r="B239" s="209"/>
      <c r="C239" s="1304"/>
      <c r="D239" s="211"/>
      <c r="E239" s="211"/>
      <c r="F239" s="1308">
        <f t="shared" si="187"/>
        <v>0</v>
      </c>
      <c r="G239" s="210"/>
      <c r="H239" s="211"/>
      <c r="I239" s="211"/>
      <c r="J239" s="212">
        <f>+B239+F239+G239+H239+I239</f>
        <v>0</v>
      </c>
      <c r="K239" s="907"/>
      <c r="L239" s="208" t="s">
        <v>436</v>
      </c>
      <c r="M239" s="209"/>
      <c r="N239" s="1304"/>
      <c r="O239" s="211"/>
      <c r="P239" s="211"/>
      <c r="Q239" s="1308">
        <f t="shared" si="188"/>
        <v>0</v>
      </c>
      <c r="R239" s="210"/>
      <c r="S239" s="211"/>
      <c r="T239" s="211"/>
      <c r="U239" s="212">
        <f>+M239+Q239+R239+S239+T239</f>
        <v>0</v>
      </c>
      <c r="V239" s="192"/>
      <c r="W239" s="118"/>
    </row>
    <row r="240" spans="1:25" ht="12.75" thickBot="1">
      <c r="A240" s="208" t="s">
        <v>437</v>
      </c>
      <c r="B240" s="209"/>
      <c r="C240" s="1304"/>
      <c r="D240" s="211"/>
      <c r="E240" s="211"/>
      <c r="F240" s="1308">
        <f t="shared" si="187"/>
        <v>0</v>
      </c>
      <c r="G240" s="210"/>
      <c r="H240" s="211"/>
      <c r="I240" s="211"/>
      <c r="J240" s="212">
        <f>+B240+F240+G240+H240+I240</f>
        <v>0</v>
      </c>
      <c r="K240" s="907"/>
      <c r="L240" s="208" t="s">
        <v>437</v>
      </c>
      <c r="M240" s="209"/>
      <c r="N240" s="1304"/>
      <c r="O240" s="211"/>
      <c r="P240" s="211"/>
      <c r="Q240" s="1308">
        <f t="shared" si="188"/>
        <v>0</v>
      </c>
      <c r="R240" s="210"/>
      <c r="S240" s="211"/>
      <c r="T240" s="211"/>
      <c r="U240" s="212">
        <f>+M240+Q240+R240+S240+T240</f>
        <v>0</v>
      </c>
      <c r="V240" s="192"/>
      <c r="W240" s="118"/>
    </row>
    <row r="241" spans="1:25" ht="12.75" thickBot="1">
      <c r="A241" s="191" t="s">
        <v>438</v>
      </c>
      <c r="B241" s="213">
        <f t="shared" ref="B241:J241" si="189">+B235+B237+B238+B239+B240</f>
        <v>0</v>
      </c>
      <c r="C241" s="1305">
        <f t="shared" si="189"/>
        <v>57079</v>
      </c>
      <c r="D241" s="213">
        <f t="shared" ref="D241:E241" si="190">+D235+D237+D238+D239+D240</f>
        <v>57079</v>
      </c>
      <c r="E241" s="213">
        <f t="shared" si="190"/>
        <v>0</v>
      </c>
      <c r="F241" s="1309">
        <f t="shared" si="189"/>
        <v>57079</v>
      </c>
      <c r="G241" s="215">
        <f t="shared" si="189"/>
        <v>0</v>
      </c>
      <c r="H241" s="213">
        <f t="shared" si="189"/>
        <v>0</v>
      </c>
      <c r="I241" s="213">
        <f t="shared" si="189"/>
        <v>0</v>
      </c>
      <c r="J241" s="214">
        <f t="shared" si="189"/>
        <v>57079</v>
      </c>
      <c r="K241" s="907"/>
      <c r="L241" s="191" t="s">
        <v>438</v>
      </c>
      <c r="M241" s="213">
        <f t="shared" ref="M241:U241" si="191">+M235+M237+M238+M239+M240</f>
        <v>0</v>
      </c>
      <c r="N241" s="1305">
        <f t="shared" si="191"/>
        <v>97922</v>
      </c>
      <c r="O241" s="213">
        <f t="shared" ref="O241:P241" si="192">+O235+O237+O238+O239+O240</f>
        <v>97922</v>
      </c>
      <c r="P241" s="213">
        <f t="shared" si="192"/>
        <v>0</v>
      </c>
      <c r="Q241" s="1309">
        <f t="shared" si="191"/>
        <v>97922</v>
      </c>
      <c r="R241" s="215">
        <f t="shared" si="191"/>
        <v>0</v>
      </c>
      <c r="S241" s="213">
        <f t="shared" si="191"/>
        <v>0</v>
      </c>
      <c r="T241" s="213">
        <f t="shared" si="191"/>
        <v>0</v>
      </c>
      <c r="U241" s="214">
        <f t="shared" si="191"/>
        <v>97922</v>
      </c>
      <c r="V241" s="192"/>
    </row>
    <row r="242" spans="1:25" ht="12.75" thickBo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907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</row>
    <row r="243" spans="1:25" s="906" customFormat="1" ht="36.75" thickBot="1">
      <c r="A243" s="394" t="s">
        <v>439</v>
      </c>
      <c r="B243" s="395" t="s">
        <v>1434</v>
      </c>
      <c r="C243" s="1165" t="s">
        <v>1586</v>
      </c>
      <c r="D243" s="6" t="s">
        <v>1587</v>
      </c>
      <c r="E243" s="6" t="s">
        <v>1658</v>
      </c>
      <c r="F243" s="7" t="s">
        <v>1659</v>
      </c>
      <c r="G243" s="374" t="s">
        <v>460</v>
      </c>
      <c r="H243" s="375" t="s">
        <v>461</v>
      </c>
      <c r="I243" s="375" t="s">
        <v>1435</v>
      </c>
      <c r="J243" s="1114" t="s">
        <v>18</v>
      </c>
      <c r="K243" s="909"/>
      <c r="L243" s="394" t="s">
        <v>439</v>
      </c>
      <c r="M243" s="395" t="s">
        <v>1434</v>
      </c>
      <c r="N243" s="1165" t="s">
        <v>1586</v>
      </c>
      <c r="O243" s="6" t="s">
        <v>1587</v>
      </c>
      <c r="P243" s="6" t="s">
        <v>1658</v>
      </c>
      <c r="Q243" s="7" t="s">
        <v>1659</v>
      </c>
      <c r="R243" s="374" t="s">
        <v>460</v>
      </c>
      <c r="S243" s="375" t="s">
        <v>461</v>
      </c>
      <c r="T243" s="375" t="s">
        <v>1435</v>
      </c>
      <c r="U243" s="1114" t="s">
        <v>18</v>
      </c>
      <c r="V243" s="891"/>
    </row>
    <row r="244" spans="1:25">
      <c r="A244" s="198" t="s">
        <v>445</v>
      </c>
      <c r="B244" s="199"/>
      <c r="C244" s="1302"/>
      <c r="D244" s="201"/>
      <c r="E244" s="1318"/>
      <c r="F244" s="1306">
        <f t="shared" ref="F244:F251" si="193">+D244+E244</f>
        <v>0</v>
      </c>
      <c r="G244" s="200"/>
      <c r="H244" s="201"/>
      <c r="I244" s="201"/>
      <c r="J244" s="202">
        <f t="shared" ref="J244:J251" si="194">+B244+F244+G244+H244+I244</f>
        <v>0</v>
      </c>
      <c r="K244" s="907"/>
      <c r="L244" s="198" t="s">
        <v>445</v>
      </c>
      <c r="M244" s="199"/>
      <c r="N244" s="1302"/>
      <c r="O244" s="201"/>
      <c r="P244" s="1318"/>
      <c r="Q244" s="1306">
        <f t="shared" ref="Q244:Q251" si="195">+O244+P244</f>
        <v>0</v>
      </c>
      <c r="R244" s="200"/>
      <c r="S244" s="201"/>
      <c r="T244" s="201"/>
      <c r="U244" s="202">
        <f t="shared" ref="U244:U251" si="196">+M244+Q244+R244+S244+T244</f>
        <v>0</v>
      </c>
      <c r="V244" s="192"/>
      <c r="W244" s="118"/>
      <c r="X244" s="118"/>
      <c r="Y244" s="118"/>
    </row>
    <row r="245" spans="1:25">
      <c r="A245" s="217" t="s">
        <v>446</v>
      </c>
      <c r="B245" s="209"/>
      <c r="C245" s="1304"/>
      <c r="D245" s="211"/>
      <c r="E245" s="1319"/>
      <c r="F245" s="1308">
        <f t="shared" si="193"/>
        <v>0</v>
      </c>
      <c r="G245" s="210"/>
      <c r="H245" s="211"/>
      <c r="I245" s="211"/>
      <c r="J245" s="212">
        <f t="shared" si="194"/>
        <v>0</v>
      </c>
      <c r="K245" s="907"/>
      <c r="L245" s="217" t="s">
        <v>446</v>
      </c>
      <c r="M245" s="209"/>
      <c r="N245" s="1304"/>
      <c r="O245" s="211"/>
      <c r="P245" s="1319"/>
      <c r="Q245" s="1308">
        <f t="shared" si="195"/>
        <v>0</v>
      </c>
      <c r="R245" s="210"/>
      <c r="S245" s="211"/>
      <c r="T245" s="211"/>
      <c r="U245" s="212">
        <f t="shared" si="196"/>
        <v>0</v>
      </c>
      <c r="V245" s="192"/>
      <c r="W245" s="118"/>
      <c r="X245" s="118"/>
      <c r="Y245" s="118"/>
    </row>
    <row r="246" spans="1:25">
      <c r="A246" s="208" t="s">
        <v>447</v>
      </c>
      <c r="B246" s="209"/>
      <c r="C246" s="1304"/>
      <c r="D246" s="211"/>
      <c r="E246" s="1319"/>
      <c r="F246" s="1308">
        <f t="shared" si="193"/>
        <v>0</v>
      </c>
      <c r="G246" s="210"/>
      <c r="H246" s="211"/>
      <c r="I246" s="211"/>
      <c r="J246" s="212">
        <f t="shared" si="194"/>
        <v>0</v>
      </c>
      <c r="K246" s="907"/>
      <c r="L246" s="208" t="s">
        <v>447</v>
      </c>
      <c r="M246" s="209"/>
      <c r="N246" s="1304"/>
      <c r="O246" s="211"/>
      <c r="P246" s="1319"/>
      <c r="Q246" s="1308">
        <f t="shared" si="195"/>
        <v>0</v>
      </c>
      <c r="R246" s="210"/>
      <c r="S246" s="211"/>
      <c r="T246" s="211"/>
      <c r="U246" s="212">
        <f t="shared" si="196"/>
        <v>0</v>
      </c>
      <c r="V246" s="192"/>
      <c r="W246" s="118"/>
      <c r="X246" s="118"/>
      <c r="Y246" s="118"/>
    </row>
    <row r="247" spans="1:25">
      <c r="A247" s="208" t="s">
        <v>448</v>
      </c>
      <c r="B247" s="209"/>
      <c r="C247" s="1304"/>
      <c r="D247" s="211"/>
      <c r="E247" s="1319"/>
      <c r="F247" s="1308">
        <f t="shared" si="193"/>
        <v>0</v>
      </c>
      <c r="G247" s="210"/>
      <c r="H247" s="211"/>
      <c r="I247" s="211"/>
      <c r="J247" s="212">
        <f t="shared" si="194"/>
        <v>0</v>
      </c>
      <c r="K247" s="907"/>
      <c r="L247" s="208" t="s">
        <v>448</v>
      </c>
      <c r="M247" s="209"/>
      <c r="N247" s="1304"/>
      <c r="O247" s="211"/>
      <c r="P247" s="1319"/>
      <c r="Q247" s="1308">
        <f t="shared" si="195"/>
        <v>0</v>
      </c>
      <c r="R247" s="210"/>
      <c r="S247" s="211"/>
      <c r="T247" s="211"/>
      <c r="U247" s="212">
        <f t="shared" si="196"/>
        <v>0</v>
      </c>
      <c r="V247" s="192"/>
      <c r="W247" s="118"/>
      <c r="Y247" s="118"/>
    </row>
    <row r="248" spans="1:25">
      <c r="A248" s="218" t="s">
        <v>449</v>
      </c>
      <c r="B248" s="219"/>
      <c r="C248" s="1304">
        <f>57072+7</f>
        <v>57079</v>
      </c>
      <c r="D248" s="211">
        <f>57072+7</f>
        <v>57079</v>
      </c>
      <c r="E248" s="1319"/>
      <c r="F248" s="1308">
        <f t="shared" si="193"/>
        <v>57079</v>
      </c>
      <c r="G248" s="210"/>
      <c r="H248" s="211"/>
      <c r="I248" s="211"/>
      <c r="J248" s="212">
        <f t="shared" si="194"/>
        <v>57079</v>
      </c>
      <c r="K248" s="907"/>
      <c r="L248" s="218" t="s">
        <v>449</v>
      </c>
      <c r="M248" s="219"/>
      <c r="N248" s="1304">
        <v>97922</v>
      </c>
      <c r="O248" s="211">
        <v>97922</v>
      </c>
      <c r="P248" s="1319"/>
      <c r="Q248" s="1308">
        <f t="shared" si="195"/>
        <v>97922</v>
      </c>
      <c r="R248" s="210"/>
      <c r="S248" s="211"/>
      <c r="T248" s="211"/>
      <c r="U248" s="212">
        <f t="shared" si="196"/>
        <v>97922</v>
      </c>
      <c r="V248" s="192"/>
      <c r="W248" s="118"/>
      <c r="X248" s="118"/>
      <c r="Y248" s="118"/>
    </row>
    <row r="249" spans="1:25">
      <c r="A249" s="218" t="s">
        <v>450</v>
      </c>
      <c r="B249" s="219"/>
      <c r="C249" s="1304"/>
      <c r="D249" s="211"/>
      <c r="E249" s="1319"/>
      <c r="F249" s="1308">
        <f t="shared" si="193"/>
        <v>0</v>
      </c>
      <c r="G249" s="210"/>
      <c r="H249" s="211"/>
      <c r="I249" s="211"/>
      <c r="J249" s="212">
        <f t="shared" si="194"/>
        <v>0</v>
      </c>
      <c r="K249" s="907"/>
      <c r="L249" s="218" t="s">
        <v>450</v>
      </c>
      <c r="M249" s="219"/>
      <c r="N249" s="1304"/>
      <c r="O249" s="211"/>
      <c r="P249" s="1319"/>
      <c r="Q249" s="1308">
        <f t="shared" si="195"/>
        <v>0</v>
      </c>
      <c r="R249" s="210"/>
      <c r="S249" s="211"/>
      <c r="T249" s="211"/>
      <c r="U249" s="212">
        <f t="shared" si="196"/>
        <v>0</v>
      </c>
      <c r="V249" s="192"/>
      <c r="W249" s="118"/>
      <c r="X249" s="118"/>
      <c r="Y249" s="118"/>
    </row>
    <row r="250" spans="1:25">
      <c r="A250" s="220" t="s">
        <v>451</v>
      </c>
      <c r="B250" s="221"/>
      <c r="C250" s="1310"/>
      <c r="D250" s="223"/>
      <c r="E250" s="1320"/>
      <c r="F250" s="1311">
        <f t="shared" si="193"/>
        <v>0</v>
      </c>
      <c r="G250" s="222"/>
      <c r="H250" s="223"/>
      <c r="I250" s="223"/>
      <c r="J250" s="212">
        <f t="shared" si="194"/>
        <v>0</v>
      </c>
      <c r="K250" s="907"/>
      <c r="L250" s="220" t="s">
        <v>451</v>
      </c>
      <c r="M250" s="221"/>
      <c r="N250" s="1310"/>
      <c r="O250" s="223"/>
      <c r="P250" s="1320"/>
      <c r="Q250" s="1311">
        <f t="shared" si="195"/>
        <v>0</v>
      </c>
      <c r="R250" s="210"/>
      <c r="S250" s="223"/>
      <c r="T250" s="223"/>
      <c r="U250" s="212">
        <f t="shared" si="196"/>
        <v>0</v>
      </c>
      <c r="V250" s="192"/>
      <c r="W250" s="118"/>
      <c r="X250" s="118"/>
      <c r="Y250" s="118"/>
    </row>
    <row r="251" spans="1:25" ht="12.75" thickBot="1">
      <c r="A251" s="220" t="s">
        <v>452</v>
      </c>
      <c r="B251" s="221"/>
      <c r="C251" s="1310"/>
      <c r="D251" s="223"/>
      <c r="E251" s="1320"/>
      <c r="F251" s="1311">
        <f t="shared" si="193"/>
        <v>0</v>
      </c>
      <c r="G251" s="222"/>
      <c r="H251" s="223"/>
      <c r="I251" s="223"/>
      <c r="J251" s="212">
        <f t="shared" si="194"/>
        <v>0</v>
      </c>
      <c r="K251" s="907"/>
      <c r="L251" s="220" t="s">
        <v>452</v>
      </c>
      <c r="M251" s="221"/>
      <c r="N251" s="1310"/>
      <c r="O251" s="223"/>
      <c r="P251" s="1320"/>
      <c r="Q251" s="1311">
        <f t="shared" si="195"/>
        <v>0</v>
      </c>
      <c r="R251" s="222"/>
      <c r="S251" s="223"/>
      <c r="T251" s="223"/>
      <c r="U251" s="212">
        <f t="shared" si="196"/>
        <v>0</v>
      </c>
      <c r="V251" s="192"/>
      <c r="W251" s="118"/>
      <c r="X251" s="118"/>
      <c r="Y251" s="118"/>
    </row>
    <row r="252" spans="1:25" ht="12.75" thickBot="1">
      <c r="A252" s="191" t="s">
        <v>453</v>
      </c>
      <c r="B252" s="213">
        <f t="shared" ref="B252:J252" si="197">+B244+B245+B246+B247+B248+B249+B250+B251</f>
        <v>0</v>
      </c>
      <c r="C252" s="1305">
        <f t="shared" si="197"/>
        <v>57079</v>
      </c>
      <c r="D252" s="213">
        <f t="shared" ref="D252:E252" si="198">+D244+D245+D246+D247+D248+D249+D250+D251</f>
        <v>57079</v>
      </c>
      <c r="E252" s="1312">
        <f t="shared" si="198"/>
        <v>0</v>
      </c>
      <c r="F252" s="1309">
        <f t="shared" si="197"/>
        <v>57079</v>
      </c>
      <c r="G252" s="215">
        <f t="shared" si="197"/>
        <v>0</v>
      </c>
      <c r="H252" s="213">
        <f t="shared" si="197"/>
        <v>0</v>
      </c>
      <c r="I252" s="213">
        <f t="shared" si="197"/>
        <v>0</v>
      </c>
      <c r="J252" s="214">
        <f t="shared" si="197"/>
        <v>57079</v>
      </c>
      <c r="L252" s="191" t="s">
        <v>453</v>
      </c>
      <c r="M252" s="213">
        <f t="shared" ref="M252:U252" si="199">+M244+M245+M246+M247+M248+M249+M250+M251</f>
        <v>0</v>
      </c>
      <c r="N252" s="1305">
        <f t="shared" si="199"/>
        <v>97922</v>
      </c>
      <c r="O252" s="213">
        <f t="shared" ref="O252:P252" si="200">+O244+O245+O246+O247+O248+O249+O250+O251</f>
        <v>97922</v>
      </c>
      <c r="P252" s="1312">
        <f t="shared" si="200"/>
        <v>0</v>
      </c>
      <c r="Q252" s="1309">
        <f t="shared" si="199"/>
        <v>97922</v>
      </c>
      <c r="R252" s="215">
        <f t="shared" si="199"/>
        <v>0</v>
      </c>
      <c r="S252" s="213">
        <f t="shared" si="199"/>
        <v>0</v>
      </c>
      <c r="T252" s="213">
        <f t="shared" si="199"/>
        <v>0</v>
      </c>
      <c r="U252" s="214">
        <f t="shared" si="199"/>
        <v>97922</v>
      </c>
      <c r="V252" s="192"/>
      <c r="X252" s="907"/>
    </row>
    <row r="253" spans="1:25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907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</row>
    <row r="255" spans="1:25" s="900" customFormat="1" ht="15.75">
      <c r="A255" s="190" t="s">
        <v>1372</v>
      </c>
      <c r="B255" s="972" t="s">
        <v>1387</v>
      </c>
      <c r="C255" s="1113"/>
      <c r="D255" s="1113"/>
      <c r="E255" s="1113"/>
      <c r="F255" s="972"/>
      <c r="G255" s="972"/>
      <c r="H255" s="972"/>
      <c r="I255" s="972"/>
      <c r="J255" s="972"/>
      <c r="K255" s="803"/>
      <c r="L255" s="190" t="s">
        <v>1373</v>
      </c>
      <c r="M255" s="972" t="s">
        <v>1389</v>
      </c>
      <c r="N255" s="1113"/>
      <c r="O255" s="1113"/>
      <c r="P255" s="1113"/>
      <c r="Q255" s="972"/>
      <c r="R255" s="972"/>
      <c r="S255" s="972"/>
      <c r="T255" s="972"/>
      <c r="U255" s="972"/>
      <c r="V255" s="972"/>
    </row>
    <row r="256" spans="1:25" s="900" customFormat="1" ht="15.75" customHeight="1">
      <c r="A256" s="1474" t="s">
        <v>1388</v>
      </c>
      <c r="B256" s="1474"/>
      <c r="C256" s="1474"/>
      <c r="D256" s="1474"/>
      <c r="E256" s="1474"/>
      <c r="F256" s="1474"/>
      <c r="G256" s="1474"/>
      <c r="H256" s="1474"/>
      <c r="I256" s="1474"/>
      <c r="J256" s="1474"/>
      <c r="K256" s="803"/>
      <c r="L256" s="1474" t="s">
        <v>1390</v>
      </c>
      <c r="M256" s="1474"/>
      <c r="N256" s="1474"/>
      <c r="O256" s="1474"/>
      <c r="P256" s="1474"/>
      <c r="Q256" s="1474"/>
      <c r="R256" s="1474"/>
      <c r="S256" s="1474"/>
      <c r="T256" s="1474"/>
      <c r="U256" s="1474"/>
      <c r="V256" s="966"/>
    </row>
    <row r="257" spans="1:25" s="900" customFormat="1" ht="15.75">
      <c r="A257" s="1473" t="s">
        <v>1109</v>
      </c>
      <c r="B257" s="1473"/>
      <c r="C257" s="1473"/>
      <c r="D257" s="1473"/>
      <c r="E257" s="1473"/>
      <c r="F257" s="1473"/>
      <c r="G257" s="1473"/>
      <c r="H257" s="1473"/>
      <c r="I257" s="1473"/>
      <c r="J257" s="1473"/>
      <c r="K257" s="803"/>
      <c r="L257" s="1473" t="s">
        <v>1109</v>
      </c>
      <c r="M257" s="1473"/>
      <c r="N257" s="1473"/>
      <c r="O257" s="1473"/>
      <c r="P257" s="1473"/>
      <c r="Q257" s="1473"/>
      <c r="R257" s="1473"/>
      <c r="S257" s="1473"/>
      <c r="T257" s="1473"/>
      <c r="U257" s="1473"/>
      <c r="V257" s="971"/>
    </row>
    <row r="258" spans="1:25" s="903" customFormat="1" ht="12.75" thickBot="1">
      <c r="A258" s="902"/>
      <c r="B258" s="902"/>
      <c r="G258" s="902"/>
      <c r="H258" s="902"/>
      <c r="J258" s="235" t="s">
        <v>280</v>
      </c>
      <c r="K258" s="904"/>
      <c r="L258" s="902"/>
      <c r="M258" s="902"/>
      <c r="N258" s="902"/>
      <c r="O258" s="902"/>
      <c r="P258" s="902"/>
      <c r="Q258" s="902"/>
      <c r="R258" s="902"/>
      <c r="S258" s="902"/>
      <c r="U258" s="235" t="s">
        <v>280</v>
      </c>
      <c r="V258" s="890"/>
    </row>
    <row r="259" spans="1:25" s="906" customFormat="1" ht="36.75" thickBot="1">
      <c r="A259" s="394" t="s">
        <v>431</v>
      </c>
      <c r="B259" s="395" t="s">
        <v>1434</v>
      </c>
      <c r="C259" s="1165" t="s">
        <v>1586</v>
      </c>
      <c r="D259" s="6" t="s">
        <v>1587</v>
      </c>
      <c r="E259" s="6" t="s">
        <v>1658</v>
      </c>
      <c r="F259" s="7" t="s">
        <v>1659</v>
      </c>
      <c r="G259" s="374" t="s">
        <v>460</v>
      </c>
      <c r="H259" s="375" t="s">
        <v>461</v>
      </c>
      <c r="I259" s="375" t="s">
        <v>1435</v>
      </c>
      <c r="J259" s="1114" t="s">
        <v>18</v>
      </c>
      <c r="K259" s="905"/>
      <c r="L259" s="394" t="s">
        <v>431</v>
      </c>
      <c r="M259" s="395" t="s">
        <v>1434</v>
      </c>
      <c r="N259" s="1165" t="s">
        <v>1586</v>
      </c>
      <c r="O259" s="6" t="s">
        <v>1587</v>
      </c>
      <c r="P259" s="6" t="s">
        <v>1658</v>
      </c>
      <c r="Q259" s="7" t="s">
        <v>1659</v>
      </c>
      <c r="R259" s="374" t="s">
        <v>460</v>
      </c>
      <c r="S259" s="375" t="s">
        <v>461</v>
      </c>
      <c r="T259" s="375" t="s">
        <v>1435</v>
      </c>
      <c r="U259" s="1114" t="s">
        <v>18</v>
      </c>
      <c r="V259" s="891"/>
    </row>
    <row r="260" spans="1:25">
      <c r="A260" s="198" t="s">
        <v>432</v>
      </c>
      <c r="B260" s="199">
        <f t="shared" ref="B260:J260" si="201">+B277-B265-B264-B263-B262</f>
        <v>0</v>
      </c>
      <c r="C260" s="1302">
        <f t="shared" si="201"/>
        <v>6599</v>
      </c>
      <c r="D260" s="201">
        <f t="shared" ref="D260" si="202">+D277-D265-D264-D263-D262</f>
        <v>6599</v>
      </c>
      <c r="E260" s="201"/>
      <c r="F260" s="1306">
        <f t="shared" ref="F260" si="203">+F277-F265-F264-F263-F262</f>
        <v>6599</v>
      </c>
      <c r="G260" s="200">
        <f t="shared" si="201"/>
        <v>0</v>
      </c>
      <c r="H260" s="201">
        <f t="shared" si="201"/>
        <v>0</v>
      </c>
      <c r="I260" s="201">
        <f t="shared" si="201"/>
        <v>0</v>
      </c>
      <c r="J260" s="202">
        <f t="shared" si="201"/>
        <v>6599</v>
      </c>
      <c r="K260" s="907"/>
      <c r="L260" s="198" t="s">
        <v>432</v>
      </c>
      <c r="M260" s="199">
        <f t="shared" ref="M260:U260" si="204">+M277-M265-M264-M263-M262</f>
        <v>0</v>
      </c>
      <c r="N260" s="1302">
        <f t="shared" si="204"/>
        <v>81210</v>
      </c>
      <c r="O260" s="201">
        <f t="shared" ref="O260" si="205">+O277-O265-O264-O263-O262</f>
        <v>81210</v>
      </c>
      <c r="P260" s="201"/>
      <c r="Q260" s="1306">
        <f t="shared" ref="Q260" si="206">+Q277-Q265-Q264-Q263-Q262</f>
        <v>81210</v>
      </c>
      <c r="R260" s="200">
        <f t="shared" si="204"/>
        <v>0</v>
      </c>
      <c r="S260" s="201">
        <f t="shared" si="204"/>
        <v>0</v>
      </c>
      <c r="T260" s="201">
        <f t="shared" si="204"/>
        <v>0</v>
      </c>
      <c r="U260" s="202">
        <f t="shared" si="204"/>
        <v>81210</v>
      </c>
      <c r="V260" s="192"/>
    </row>
    <row r="261" spans="1:25">
      <c r="A261" s="203" t="s">
        <v>433</v>
      </c>
      <c r="B261" s="204"/>
      <c r="C261" s="1303"/>
      <c r="D261" s="206"/>
      <c r="E261" s="206"/>
      <c r="F261" s="1307">
        <f>+D261+E261</f>
        <v>0</v>
      </c>
      <c r="G261" s="205"/>
      <c r="H261" s="206"/>
      <c r="I261" s="206"/>
      <c r="J261" s="207">
        <f>+B261+F261+G261+H261+I261</f>
        <v>0</v>
      </c>
      <c r="K261" s="907"/>
      <c r="L261" s="203" t="s">
        <v>433</v>
      </c>
      <c r="M261" s="204"/>
      <c r="N261" s="1303"/>
      <c r="O261" s="206"/>
      <c r="P261" s="206"/>
      <c r="Q261" s="1307">
        <f>+O261+P261</f>
        <v>0</v>
      </c>
      <c r="R261" s="205"/>
      <c r="S261" s="206"/>
      <c r="T261" s="206"/>
      <c r="U261" s="207">
        <f>+M261+Q261+R261+S261+T261</f>
        <v>0</v>
      </c>
      <c r="V261" s="892"/>
      <c r="W261" s="118"/>
    </row>
    <row r="262" spans="1:25">
      <c r="A262" s="208" t="s">
        <v>434</v>
      </c>
      <c r="B262" s="209"/>
      <c r="C262" s="1304"/>
      <c r="D262" s="211"/>
      <c r="E262" s="211"/>
      <c r="F262" s="1308">
        <f t="shared" ref="F262:F265" si="207">+D262+E262</f>
        <v>0</v>
      </c>
      <c r="G262" s="210"/>
      <c r="H262" s="211"/>
      <c r="I262" s="211"/>
      <c r="J262" s="212">
        <f>+B262+F262+G262+H262+I262</f>
        <v>0</v>
      </c>
      <c r="K262" s="907"/>
      <c r="L262" s="208" t="s">
        <v>434</v>
      </c>
      <c r="M262" s="209"/>
      <c r="N262" s="1304"/>
      <c r="O262" s="211"/>
      <c r="P262" s="211"/>
      <c r="Q262" s="1308">
        <f t="shared" ref="Q262:Q265" si="208">+O262+P262</f>
        <v>0</v>
      </c>
      <c r="R262" s="210"/>
      <c r="S262" s="211"/>
      <c r="T262" s="211"/>
      <c r="U262" s="212">
        <f>+M262+Q262+R262+S262+T262</f>
        <v>0</v>
      </c>
      <c r="V262" s="192"/>
      <c r="W262" s="118"/>
      <c r="X262" s="118"/>
      <c r="Y262" s="118"/>
    </row>
    <row r="263" spans="1:25">
      <c r="A263" s="208" t="s">
        <v>435</v>
      </c>
      <c r="B263" s="209"/>
      <c r="C263" s="1304"/>
      <c r="D263" s="211"/>
      <c r="E263" s="211"/>
      <c r="F263" s="1308">
        <f t="shared" si="207"/>
        <v>0</v>
      </c>
      <c r="G263" s="210"/>
      <c r="H263" s="211"/>
      <c r="I263" s="211"/>
      <c r="J263" s="212">
        <f>+B263+F263+G263+H263+I263</f>
        <v>0</v>
      </c>
      <c r="K263" s="907"/>
      <c r="L263" s="208" t="s">
        <v>435</v>
      </c>
      <c r="M263" s="209"/>
      <c r="N263" s="1304"/>
      <c r="O263" s="211"/>
      <c r="P263" s="211"/>
      <c r="Q263" s="1308">
        <f t="shared" si="208"/>
        <v>0</v>
      </c>
      <c r="R263" s="210"/>
      <c r="S263" s="211"/>
      <c r="T263" s="211"/>
      <c r="U263" s="212">
        <f>+M263+Q263+R263+S263+T263</f>
        <v>0</v>
      </c>
      <c r="V263" s="192"/>
      <c r="W263" s="118"/>
    </row>
    <row r="264" spans="1:25">
      <c r="A264" s="208" t="s">
        <v>436</v>
      </c>
      <c r="B264" s="209"/>
      <c r="C264" s="1304"/>
      <c r="D264" s="211"/>
      <c r="E264" s="211"/>
      <c r="F264" s="1308">
        <f t="shared" si="207"/>
        <v>0</v>
      </c>
      <c r="G264" s="210"/>
      <c r="H264" s="211"/>
      <c r="I264" s="211"/>
      <c r="J264" s="212">
        <f>+B264+F264+G264+H264+I264</f>
        <v>0</v>
      </c>
      <c r="K264" s="907"/>
      <c r="L264" s="208" t="s">
        <v>436</v>
      </c>
      <c r="M264" s="209"/>
      <c r="N264" s="1304"/>
      <c r="O264" s="211"/>
      <c r="P264" s="211"/>
      <c r="Q264" s="1308">
        <f t="shared" si="208"/>
        <v>0</v>
      </c>
      <c r="R264" s="210"/>
      <c r="S264" s="211"/>
      <c r="T264" s="211"/>
      <c r="U264" s="212">
        <f>+M264+Q264+R264+S264+T264</f>
        <v>0</v>
      </c>
      <c r="V264" s="192"/>
      <c r="W264" s="118"/>
    </row>
    <row r="265" spans="1:25" ht="12.75" thickBot="1">
      <c r="A265" s="208" t="s">
        <v>437</v>
      </c>
      <c r="B265" s="209"/>
      <c r="C265" s="1304"/>
      <c r="D265" s="211"/>
      <c r="E265" s="211"/>
      <c r="F265" s="1308">
        <f t="shared" si="207"/>
        <v>0</v>
      </c>
      <c r="G265" s="210"/>
      <c r="H265" s="211"/>
      <c r="I265" s="211"/>
      <c r="J265" s="212">
        <f>+B265+F265+G265+H265+I265</f>
        <v>0</v>
      </c>
      <c r="K265" s="907"/>
      <c r="L265" s="208" t="s">
        <v>437</v>
      </c>
      <c r="M265" s="209"/>
      <c r="N265" s="1304"/>
      <c r="O265" s="211"/>
      <c r="P265" s="211"/>
      <c r="Q265" s="1308">
        <f t="shared" si="208"/>
        <v>0</v>
      </c>
      <c r="R265" s="210"/>
      <c r="S265" s="211"/>
      <c r="T265" s="211"/>
      <c r="U265" s="212">
        <f>+M265+Q265+R265+S265+T265</f>
        <v>0</v>
      </c>
      <c r="V265" s="192"/>
      <c r="W265" s="118"/>
    </row>
    <row r="266" spans="1:25" ht="12.75" thickBot="1">
      <c r="A266" s="191" t="s">
        <v>438</v>
      </c>
      <c r="B266" s="213">
        <f t="shared" ref="B266:J266" si="209">+B260+B262+B263+B264+B265</f>
        <v>0</v>
      </c>
      <c r="C266" s="1305">
        <f t="shared" si="209"/>
        <v>6599</v>
      </c>
      <c r="D266" s="213">
        <f t="shared" ref="D266:E266" si="210">+D260+D262+D263+D264+D265</f>
        <v>6599</v>
      </c>
      <c r="E266" s="213">
        <f t="shared" si="210"/>
        <v>0</v>
      </c>
      <c r="F266" s="1309">
        <f t="shared" si="209"/>
        <v>6599</v>
      </c>
      <c r="G266" s="215">
        <f t="shared" si="209"/>
        <v>0</v>
      </c>
      <c r="H266" s="213">
        <f t="shared" si="209"/>
        <v>0</v>
      </c>
      <c r="I266" s="213">
        <f t="shared" si="209"/>
        <v>0</v>
      </c>
      <c r="J266" s="214">
        <f t="shared" si="209"/>
        <v>6599</v>
      </c>
      <c r="K266" s="907"/>
      <c r="L266" s="191" t="s">
        <v>438</v>
      </c>
      <c r="M266" s="213">
        <f t="shared" ref="M266:U266" si="211">+M260+M262+M263+M264+M265</f>
        <v>0</v>
      </c>
      <c r="N266" s="1305">
        <f t="shared" si="211"/>
        <v>81210</v>
      </c>
      <c r="O266" s="213">
        <f t="shared" ref="O266:P266" si="212">+O260+O262+O263+O264+O265</f>
        <v>81210</v>
      </c>
      <c r="P266" s="213">
        <f t="shared" si="212"/>
        <v>0</v>
      </c>
      <c r="Q266" s="1309">
        <f t="shared" si="211"/>
        <v>81210</v>
      </c>
      <c r="R266" s="215">
        <f t="shared" si="211"/>
        <v>0</v>
      </c>
      <c r="S266" s="213">
        <f t="shared" si="211"/>
        <v>0</v>
      </c>
      <c r="T266" s="213">
        <f t="shared" si="211"/>
        <v>0</v>
      </c>
      <c r="U266" s="214">
        <f t="shared" si="211"/>
        <v>81210</v>
      </c>
      <c r="V266" s="192"/>
    </row>
    <row r="267" spans="1:25" ht="12.75" thickBo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907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</row>
    <row r="268" spans="1:25" s="906" customFormat="1" ht="36.75" thickBot="1">
      <c r="A268" s="394" t="s">
        <v>439</v>
      </c>
      <c r="B268" s="395" t="s">
        <v>1434</v>
      </c>
      <c r="C268" s="1165" t="s">
        <v>1586</v>
      </c>
      <c r="D268" s="6" t="s">
        <v>1587</v>
      </c>
      <c r="E268" s="6" t="s">
        <v>1658</v>
      </c>
      <c r="F268" s="7" t="s">
        <v>1659</v>
      </c>
      <c r="G268" s="374" t="s">
        <v>460</v>
      </c>
      <c r="H268" s="375" t="s">
        <v>461</v>
      </c>
      <c r="I268" s="375" t="s">
        <v>1435</v>
      </c>
      <c r="J268" s="1114" t="s">
        <v>18</v>
      </c>
      <c r="K268" s="909"/>
      <c r="L268" s="394" t="s">
        <v>439</v>
      </c>
      <c r="M268" s="395" t="s">
        <v>1434</v>
      </c>
      <c r="N268" s="1165" t="s">
        <v>1586</v>
      </c>
      <c r="O268" s="6" t="s">
        <v>1587</v>
      </c>
      <c r="P268" s="6" t="s">
        <v>1658</v>
      </c>
      <c r="Q268" s="7" t="s">
        <v>1659</v>
      </c>
      <c r="R268" s="374" t="s">
        <v>460</v>
      </c>
      <c r="S268" s="375" t="s">
        <v>461</v>
      </c>
      <c r="T268" s="375" t="s">
        <v>1435</v>
      </c>
      <c r="U268" s="1114" t="s">
        <v>18</v>
      </c>
      <c r="V268" s="891"/>
    </row>
    <row r="269" spans="1:25">
      <c r="A269" s="198" t="s">
        <v>445</v>
      </c>
      <c r="B269" s="199"/>
      <c r="C269" s="1302"/>
      <c r="D269" s="201"/>
      <c r="E269" s="1318"/>
      <c r="F269" s="1306">
        <f t="shared" ref="F269:F276" si="213">+D269+E269</f>
        <v>0</v>
      </c>
      <c r="G269" s="200"/>
      <c r="H269" s="201"/>
      <c r="I269" s="201"/>
      <c r="J269" s="202">
        <f t="shared" ref="J269:J276" si="214">+B269+F269+G269+H269+I269</f>
        <v>0</v>
      </c>
      <c r="K269" s="907"/>
      <c r="L269" s="198" t="s">
        <v>445</v>
      </c>
      <c r="M269" s="199"/>
      <c r="N269" s="1302"/>
      <c r="O269" s="201"/>
      <c r="P269" s="1318"/>
      <c r="Q269" s="1306">
        <f t="shared" ref="Q269:Q276" si="215">+O269+P269</f>
        <v>0</v>
      </c>
      <c r="R269" s="200"/>
      <c r="S269" s="201"/>
      <c r="T269" s="201"/>
      <c r="U269" s="202">
        <f t="shared" ref="U269:U276" si="216">+M269+Q269+R269+S269+T269</f>
        <v>0</v>
      </c>
      <c r="V269" s="192"/>
      <c r="W269" s="118"/>
      <c r="X269" s="118"/>
      <c r="Y269" s="118"/>
    </row>
    <row r="270" spans="1:25">
      <c r="A270" s="217" t="s">
        <v>446</v>
      </c>
      <c r="B270" s="209"/>
      <c r="C270" s="1304"/>
      <c r="D270" s="211"/>
      <c r="E270" s="1319"/>
      <c r="F270" s="1308">
        <f t="shared" si="213"/>
        <v>0</v>
      </c>
      <c r="G270" s="210"/>
      <c r="H270" s="211"/>
      <c r="I270" s="211"/>
      <c r="J270" s="212">
        <f t="shared" si="214"/>
        <v>0</v>
      </c>
      <c r="K270" s="907"/>
      <c r="L270" s="217" t="s">
        <v>446</v>
      </c>
      <c r="M270" s="209"/>
      <c r="N270" s="1304"/>
      <c r="O270" s="211"/>
      <c r="P270" s="1319"/>
      <c r="Q270" s="1308">
        <f t="shared" si="215"/>
        <v>0</v>
      </c>
      <c r="R270" s="210"/>
      <c r="S270" s="211"/>
      <c r="T270" s="211"/>
      <c r="U270" s="212">
        <f t="shared" si="216"/>
        <v>0</v>
      </c>
      <c r="V270" s="192"/>
      <c r="W270" s="118"/>
      <c r="X270" s="118"/>
      <c r="Y270" s="118"/>
    </row>
    <row r="271" spans="1:25">
      <c r="A271" s="208" t="s">
        <v>447</v>
      </c>
      <c r="B271" s="209"/>
      <c r="C271" s="1304"/>
      <c r="D271" s="211"/>
      <c r="E271" s="1319"/>
      <c r="F271" s="1308">
        <f t="shared" si="213"/>
        <v>0</v>
      </c>
      <c r="G271" s="210"/>
      <c r="H271" s="211"/>
      <c r="I271" s="211"/>
      <c r="J271" s="212">
        <f t="shared" si="214"/>
        <v>0</v>
      </c>
      <c r="K271" s="907"/>
      <c r="L271" s="208" t="s">
        <v>447</v>
      </c>
      <c r="M271" s="209"/>
      <c r="N271" s="1304"/>
      <c r="O271" s="211"/>
      <c r="P271" s="1319"/>
      <c r="Q271" s="1308">
        <f t="shared" si="215"/>
        <v>0</v>
      </c>
      <c r="R271" s="210"/>
      <c r="S271" s="211"/>
      <c r="T271" s="211"/>
      <c r="U271" s="212">
        <f t="shared" si="216"/>
        <v>0</v>
      </c>
      <c r="V271" s="192"/>
      <c r="W271" s="118"/>
      <c r="X271" s="118"/>
      <c r="Y271" s="118"/>
    </row>
    <row r="272" spans="1:25">
      <c r="A272" s="208" t="s">
        <v>448</v>
      </c>
      <c r="B272" s="209"/>
      <c r="C272" s="1304"/>
      <c r="D272" s="211"/>
      <c r="E272" s="1319"/>
      <c r="F272" s="1308">
        <f t="shared" si="213"/>
        <v>0</v>
      </c>
      <c r="G272" s="210"/>
      <c r="H272" s="211"/>
      <c r="I272" s="211"/>
      <c r="J272" s="212">
        <f t="shared" si="214"/>
        <v>0</v>
      </c>
      <c r="K272" s="907"/>
      <c r="L272" s="208" t="s">
        <v>448</v>
      </c>
      <c r="M272" s="209"/>
      <c r="N272" s="1304"/>
      <c r="O272" s="211"/>
      <c r="P272" s="1319"/>
      <c r="Q272" s="1308">
        <f t="shared" si="215"/>
        <v>0</v>
      </c>
      <c r="R272" s="210"/>
      <c r="S272" s="211"/>
      <c r="T272" s="211"/>
      <c r="U272" s="212">
        <f t="shared" si="216"/>
        <v>0</v>
      </c>
      <c r="V272" s="192"/>
      <c r="W272" s="118"/>
      <c r="Y272" s="118"/>
    </row>
    <row r="273" spans="1:25">
      <c r="A273" s="218" t="s">
        <v>449</v>
      </c>
      <c r="B273" s="219"/>
      <c r="C273" s="1304">
        <v>6599</v>
      </c>
      <c r="D273" s="211">
        <v>6599</v>
      </c>
      <c r="E273" s="1319"/>
      <c r="F273" s="1308">
        <f t="shared" si="213"/>
        <v>6599</v>
      </c>
      <c r="G273" s="210"/>
      <c r="H273" s="211"/>
      <c r="I273" s="211"/>
      <c r="J273" s="212">
        <f t="shared" si="214"/>
        <v>6599</v>
      </c>
      <c r="K273" s="907"/>
      <c r="L273" s="218" t="s">
        <v>449</v>
      </c>
      <c r="M273" s="219"/>
      <c r="N273" s="1304">
        <v>81210</v>
      </c>
      <c r="O273" s="211">
        <v>81210</v>
      </c>
      <c r="P273" s="1319"/>
      <c r="Q273" s="1308">
        <f t="shared" si="215"/>
        <v>81210</v>
      </c>
      <c r="R273" s="210"/>
      <c r="S273" s="211"/>
      <c r="T273" s="211"/>
      <c r="U273" s="212">
        <f t="shared" si="216"/>
        <v>81210</v>
      </c>
      <c r="V273" s="192"/>
      <c r="W273" s="118"/>
      <c r="X273" s="118"/>
      <c r="Y273" s="118"/>
    </row>
    <row r="274" spans="1:25">
      <c r="A274" s="218" t="s">
        <v>450</v>
      </c>
      <c r="B274" s="219"/>
      <c r="C274" s="1304"/>
      <c r="D274" s="211"/>
      <c r="E274" s="1319"/>
      <c r="F274" s="1308">
        <f t="shared" si="213"/>
        <v>0</v>
      </c>
      <c r="G274" s="210"/>
      <c r="H274" s="211"/>
      <c r="I274" s="211"/>
      <c r="J274" s="212">
        <f t="shared" si="214"/>
        <v>0</v>
      </c>
      <c r="K274" s="907"/>
      <c r="L274" s="218" t="s">
        <v>450</v>
      </c>
      <c r="M274" s="219"/>
      <c r="N274" s="1304"/>
      <c r="O274" s="211"/>
      <c r="P274" s="1319"/>
      <c r="Q274" s="1308">
        <f t="shared" si="215"/>
        <v>0</v>
      </c>
      <c r="R274" s="210"/>
      <c r="S274" s="211"/>
      <c r="T274" s="211"/>
      <c r="U274" s="212">
        <f t="shared" si="216"/>
        <v>0</v>
      </c>
      <c r="V274" s="192"/>
      <c r="W274" s="118"/>
      <c r="X274" s="118"/>
      <c r="Y274" s="118"/>
    </row>
    <row r="275" spans="1:25">
      <c r="A275" s="220" t="s">
        <v>451</v>
      </c>
      <c r="B275" s="221"/>
      <c r="C275" s="1310"/>
      <c r="D275" s="223"/>
      <c r="E275" s="1320"/>
      <c r="F275" s="1311">
        <f t="shared" si="213"/>
        <v>0</v>
      </c>
      <c r="G275" s="222"/>
      <c r="H275" s="223"/>
      <c r="I275" s="223"/>
      <c r="J275" s="212">
        <f t="shared" si="214"/>
        <v>0</v>
      </c>
      <c r="K275" s="907"/>
      <c r="L275" s="220" t="s">
        <v>451</v>
      </c>
      <c r="M275" s="221"/>
      <c r="N275" s="1310"/>
      <c r="O275" s="223"/>
      <c r="P275" s="1320"/>
      <c r="Q275" s="1311">
        <f t="shared" si="215"/>
        <v>0</v>
      </c>
      <c r="R275" s="210"/>
      <c r="S275" s="223"/>
      <c r="T275" s="223"/>
      <c r="U275" s="212">
        <f t="shared" si="216"/>
        <v>0</v>
      </c>
      <c r="V275" s="192"/>
      <c r="W275" s="118"/>
      <c r="X275" s="118"/>
      <c r="Y275" s="118"/>
    </row>
    <row r="276" spans="1:25" ht="12.75" thickBot="1">
      <c r="A276" s="220" t="s">
        <v>452</v>
      </c>
      <c r="B276" s="221"/>
      <c r="C276" s="1310"/>
      <c r="D276" s="223"/>
      <c r="E276" s="1320"/>
      <c r="F276" s="1311">
        <f t="shared" si="213"/>
        <v>0</v>
      </c>
      <c r="G276" s="222"/>
      <c r="H276" s="223"/>
      <c r="I276" s="223"/>
      <c r="J276" s="212">
        <f t="shared" si="214"/>
        <v>0</v>
      </c>
      <c r="K276" s="907"/>
      <c r="L276" s="220" t="s">
        <v>452</v>
      </c>
      <c r="M276" s="221"/>
      <c r="N276" s="1310"/>
      <c r="O276" s="223"/>
      <c r="P276" s="1320"/>
      <c r="Q276" s="1311">
        <f t="shared" si="215"/>
        <v>0</v>
      </c>
      <c r="R276" s="222"/>
      <c r="S276" s="223"/>
      <c r="T276" s="223"/>
      <c r="U276" s="212">
        <f t="shared" si="216"/>
        <v>0</v>
      </c>
      <c r="V276" s="192"/>
      <c r="W276" s="118"/>
      <c r="X276" s="118"/>
      <c r="Y276" s="118"/>
    </row>
    <row r="277" spans="1:25" ht="12.75" thickBot="1">
      <c r="A277" s="191" t="s">
        <v>453</v>
      </c>
      <c r="B277" s="213">
        <f t="shared" ref="B277:J277" si="217">+B269+B270+B271+B272+B273+B274+B275+B276</f>
        <v>0</v>
      </c>
      <c r="C277" s="1305">
        <f t="shared" si="217"/>
        <v>6599</v>
      </c>
      <c r="D277" s="213">
        <f t="shared" ref="D277:E277" si="218">+D269+D270+D271+D272+D273+D274+D275+D276</f>
        <v>6599</v>
      </c>
      <c r="E277" s="1312">
        <f t="shared" si="218"/>
        <v>0</v>
      </c>
      <c r="F277" s="1309">
        <f t="shared" si="217"/>
        <v>6599</v>
      </c>
      <c r="G277" s="215">
        <f t="shared" si="217"/>
        <v>0</v>
      </c>
      <c r="H277" s="213">
        <f t="shared" si="217"/>
        <v>0</v>
      </c>
      <c r="I277" s="213">
        <f t="shared" si="217"/>
        <v>0</v>
      </c>
      <c r="J277" s="214">
        <f t="shared" si="217"/>
        <v>6599</v>
      </c>
      <c r="L277" s="191" t="s">
        <v>453</v>
      </c>
      <c r="M277" s="213">
        <f t="shared" ref="M277:U277" si="219">+M269+M270+M271+M272+M273+M274+M275+M276</f>
        <v>0</v>
      </c>
      <c r="N277" s="1305">
        <f t="shared" si="219"/>
        <v>81210</v>
      </c>
      <c r="O277" s="213">
        <f t="shared" ref="O277:P277" si="220">+O269+O270+O271+O272+O273+O274+O275+O276</f>
        <v>81210</v>
      </c>
      <c r="P277" s="1312">
        <f t="shared" si="220"/>
        <v>0</v>
      </c>
      <c r="Q277" s="1309">
        <f t="shared" si="219"/>
        <v>81210</v>
      </c>
      <c r="R277" s="215">
        <f t="shared" si="219"/>
        <v>0</v>
      </c>
      <c r="S277" s="213">
        <f t="shared" si="219"/>
        <v>0</v>
      </c>
      <c r="T277" s="213">
        <f t="shared" si="219"/>
        <v>0</v>
      </c>
      <c r="U277" s="214">
        <f t="shared" si="219"/>
        <v>81210</v>
      </c>
      <c r="V277" s="192"/>
      <c r="X277" s="907"/>
    </row>
    <row r="278" spans="1:25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907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</row>
    <row r="280" spans="1:25" s="900" customFormat="1" ht="15.75">
      <c r="A280" s="190" t="s">
        <v>1374</v>
      </c>
      <c r="B280" s="972" t="s">
        <v>1391</v>
      </c>
      <c r="C280" s="1113"/>
      <c r="D280" s="1113"/>
      <c r="E280" s="1113"/>
      <c r="F280" s="972"/>
      <c r="G280" s="972"/>
      <c r="H280" s="972"/>
      <c r="I280" s="972"/>
      <c r="J280" s="972"/>
      <c r="K280" s="803"/>
      <c r="L280" s="190" t="s">
        <v>1375</v>
      </c>
      <c r="M280" s="972" t="s">
        <v>1393</v>
      </c>
      <c r="N280" s="1113"/>
      <c r="O280" s="1113"/>
      <c r="P280" s="1113"/>
      <c r="Q280" s="972"/>
      <c r="R280" s="972"/>
      <c r="S280" s="972"/>
      <c r="T280" s="972"/>
      <c r="U280" s="972"/>
      <c r="V280" s="972"/>
    </row>
    <row r="281" spans="1:25" s="900" customFormat="1" ht="15.75" customHeight="1">
      <c r="A281" s="1474" t="s">
        <v>1392</v>
      </c>
      <c r="B281" s="1474"/>
      <c r="C281" s="1474"/>
      <c r="D281" s="1474"/>
      <c r="E281" s="1474"/>
      <c r="F281" s="1474"/>
      <c r="G281" s="1474"/>
      <c r="H281" s="1474"/>
      <c r="I281" s="1474"/>
      <c r="J281" s="1474"/>
      <c r="K281" s="803"/>
      <c r="L281" s="1474" t="s">
        <v>1394</v>
      </c>
      <c r="M281" s="1474"/>
      <c r="N281" s="1474"/>
      <c r="O281" s="1474"/>
      <c r="P281" s="1474"/>
      <c r="Q281" s="1474"/>
      <c r="R281" s="1474"/>
      <c r="S281" s="1474"/>
      <c r="T281" s="1474"/>
      <c r="U281" s="1474"/>
      <c r="V281" s="966"/>
    </row>
    <row r="282" spans="1:25" s="900" customFormat="1" ht="15.75">
      <c r="A282" s="1473" t="s">
        <v>1109</v>
      </c>
      <c r="B282" s="1473"/>
      <c r="C282" s="1473"/>
      <c r="D282" s="1473"/>
      <c r="E282" s="1473"/>
      <c r="F282" s="1473"/>
      <c r="G282" s="1473"/>
      <c r="H282" s="1473"/>
      <c r="I282" s="1473"/>
      <c r="J282" s="1473"/>
      <c r="K282" s="803"/>
      <c r="L282" s="1473" t="s">
        <v>1109</v>
      </c>
      <c r="M282" s="1473"/>
      <c r="N282" s="1473"/>
      <c r="O282" s="1473"/>
      <c r="P282" s="1473"/>
      <c r="Q282" s="1473"/>
      <c r="R282" s="1473"/>
      <c r="S282" s="1473"/>
      <c r="T282" s="1473"/>
      <c r="U282" s="1473"/>
      <c r="V282" s="971"/>
    </row>
    <row r="283" spans="1:25" s="903" customFormat="1" ht="12.75" thickBot="1">
      <c r="A283" s="902"/>
      <c r="B283" s="902"/>
      <c r="G283" s="902"/>
      <c r="H283" s="902"/>
      <c r="J283" s="235" t="s">
        <v>280</v>
      </c>
      <c r="K283" s="904"/>
      <c r="L283" s="902"/>
      <c r="M283" s="902"/>
      <c r="N283" s="902"/>
      <c r="O283" s="902"/>
      <c r="P283" s="902"/>
      <c r="Q283" s="902"/>
      <c r="R283" s="902"/>
      <c r="S283" s="902"/>
      <c r="U283" s="235" t="s">
        <v>280</v>
      </c>
      <c r="V283" s="890"/>
    </row>
    <row r="284" spans="1:25" s="906" customFormat="1" ht="36.75" thickBot="1">
      <c r="A284" s="394" t="s">
        <v>431</v>
      </c>
      <c r="B284" s="395" t="s">
        <v>1434</v>
      </c>
      <c r="C284" s="1165" t="s">
        <v>1586</v>
      </c>
      <c r="D284" s="6" t="s">
        <v>1587</v>
      </c>
      <c r="E284" s="6" t="s">
        <v>1658</v>
      </c>
      <c r="F284" s="7" t="s">
        <v>1659</v>
      </c>
      <c r="G284" s="374" t="s">
        <v>460</v>
      </c>
      <c r="H284" s="375" t="s">
        <v>461</v>
      </c>
      <c r="I284" s="375" t="s">
        <v>1435</v>
      </c>
      <c r="J284" s="1114" t="s">
        <v>18</v>
      </c>
      <c r="K284" s="905"/>
      <c r="L284" s="394" t="s">
        <v>431</v>
      </c>
      <c r="M284" s="395" t="s">
        <v>1434</v>
      </c>
      <c r="N284" s="1165" t="s">
        <v>1586</v>
      </c>
      <c r="O284" s="6" t="s">
        <v>1587</v>
      </c>
      <c r="P284" s="6" t="s">
        <v>1658</v>
      </c>
      <c r="Q284" s="7" t="s">
        <v>1659</v>
      </c>
      <c r="R284" s="374" t="s">
        <v>460</v>
      </c>
      <c r="S284" s="375" t="s">
        <v>461</v>
      </c>
      <c r="T284" s="375" t="s">
        <v>1435</v>
      </c>
      <c r="U284" s="1114" t="s">
        <v>18</v>
      </c>
      <c r="V284" s="891"/>
    </row>
    <row r="285" spans="1:25">
      <c r="A285" s="198" t="s">
        <v>432</v>
      </c>
      <c r="B285" s="199">
        <f t="shared" ref="B285:J285" si="221">+B302-B290-B289-B288-B287</f>
        <v>0</v>
      </c>
      <c r="C285" s="1302">
        <f t="shared" si="221"/>
        <v>514107</v>
      </c>
      <c r="D285" s="201">
        <f t="shared" ref="D285" si="222">+D302-D290-D289-D288-D287</f>
        <v>514107</v>
      </c>
      <c r="E285" s="201"/>
      <c r="F285" s="1306">
        <f t="shared" ref="F285" si="223">+F302-F290-F289-F288-F287</f>
        <v>514107</v>
      </c>
      <c r="G285" s="200">
        <f t="shared" si="221"/>
        <v>0</v>
      </c>
      <c r="H285" s="201">
        <f t="shared" si="221"/>
        <v>0</v>
      </c>
      <c r="I285" s="201">
        <f t="shared" si="221"/>
        <v>0</v>
      </c>
      <c r="J285" s="202">
        <f t="shared" si="221"/>
        <v>514107</v>
      </c>
      <c r="K285" s="907"/>
      <c r="L285" s="198" t="s">
        <v>432</v>
      </c>
      <c r="M285" s="199">
        <f t="shared" ref="M285:U285" si="224">+M302-M290-M289-M288-M287</f>
        <v>0</v>
      </c>
      <c r="N285" s="1302">
        <f t="shared" si="224"/>
        <v>25745</v>
      </c>
      <c r="O285" s="201">
        <f t="shared" ref="O285" si="225">+O302-O290-O289-O288-O287</f>
        <v>25745</v>
      </c>
      <c r="P285" s="201"/>
      <c r="Q285" s="1306">
        <f t="shared" ref="Q285" si="226">+Q302-Q290-Q289-Q288-Q287</f>
        <v>25745</v>
      </c>
      <c r="R285" s="200">
        <f t="shared" si="224"/>
        <v>0</v>
      </c>
      <c r="S285" s="201">
        <f t="shared" si="224"/>
        <v>0</v>
      </c>
      <c r="T285" s="201">
        <f t="shared" si="224"/>
        <v>0</v>
      </c>
      <c r="U285" s="202">
        <f t="shared" si="224"/>
        <v>25745</v>
      </c>
      <c r="V285" s="192"/>
    </row>
    <row r="286" spans="1:25">
      <c r="A286" s="203" t="s">
        <v>433</v>
      </c>
      <c r="B286" s="204"/>
      <c r="C286" s="1303"/>
      <c r="D286" s="206"/>
      <c r="E286" s="206"/>
      <c r="F286" s="1307">
        <f>+D286+E286</f>
        <v>0</v>
      </c>
      <c r="G286" s="205"/>
      <c r="H286" s="206"/>
      <c r="I286" s="206"/>
      <c r="J286" s="207">
        <f>+B286+F286+G286+H286+I286</f>
        <v>0</v>
      </c>
      <c r="K286" s="907"/>
      <c r="L286" s="203" t="s">
        <v>433</v>
      </c>
      <c r="M286" s="204"/>
      <c r="N286" s="1303"/>
      <c r="O286" s="206"/>
      <c r="P286" s="206"/>
      <c r="Q286" s="1307">
        <f>+O286+P286</f>
        <v>0</v>
      </c>
      <c r="R286" s="205"/>
      <c r="S286" s="206"/>
      <c r="T286" s="206"/>
      <c r="U286" s="207">
        <f>+M286+Q286+R286+S286+T286</f>
        <v>0</v>
      </c>
      <c r="V286" s="892"/>
      <c r="W286" s="118"/>
    </row>
    <row r="287" spans="1:25">
      <c r="A287" s="208" t="s">
        <v>434</v>
      </c>
      <c r="B287" s="209"/>
      <c r="C287" s="1304"/>
      <c r="D287" s="211"/>
      <c r="E287" s="211"/>
      <c r="F287" s="1308">
        <f t="shared" ref="F287:F290" si="227">+D287+E287</f>
        <v>0</v>
      </c>
      <c r="G287" s="210"/>
      <c r="H287" s="211"/>
      <c r="I287" s="211"/>
      <c r="J287" s="212">
        <f>+B287+F287+G287+H287+I287</f>
        <v>0</v>
      </c>
      <c r="K287" s="907"/>
      <c r="L287" s="208" t="s">
        <v>434</v>
      </c>
      <c r="M287" s="209"/>
      <c r="N287" s="1304"/>
      <c r="O287" s="211"/>
      <c r="P287" s="211"/>
      <c r="Q287" s="1308">
        <f t="shared" ref="Q287:Q290" si="228">+O287+P287</f>
        <v>0</v>
      </c>
      <c r="R287" s="210"/>
      <c r="S287" s="211"/>
      <c r="T287" s="211"/>
      <c r="U287" s="212">
        <f>+M287+Q287+R287+S287+T287</f>
        <v>0</v>
      </c>
      <c r="V287" s="192"/>
      <c r="W287" s="118"/>
      <c r="X287" s="118"/>
      <c r="Y287" s="118"/>
    </row>
    <row r="288" spans="1:25">
      <c r="A288" s="208" t="s">
        <v>435</v>
      </c>
      <c r="B288" s="209"/>
      <c r="C288" s="1304"/>
      <c r="D288" s="211"/>
      <c r="E288" s="211"/>
      <c r="F288" s="1308">
        <f t="shared" si="227"/>
        <v>0</v>
      </c>
      <c r="G288" s="210"/>
      <c r="H288" s="211"/>
      <c r="I288" s="211"/>
      <c r="J288" s="212">
        <f>+B288+F288+G288+H288+I288</f>
        <v>0</v>
      </c>
      <c r="K288" s="907"/>
      <c r="L288" s="208" t="s">
        <v>435</v>
      </c>
      <c r="M288" s="209"/>
      <c r="N288" s="1304"/>
      <c r="O288" s="211"/>
      <c r="P288" s="211"/>
      <c r="Q288" s="1308">
        <f t="shared" si="228"/>
        <v>0</v>
      </c>
      <c r="R288" s="210"/>
      <c r="S288" s="211"/>
      <c r="T288" s="211"/>
      <c r="U288" s="212">
        <f>+M288+Q288+R288+S288+T288</f>
        <v>0</v>
      </c>
      <c r="V288" s="192"/>
      <c r="W288" s="118"/>
    </row>
    <row r="289" spans="1:25">
      <c r="A289" s="208" t="s">
        <v>436</v>
      </c>
      <c r="B289" s="209"/>
      <c r="C289" s="1304"/>
      <c r="D289" s="211"/>
      <c r="E289" s="211"/>
      <c r="F289" s="1308">
        <f t="shared" si="227"/>
        <v>0</v>
      </c>
      <c r="G289" s="210"/>
      <c r="H289" s="211"/>
      <c r="I289" s="211"/>
      <c r="J289" s="212">
        <f>+B289+F289+G289+H289+I289</f>
        <v>0</v>
      </c>
      <c r="K289" s="907"/>
      <c r="L289" s="208" t="s">
        <v>436</v>
      </c>
      <c r="M289" s="209"/>
      <c r="N289" s="1304"/>
      <c r="O289" s="211"/>
      <c r="P289" s="211"/>
      <c r="Q289" s="1308">
        <f t="shared" si="228"/>
        <v>0</v>
      </c>
      <c r="R289" s="210"/>
      <c r="S289" s="211"/>
      <c r="T289" s="211"/>
      <c r="U289" s="212">
        <f>+M289+Q289+R289+S289+T289</f>
        <v>0</v>
      </c>
      <c r="V289" s="192"/>
      <c r="W289" s="118"/>
    </row>
    <row r="290" spans="1:25" ht="12.75" thickBot="1">
      <c r="A290" s="208" t="s">
        <v>437</v>
      </c>
      <c r="B290" s="209"/>
      <c r="C290" s="1304"/>
      <c r="D290" s="211"/>
      <c r="E290" s="211"/>
      <c r="F290" s="1308">
        <f t="shared" si="227"/>
        <v>0</v>
      </c>
      <c r="G290" s="210"/>
      <c r="H290" s="211"/>
      <c r="I290" s="211"/>
      <c r="J290" s="212">
        <f>+B290+F290+G290+H290+I290</f>
        <v>0</v>
      </c>
      <c r="K290" s="907"/>
      <c r="L290" s="208" t="s">
        <v>437</v>
      </c>
      <c r="M290" s="209"/>
      <c r="N290" s="1304"/>
      <c r="O290" s="211"/>
      <c r="P290" s="211"/>
      <c r="Q290" s="1308">
        <f t="shared" si="228"/>
        <v>0</v>
      </c>
      <c r="R290" s="210"/>
      <c r="S290" s="211"/>
      <c r="T290" s="211"/>
      <c r="U290" s="212">
        <f>+M290+Q290+R290+S290+T290</f>
        <v>0</v>
      </c>
      <c r="V290" s="192"/>
      <c r="W290" s="118"/>
    </row>
    <row r="291" spans="1:25" ht="12.75" thickBot="1">
      <c r="A291" s="191" t="s">
        <v>438</v>
      </c>
      <c r="B291" s="213">
        <f t="shared" ref="B291:J291" si="229">+B285+B287+B288+B289+B290</f>
        <v>0</v>
      </c>
      <c r="C291" s="1305">
        <f t="shared" si="229"/>
        <v>514107</v>
      </c>
      <c r="D291" s="213">
        <f t="shared" ref="D291:E291" si="230">+D285+D287+D288+D289+D290</f>
        <v>514107</v>
      </c>
      <c r="E291" s="213">
        <f t="shared" si="230"/>
        <v>0</v>
      </c>
      <c r="F291" s="1309">
        <f t="shared" si="229"/>
        <v>514107</v>
      </c>
      <c r="G291" s="215">
        <f t="shared" si="229"/>
        <v>0</v>
      </c>
      <c r="H291" s="213">
        <f t="shared" si="229"/>
        <v>0</v>
      </c>
      <c r="I291" s="213">
        <f t="shared" si="229"/>
        <v>0</v>
      </c>
      <c r="J291" s="214">
        <f t="shared" si="229"/>
        <v>514107</v>
      </c>
      <c r="K291" s="907"/>
      <c r="L291" s="191" t="s">
        <v>438</v>
      </c>
      <c r="M291" s="213">
        <f t="shared" ref="M291:U291" si="231">+M285+M287+M288+M289+M290</f>
        <v>0</v>
      </c>
      <c r="N291" s="1305">
        <f t="shared" si="231"/>
        <v>25745</v>
      </c>
      <c r="O291" s="213">
        <f t="shared" ref="O291:P291" si="232">+O285+O287+O288+O289+O290</f>
        <v>25745</v>
      </c>
      <c r="P291" s="213">
        <f t="shared" si="232"/>
        <v>0</v>
      </c>
      <c r="Q291" s="1309">
        <f t="shared" si="231"/>
        <v>25745</v>
      </c>
      <c r="R291" s="215">
        <f t="shared" si="231"/>
        <v>0</v>
      </c>
      <c r="S291" s="213">
        <f t="shared" si="231"/>
        <v>0</v>
      </c>
      <c r="T291" s="213">
        <f t="shared" si="231"/>
        <v>0</v>
      </c>
      <c r="U291" s="214">
        <f t="shared" si="231"/>
        <v>25745</v>
      </c>
      <c r="V291" s="192"/>
    </row>
    <row r="292" spans="1:25" ht="12.75" thickBo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907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</row>
    <row r="293" spans="1:25" s="906" customFormat="1" ht="36.75" thickBot="1">
      <c r="A293" s="394" t="s">
        <v>439</v>
      </c>
      <c r="B293" s="395" t="s">
        <v>1434</v>
      </c>
      <c r="C293" s="1165" t="s">
        <v>1586</v>
      </c>
      <c r="D293" s="6" t="s">
        <v>1587</v>
      </c>
      <c r="E293" s="6" t="s">
        <v>1658</v>
      </c>
      <c r="F293" s="7" t="s">
        <v>1659</v>
      </c>
      <c r="G293" s="374" t="s">
        <v>460</v>
      </c>
      <c r="H293" s="375" t="s">
        <v>461</v>
      </c>
      <c r="I293" s="375" t="s">
        <v>1435</v>
      </c>
      <c r="J293" s="1114" t="s">
        <v>18</v>
      </c>
      <c r="K293" s="909"/>
      <c r="L293" s="394" t="s">
        <v>439</v>
      </c>
      <c r="M293" s="395" t="s">
        <v>1434</v>
      </c>
      <c r="N293" s="1165" t="s">
        <v>1586</v>
      </c>
      <c r="O293" s="6" t="s">
        <v>1587</v>
      </c>
      <c r="P293" s="6" t="s">
        <v>1658</v>
      </c>
      <c r="Q293" s="7" t="s">
        <v>1659</v>
      </c>
      <c r="R293" s="374" t="s">
        <v>460</v>
      </c>
      <c r="S293" s="375" t="s">
        <v>461</v>
      </c>
      <c r="T293" s="375" t="s">
        <v>1435</v>
      </c>
      <c r="U293" s="1114" t="s">
        <v>18</v>
      </c>
      <c r="V293" s="891"/>
    </row>
    <row r="294" spans="1:25">
      <c r="A294" s="198" t="s">
        <v>445</v>
      </c>
      <c r="B294" s="199"/>
      <c r="C294" s="1302"/>
      <c r="D294" s="201"/>
      <c r="E294" s="1318"/>
      <c r="F294" s="1306">
        <f t="shared" ref="F294:F301" si="233">+D294+E294</f>
        <v>0</v>
      </c>
      <c r="G294" s="200"/>
      <c r="H294" s="201"/>
      <c r="I294" s="201"/>
      <c r="J294" s="202">
        <f t="shared" ref="J294:J301" si="234">+B294+F294+G294+H294+I294</f>
        <v>0</v>
      </c>
      <c r="K294" s="907"/>
      <c r="L294" s="198" t="s">
        <v>445</v>
      </c>
      <c r="M294" s="199"/>
      <c r="N294" s="1302"/>
      <c r="O294" s="201"/>
      <c r="P294" s="1318"/>
      <c r="Q294" s="1306">
        <f t="shared" ref="Q294:Q301" si="235">+O294+P294</f>
        <v>0</v>
      </c>
      <c r="R294" s="200"/>
      <c r="S294" s="201"/>
      <c r="T294" s="201"/>
      <c r="U294" s="202">
        <f t="shared" ref="U294:U301" si="236">+M294+Q294+R294+S294+T294</f>
        <v>0</v>
      </c>
      <c r="V294" s="192"/>
      <c r="W294" s="118"/>
      <c r="X294" s="118"/>
      <c r="Y294" s="118"/>
    </row>
    <row r="295" spans="1:25">
      <c r="A295" s="217" t="s">
        <v>446</v>
      </c>
      <c r="B295" s="209"/>
      <c r="C295" s="1304"/>
      <c r="D295" s="211"/>
      <c r="E295" s="1319"/>
      <c r="F295" s="1308">
        <f t="shared" si="233"/>
        <v>0</v>
      </c>
      <c r="G295" s="210"/>
      <c r="H295" s="211"/>
      <c r="I295" s="211"/>
      <c r="J295" s="212">
        <f t="shared" si="234"/>
        <v>0</v>
      </c>
      <c r="K295" s="907"/>
      <c r="L295" s="217" t="s">
        <v>446</v>
      </c>
      <c r="M295" s="209"/>
      <c r="N295" s="1304"/>
      <c r="O295" s="211"/>
      <c r="P295" s="1319"/>
      <c r="Q295" s="1308">
        <f t="shared" si="235"/>
        <v>0</v>
      </c>
      <c r="R295" s="210"/>
      <c r="S295" s="211"/>
      <c r="T295" s="211"/>
      <c r="U295" s="212">
        <f t="shared" si="236"/>
        <v>0</v>
      </c>
      <c r="V295" s="192"/>
      <c r="W295" s="118"/>
      <c r="X295" s="118"/>
      <c r="Y295" s="118"/>
    </row>
    <row r="296" spans="1:25">
      <c r="A296" s="208" t="s">
        <v>447</v>
      </c>
      <c r="B296" s="209"/>
      <c r="C296" s="1304"/>
      <c r="D296" s="211"/>
      <c r="E296" s="1319"/>
      <c r="F296" s="1308">
        <f t="shared" si="233"/>
        <v>0</v>
      </c>
      <c r="G296" s="210"/>
      <c r="H296" s="211"/>
      <c r="I296" s="211"/>
      <c r="J296" s="212">
        <f t="shared" si="234"/>
        <v>0</v>
      </c>
      <c r="K296" s="907"/>
      <c r="L296" s="208" t="s">
        <v>447</v>
      </c>
      <c r="M296" s="209"/>
      <c r="N296" s="1304"/>
      <c r="O296" s="211"/>
      <c r="P296" s="1319"/>
      <c r="Q296" s="1308">
        <f t="shared" si="235"/>
        <v>0</v>
      </c>
      <c r="R296" s="210"/>
      <c r="S296" s="211"/>
      <c r="T296" s="211"/>
      <c r="U296" s="212">
        <f t="shared" si="236"/>
        <v>0</v>
      </c>
      <c r="V296" s="192"/>
      <c r="W296" s="118"/>
      <c r="X296" s="118"/>
      <c r="Y296" s="118"/>
    </row>
    <row r="297" spans="1:25">
      <c r="A297" s="208" t="s">
        <v>448</v>
      </c>
      <c r="B297" s="209"/>
      <c r="C297" s="1304"/>
      <c r="D297" s="211"/>
      <c r="E297" s="1319"/>
      <c r="F297" s="1308">
        <f t="shared" si="233"/>
        <v>0</v>
      </c>
      <c r="G297" s="210"/>
      <c r="H297" s="211"/>
      <c r="I297" s="211"/>
      <c r="J297" s="212">
        <f t="shared" si="234"/>
        <v>0</v>
      </c>
      <c r="K297" s="907"/>
      <c r="L297" s="208" t="s">
        <v>448</v>
      </c>
      <c r="M297" s="209"/>
      <c r="N297" s="1304"/>
      <c r="O297" s="211"/>
      <c r="P297" s="1319"/>
      <c r="Q297" s="1308">
        <f t="shared" si="235"/>
        <v>0</v>
      </c>
      <c r="R297" s="210"/>
      <c r="S297" s="211"/>
      <c r="T297" s="211"/>
      <c r="U297" s="212">
        <f t="shared" si="236"/>
        <v>0</v>
      </c>
      <c r="V297" s="192"/>
      <c r="W297" s="118"/>
      <c r="Y297" s="118"/>
    </row>
    <row r="298" spans="1:25">
      <c r="A298" s="218" t="s">
        <v>449</v>
      </c>
      <c r="B298" s="219"/>
      <c r="C298" s="1304">
        <v>514107</v>
      </c>
      <c r="D298" s="211">
        <v>514107</v>
      </c>
      <c r="E298" s="1319"/>
      <c r="F298" s="1308">
        <f t="shared" si="233"/>
        <v>514107</v>
      </c>
      <c r="G298" s="210"/>
      <c r="H298" s="211"/>
      <c r="I298" s="211"/>
      <c r="J298" s="212">
        <f t="shared" si="234"/>
        <v>514107</v>
      </c>
      <c r="K298" s="907"/>
      <c r="L298" s="218" t="s">
        <v>449</v>
      </c>
      <c r="M298" s="219"/>
      <c r="N298" s="1304">
        <v>25745</v>
      </c>
      <c r="O298" s="211">
        <v>25745</v>
      </c>
      <c r="P298" s="1319"/>
      <c r="Q298" s="1308">
        <f t="shared" si="235"/>
        <v>25745</v>
      </c>
      <c r="R298" s="210"/>
      <c r="S298" s="211"/>
      <c r="T298" s="211"/>
      <c r="U298" s="212">
        <f t="shared" si="236"/>
        <v>25745</v>
      </c>
      <c r="V298" s="192"/>
      <c r="W298" s="118"/>
      <c r="X298" s="118"/>
      <c r="Y298" s="118"/>
    </row>
    <row r="299" spans="1:25">
      <c r="A299" s="218" t="s">
        <v>450</v>
      </c>
      <c r="B299" s="219"/>
      <c r="C299" s="1304"/>
      <c r="D299" s="211"/>
      <c r="E299" s="1319"/>
      <c r="F299" s="1308">
        <f t="shared" si="233"/>
        <v>0</v>
      </c>
      <c r="G299" s="210"/>
      <c r="H299" s="211"/>
      <c r="I299" s="211"/>
      <c r="J299" s="212">
        <f t="shared" si="234"/>
        <v>0</v>
      </c>
      <c r="K299" s="907"/>
      <c r="L299" s="218" t="s">
        <v>450</v>
      </c>
      <c r="M299" s="219"/>
      <c r="N299" s="1304"/>
      <c r="O299" s="211"/>
      <c r="P299" s="1319"/>
      <c r="Q299" s="1308">
        <f t="shared" si="235"/>
        <v>0</v>
      </c>
      <c r="R299" s="210"/>
      <c r="S299" s="211"/>
      <c r="T299" s="211"/>
      <c r="U299" s="212">
        <f t="shared" si="236"/>
        <v>0</v>
      </c>
      <c r="V299" s="192"/>
      <c r="W299" s="118"/>
      <c r="X299" s="118"/>
      <c r="Y299" s="118"/>
    </row>
    <row r="300" spans="1:25">
      <c r="A300" s="220" t="s">
        <v>451</v>
      </c>
      <c r="B300" s="221"/>
      <c r="C300" s="1310"/>
      <c r="D300" s="223"/>
      <c r="E300" s="1320"/>
      <c r="F300" s="1311">
        <f t="shared" si="233"/>
        <v>0</v>
      </c>
      <c r="G300" s="222"/>
      <c r="H300" s="223"/>
      <c r="I300" s="223"/>
      <c r="J300" s="212">
        <f t="shared" si="234"/>
        <v>0</v>
      </c>
      <c r="K300" s="907"/>
      <c r="L300" s="220" t="s">
        <v>451</v>
      </c>
      <c r="M300" s="221"/>
      <c r="N300" s="1310"/>
      <c r="O300" s="223"/>
      <c r="P300" s="1320"/>
      <c r="Q300" s="1311">
        <f t="shared" si="235"/>
        <v>0</v>
      </c>
      <c r="R300" s="210"/>
      <c r="S300" s="223"/>
      <c r="T300" s="223"/>
      <c r="U300" s="212">
        <f t="shared" si="236"/>
        <v>0</v>
      </c>
      <c r="V300" s="192"/>
      <c r="W300" s="118"/>
      <c r="X300" s="118"/>
      <c r="Y300" s="118"/>
    </row>
    <row r="301" spans="1:25" ht="12.75" thickBot="1">
      <c r="A301" s="220" t="s">
        <v>452</v>
      </c>
      <c r="B301" s="221"/>
      <c r="C301" s="1310"/>
      <c r="D301" s="223"/>
      <c r="E301" s="1320"/>
      <c r="F301" s="1311">
        <f t="shared" si="233"/>
        <v>0</v>
      </c>
      <c r="G301" s="222"/>
      <c r="H301" s="223"/>
      <c r="I301" s="223"/>
      <c r="J301" s="212">
        <f t="shared" si="234"/>
        <v>0</v>
      </c>
      <c r="K301" s="907"/>
      <c r="L301" s="220" t="s">
        <v>452</v>
      </c>
      <c r="M301" s="221"/>
      <c r="N301" s="1310"/>
      <c r="O301" s="223"/>
      <c r="P301" s="1320"/>
      <c r="Q301" s="1311">
        <f t="shared" si="235"/>
        <v>0</v>
      </c>
      <c r="R301" s="222"/>
      <c r="S301" s="223"/>
      <c r="T301" s="223"/>
      <c r="U301" s="212">
        <f t="shared" si="236"/>
        <v>0</v>
      </c>
      <c r="V301" s="192"/>
      <c r="W301" s="118"/>
      <c r="X301" s="118"/>
      <c r="Y301" s="118"/>
    </row>
    <row r="302" spans="1:25" ht="12.75" thickBot="1">
      <c r="A302" s="191" t="s">
        <v>453</v>
      </c>
      <c r="B302" s="213">
        <f t="shared" ref="B302:J302" si="237">+B294+B295+B296+B297+B298+B299+B300+B301</f>
        <v>0</v>
      </c>
      <c r="C302" s="1305">
        <f t="shared" si="237"/>
        <v>514107</v>
      </c>
      <c r="D302" s="213">
        <f t="shared" ref="D302:E302" si="238">+D294+D295+D296+D297+D298+D299+D300+D301</f>
        <v>514107</v>
      </c>
      <c r="E302" s="1312">
        <f t="shared" si="238"/>
        <v>0</v>
      </c>
      <c r="F302" s="1309">
        <f t="shared" si="237"/>
        <v>514107</v>
      </c>
      <c r="G302" s="215">
        <f t="shared" si="237"/>
        <v>0</v>
      </c>
      <c r="H302" s="213">
        <f t="shared" si="237"/>
        <v>0</v>
      </c>
      <c r="I302" s="213">
        <f t="shared" si="237"/>
        <v>0</v>
      </c>
      <c r="J302" s="214">
        <f t="shared" si="237"/>
        <v>514107</v>
      </c>
      <c r="L302" s="191" t="s">
        <v>453</v>
      </c>
      <c r="M302" s="213">
        <f t="shared" ref="M302:U302" si="239">+M294+M295+M296+M297+M298+M299+M300+M301</f>
        <v>0</v>
      </c>
      <c r="N302" s="1305">
        <f t="shared" si="239"/>
        <v>25745</v>
      </c>
      <c r="O302" s="213">
        <f t="shared" ref="O302:P302" si="240">+O294+O295+O296+O297+O298+O299+O300+O301</f>
        <v>25745</v>
      </c>
      <c r="P302" s="1312">
        <f t="shared" si="240"/>
        <v>0</v>
      </c>
      <c r="Q302" s="1309">
        <f t="shared" si="239"/>
        <v>25745</v>
      </c>
      <c r="R302" s="215">
        <f t="shared" si="239"/>
        <v>0</v>
      </c>
      <c r="S302" s="213">
        <f t="shared" si="239"/>
        <v>0</v>
      </c>
      <c r="T302" s="213">
        <f t="shared" si="239"/>
        <v>0</v>
      </c>
      <c r="U302" s="214">
        <f t="shared" si="239"/>
        <v>25745</v>
      </c>
      <c r="V302" s="192"/>
      <c r="X302" s="907"/>
    </row>
    <row r="303" spans="1:25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907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</row>
    <row r="305" spans="1:25" s="900" customFormat="1" ht="15.75">
      <c r="A305" s="190" t="s">
        <v>1376</v>
      </c>
      <c r="B305" s="1476" t="s">
        <v>1505</v>
      </c>
      <c r="C305" s="1476"/>
      <c r="D305" s="1476"/>
      <c r="E305" s="1476"/>
      <c r="F305" s="1476"/>
      <c r="G305" s="1476"/>
      <c r="H305" s="1476"/>
      <c r="I305" s="1476"/>
      <c r="J305" s="1476"/>
      <c r="K305" s="803"/>
      <c r="L305" s="190" t="s">
        <v>1377</v>
      </c>
      <c r="M305" s="1477" t="s">
        <v>19</v>
      </c>
      <c r="N305" s="1477"/>
      <c r="O305" s="1477"/>
      <c r="P305" s="1477"/>
      <c r="Q305" s="1476"/>
      <c r="R305" s="1476"/>
      <c r="S305" s="1476"/>
      <c r="T305" s="1476"/>
      <c r="U305" s="1476"/>
      <c r="V305" s="972"/>
    </row>
    <row r="306" spans="1:25" s="900" customFormat="1" ht="15.75" customHeight="1">
      <c r="A306" s="1474" t="s">
        <v>1405</v>
      </c>
      <c r="B306" s="1474"/>
      <c r="C306" s="1474"/>
      <c r="D306" s="1474"/>
      <c r="E306" s="1474"/>
      <c r="F306" s="1474"/>
      <c r="G306" s="1474"/>
      <c r="H306" s="1474"/>
      <c r="I306" s="1474"/>
      <c r="J306" s="1474"/>
      <c r="K306" s="803"/>
      <c r="L306" s="1474" t="s">
        <v>19</v>
      </c>
      <c r="M306" s="1474"/>
      <c r="N306" s="1474"/>
      <c r="O306" s="1474"/>
      <c r="P306" s="1474"/>
      <c r="Q306" s="1474"/>
      <c r="R306" s="1474"/>
      <c r="S306" s="1474"/>
      <c r="T306" s="1474"/>
      <c r="U306" s="1474"/>
      <c r="V306" s="966"/>
    </row>
    <row r="307" spans="1:25" s="900" customFormat="1" ht="15.75">
      <c r="A307" s="1473" t="s">
        <v>1109</v>
      </c>
      <c r="B307" s="1473"/>
      <c r="C307" s="1473"/>
      <c r="D307" s="1473"/>
      <c r="E307" s="1473"/>
      <c r="F307" s="1473"/>
      <c r="G307" s="1473"/>
      <c r="H307" s="1473"/>
      <c r="I307" s="1473"/>
      <c r="J307" s="1473"/>
      <c r="K307" s="803"/>
      <c r="L307" s="1473" t="s">
        <v>19</v>
      </c>
      <c r="M307" s="1473"/>
      <c r="N307" s="1473"/>
      <c r="O307" s="1473"/>
      <c r="P307" s="1473"/>
      <c r="Q307" s="1473"/>
      <c r="R307" s="1473"/>
      <c r="S307" s="1473"/>
      <c r="T307" s="1473"/>
      <c r="U307" s="1473"/>
      <c r="V307" s="971"/>
    </row>
    <row r="308" spans="1:25" s="903" customFormat="1" ht="12.75" thickBot="1">
      <c r="A308" s="902"/>
      <c r="B308" s="902"/>
      <c r="G308" s="902"/>
      <c r="H308" s="902"/>
      <c r="J308" s="235" t="s">
        <v>280</v>
      </c>
      <c r="K308" s="904"/>
      <c r="L308" s="902"/>
      <c r="M308" s="902"/>
      <c r="R308" s="902"/>
      <c r="S308" s="902"/>
      <c r="U308" s="235" t="s">
        <v>280</v>
      </c>
      <c r="V308" s="890"/>
    </row>
    <row r="309" spans="1:25" s="906" customFormat="1" ht="36.75" thickBot="1">
      <c r="A309" s="394" t="s">
        <v>431</v>
      </c>
      <c r="B309" s="395" t="s">
        <v>1434</v>
      </c>
      <c r="C309" s="1165" t="s">
        <v>1586</v>
      </c>
      <c r="D309" s="6" t="s">
        <v>1587</v>
      </c>
      <c r="E309" s="6" t="s">
        <v>1658</v>
      </c>
      <c r="F309" s="7" t="s">
        <v>1659</v>
      </c>
      <c r="G309" s="374" t="s">
        <v>460</v>
      </c>
      <c r="H309" s="375" t="s">
        <v>461</v>
      </c>
      <c r="I309" s="375" t="s">
        <v>1435</v>
      </c>
      <c r="J309" s="1114" t="s">
        <v>18</v>
      </c>
      <c r="K309" s="905"/>
      <c r="L309" s="394" t="s">
        <v>431</v>
      </c>
      <c r="M309" s="395" t="s">
        <v>1434</v>
      </c>
      <c r="N309" s="1165" t="s">
        <v>1586</v>
      </c>
      <c r="O309" s="6" t="s">
        <v>1587</v>
      </c>
      <c r="P309" s="6" t="s">
        <v>1658</v>
      </c>
      <c r="Q309" s="7" t="s">
        <v>1659</v>
      </c>
      <c r="R309" s="374" t="s">
        <v>460</v>
      </c>
      <c r="S309" s="375" t="s">
        <v>461</v>
      </c>
      <c r="T309" s="375" t="s">
        <v>1435</v>
      </c>
      <c r="U309" s="1114" t="s">
        <v>18</v>
      </c>
      <c r="V309" s="891"/>
    </row>
    <row r="310" spans="1:25">
      <c r="A310" s="198" t="s">
        <v>432</v>
      </c>
      <c r="B310" s="199">
        <f t="shared" ref="B310:J310" si="241">+B327-B315-B314-B313-B312</f>
        <v>0</v>
      </c>
      <c r="C310" s="1302">
        <f t="shared" si="241"/>
        <v>20787</v>
      </c>
      <c r="D310" s="201">
        <f t="shared" ref="D310" si="242">+D327-D315-D314-D313-D312</f>
        <v>20787</v>
      </c>
      <c r="E310" s="201"/>
      <c r="F310" s="1306">
        <f t="shared" ref="F310" si="243">+F327-F315-F314-F313-F312</f>
        <v>20787</v>
      </c>
      <c r="G310" s="200">
        <f t="shared" si="241"/>
        <v>0</v>
      </c>
      <c r="H310" s="201">
        <f t="shared" si="241"/>
        <v>0</v>
      </c>
      <c r="I310" s="201">
        <f t="shared" si="241"/>
        <v>0</v>
      </c>
      <c r="J310" s="202">
        <f t="shared" si="241"/>
        <v>20787</v>
      </c>
      <c r="K310" s="907"/>
      <c r="L310" s="198" t="s">
        <v>432</v>
      </c>
      <c r="M310" s="199">
        <f t="shared" ref="M310:U310" si="244">+M327-M315-M314-M313-M312</f>
        <v>0</v>
      </c>
      <c r="N310" s="1302">
        <f t="shared" si="244"/>
        <v>0</v>
      </c>
      <c r="O310" s="201">
        <f t="shared" ref="O310" si="245">+O327-O315-O314-O313-O312</f>
        <v>0</v>
      </c>
      <c r="P310" s="201"/>
      <c r="Q310" s="1306">
        <f t="shared" ref="Q310" si="246">+Q327-Q315-Q314-Q313-Q312</f>
        <v>0</v>
      </c>
      <c r="R310" s="200">
        <f t="shared" si="244"/>
        <v>0</v>
      </c>
      <c r="S310" s="201">
        <f t="shared" si="244"/>
        <v>0</v>
      </c>
      <c r="T310" s="201">
        <f t="shared" si="244"/>
        <v>0</v>
      </c>
      <c r="U310" s="202">
        <f t="shared" si="244"/>
        <v>0</v>
      </c>
      <c r="W310" s="192">
        <f>+B310+M310+M135++B135+M110+B110+M85+B85+M60+B60+M35+B35+M10+B10+B160+M160+B185+M185+B210+M210+B235+M235+B260+M260+B285+M285</f>
        <v>0</v>
      </c>
    </row>
    <row r="311" spans="1:25">
      <c r="A311" s="203" t="s">
        <v>433</v>
      </c>
      <c r="B311" s="204"/>
      <c r="C311" s="1303"/>
      <c r="D311" s="206"/>
      <c r="E311" s="206"/>
      <c r="F311" s="1307">
        <f>+D311+E311</f>
        <v>0</v>
      </c>
      <c r="G311" s="205"/>
      <c r="H311" s="206"/>
      <c r="I311" s="206"/>
      <c r="J311" s="207">
        <f>+B311+F311+G311+H311+I311</f>
        <v>0</v>
      </c>
      <c r="K311" s="907"/>
      <c r="L311" s="203" t="s">
        <v>433</v>
      </c>
      <c r="M311" s="204"/>
      <c r="N311" s="1303"/>
      <c r="O311" s="206"/>
      <c r="P311" s="206"/>
      <c r="Q311" s="1307">
        <f>+O311+P311</f>
        <v>0</v>
      </c>
      <c r="R311" s="205"/>
      <c r="S311" s="206"/>
      <c r="T311" s="206"/>
      <c r="U311" s="207">
        <f>+M311+Q311+R311+S311+T311</f>
        <v>0</v>
      </c>
      <c r="V311" s="892"/>
      <c r="W311" s="118">
        <f>+F11+F36+Q11+Q36+F61+Q61+F86+Q86+F111+Q111+F136+Q136+F311+Q311+F161+Q161+F186+Q186+F211+Q211+F236+Q236+F261+Q261+F286+Q286</f>
        <v>0</v>
      </c>
    </row>
    <row r="312" spans="1:25">
      <c r="A312" s="208" t="s">
        <v>434</v>
      </c>
      <c r="B312" s="209"/>
      <c r="C312" s="1304"/>
      <c r="D312" s="211"/>
      <c r="E312" s="211"/>
      <c r="F312" s="1308">
        <f t="shared" ref="F312:F315" si="247">+D312+E312</f>
        <v>0</v>
      </c>
      <c r="G312" s="210"/>
      <c r="H312" s="211"/>
      <c r="I312" s="211"/>
      <c r="J312" s="212">
        <f>+B312+F312+G312+H312+I312</f>
        <v>0</v>
      </c>
      <c r="K312" s="907"/>
      <c r="L312" s="208" t="s">
        <v>434</v>
      </c>
      <c r="M312" s="209"/>
      <c r="N312" s="1304"/>
      <c r="O312" s="211"/>
      <c r="P312" s="211"/>
      <c r="Q312" s="1308">
        <f t="shared" ref="Q312:Q315" si="248">+O312+P312</f>
        <v>0</v>
      </c>
      <c r="R312" s="210"/>
      <c r="S312" s="211"/>
      <c r="T312" s="211"/>
      <c r="U312" s="212">
        <f>+M312+Q312+R312+S312+T312</f>
        <v>0</v>
      </c>
      <c r="V312" s="192"/>
      <c r="W312" s="118">
        <f t="shared" ref="W312:W315" si="249">+F12+F37+Q12+Q37+F62+Q62+F87+Q87+F112+Q112+F137+Q137+F312+Q312+F162+Q162+F187+Q187+F212+Q212+F237+Q237+F262+Q262+F287+Q287</f>
        <v>0</v>
      </c>
      <c r="X312" s="949">
        <f>+'1.mell._Össz_Mérleg2020'!F57</f>
        <v>0</v>
      </c>
      <c r="Y312" s="118">
        <f>+W312-X312</f>
        <v>0</v>
      </c>
    </row>
    <row r="313" spans="1:25">
      <c r="A313" s="208" t="s">
        <v>435</v>
      </c>
      <c r="B313" s="209"/>
      <c r="C313" s="1304"/>
      <c r="D313" s="211"/>
      <c r="E313" s="211"/>
      <c r="F313" s="1308">
        <f t="shared" si="247"/>
        <v>0</v>
      </c>
      <c r="G313" s="210"/>
      <c r="H313" s="211"/>
      <c r="I313" s="211"/>
      <c r="J313" s="212">
        <f>+B313+F313+G313+H313+I313</f>
        <v>0</v>
      </c>
      <c r="K313" s="907"/>
      <c r="L313" s="208" t="s">
        <v>435</v>
      </c>
      <c r="M313" s="209"/>
      <c r="N313" s="1304"/>
      <c r="O313" s="211"/>
      <c r="P313" s="211"/>
      <c r="Q313" s="1308">
        <f t="shared" si="248"/>
        <v>0</v>
      </c>
      <c r="R313" s="210"/>
      <c r="S313" s="211"/>
      <c r="T313" s="211"/>
      <c r="U313" s="212">
        <f>+M313+Q313+R313+S313+T313</f>
        <v>0</v>
      </c>
      <c r="V313" s="192"/>
      <c r="W313" s="118">
        <f t="shared" si="249"/>
        <v>0</v>
      </c>
    </row>
    <row r="314" spans="1:25">
      <c r="A314" s="208" t="s">
        <v>436</v>
      </c>
      <c r="B314" s="209"/>
      <c r="C314" s="1304"/>
      <c r="D314" s="211"/>
      <c r="E314" s="211"/>
      <c r="F314" s="1308">
        <f t="shared" si="247"/>
        <v>0</v>
      </c>
      <c r="G314" s="210"/>
      <c r="H314" s="211"/>
      <c r="I314" s="211"/>
      <c r="J314" s="212">
        <f>+B314+F314+G314+H314+I314</f>
        <v>0</v>
      </c>
      <c r="K314" s="907"/>
      <c r="L314" s="208" t="s">
        <v>436</v>
      </c>
      <c r="M314" s="209"/>
      <c r="N314" s="1304"/>
      <c r="O314" s="211"/>
      <c r="P314" s="211"/>
      <c r="Q314" s="1308">
        <f t="shared" si="248"/>
        <v>0</v>
      </c>
      <c r="R314" s="210"/>
      <c r="S314" s="211"/>
      <c r="T314" s="211"/>
      <c r="U314" s="212">
        <f>+M314+Q314+R314+S314+T314</f>
        <v>0</v>
      </c>
      <c r="V314" s="192"/>
      <c r="W314" s="118">
        <f t="shared" si="249"/>
        <v>0</v>
      </c>
    </row>
    <row r="315" spans="1:25" ht="12.75" thickBot="1">
      <c r="A315" s="208" t="s">
        <v>437</v>
      </c>
      <c r="B315" s="209"/>
      <c r="C315" s="1304"/>
      <c r="D315" s="211"/>
      <c r="E315" s="211"/>
      <c r="F315" s="1308">
        <f t="shared" si="247"/>
        <v>0</v>
      </c>
      <c r="G315" s="210"/>
      <c r="H315" s="211"/>
      <c r="I315" s="211"/>
      <c r="J315" s="212">
        <f>+B315+F315+G315+H315+I315</f>
        <v>0</v>
      </c>
      <c r="K315" s="907"/>
      <c r="L315" s="208" t="s">
        <v>437</v>
      </c>
      <c r="M315" s="209"/>
      <c r="N315" s="1304"/>
      <c r="O315" s="211"/>
      <c r="P315" s="211"/>
      <c r="Q315" s="1308">
        <f t="shared" si="248"/>
        <v>0</v>
      </c>
      <c r="R315" s="210"/>
      <c r="S315" s="211"/>
      <c r="T315" s="211"/>
      <c r="U315" s="212">
        <f>+M315+Q315+R315+S315+T315</f>
        <v>0</v>
      </c>
      <c r="V315" s="192"/>
      <c r="W315" s="118">
        <f t="shared" si="249"/>
        <v>0</v>
      </c>
    </row>
    <row r="316" spans="1:25" ht="12.75" thickBot="1">
      <c r="A316" s="191" t="s">
        <v>438</v>
      </c>
      <c r="B316" s="213">
        <f t="shared" ref="B316:J316" si="250">+B310+B312+B313+B314+B315</f>
        <v>0</v>
      </c>
      <c r="C316" s="1305">
        <f t="shared" si="250"/>
        <v>20787</v>
      </c>
      <c r="D316" s="213">
        <f t="shared" ref="D316:E316" si="251">+D310+D312+D313+D314+D315</f>
        <v>20787</v>
      </c>
      <c r="E316" s="213">
        <f t="shared" si="251"/>
        <v>0</v>
      </c>
      <c r="F316" s="1309">
        <f t="shared" si="250"/>
        <v>20787</v>
      </c>
      <c r="G316" s="215">
        <f t="shared" si="250"/>
        <v>0</v>
      </c>
      <c r="H316" s="213">
        <f t="shared" si="250"/>
        <v>0</v>
      </c>
      <c r="I316" s="213">
        <f t="shared" si="250"/>
        <v>0</v>
      </c>
      <c r="J316" s="214">
        <f t="shared" si="250"/>
        <v>20787</v>
      </c>
      <c r="K316" s="907"/>
      <c r="L316" s="191" t="s">
        <v>438</v>
      </c>
      <c r="M316" s="213">
        <f t="shared" ref="M316:U316" si="252">+M310+M312+M313+M314+M315</f>
        <v>0</v>
      </c>
      <c r="N316" s="1305">
        <f t="shared" si="252"/>
        <v>0</v>
      </c>
      <c r="O316" s="213">
        <f t="shared" ref="O316:P316" si="253">+O310+O312+O313+O314+O315</f>
        <v>0</v>
      </c>
      <c r="P316" s="213">
        <f t="shared" si="253"/>
        <v>0</v>
      </c>
      <c r="Q316" s="1309">
        <f t="shared" si="252"/>
        <v>0</v>
      </c>
      <c r="R316" s="215">
        <f t="shared" si="252"/>
        <v>0</v>
      </c>
      <c r="S316" s="213">
        <f t="shared" si="252"/>
        <v>0</v>
      </c>
      <c r="T316" s="213">
        <f t="shared" si="252"/>
        <v>0</v>
      </c>
      <c r="U316" s="214">
        <f t="shared" si="252"/>
        <v>0</v>
      </c>
      <c r="V316" s="192"/>
    </row>
    <row r="317" spans="1:25" ht="12.75" thickBo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907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118"/>
    </row>
    <row r="318" spans="1:25" s="906" customFormat="1" ht="36.75" thickBot="1">
      <c r="A318" s="394" t="s">
        <v>439</v>
      </c>
      <c r="B318" s="395" t="s">
        <v>1434</v>
      </c>
      <c r="C318" s="1165" t="s">
        <v>1586</v>
      </c>
      <c r="D318" s="6" t="s">
        <v>1587</v>
      </c>
      <c r="E318" s="6" t="s">
        <v>1658</v>
      </c>
      <c r="F318" s="7" t="s">
        <v>1659</v>
      </c>
      <c r="G318" s="374" t="s">
        <v>460</v>
      </c>
      <c r="H318" s="375" t="s">
        <v>461</v>
      </c>
      <c r="I318" s="375" t="s">
        <v>1435</v>
      </c>
      <c r="J318" s="1114" t="s">
        <v>18</v>
      </c>
      <c r="K318" s="909"/>
      <c r="L318" s="394" t="s">
        <v>439</v>
      </c>
      <c r="M318" s="395" t="s">
        <v>1434</v>
      </c>
      <c r="N318" s="1165" t="s">
        <v>1586</v>
      </c>
      <c r="O318" s="6" t="s">
        <v>1587</v>
      </c>
      <c r="P318" s="6" t="s">
        <v>1658</v>
      </c>
      <c r="Q318" s="7" t="s">
        <v>1659</v>
      </c>
      <c r="R318" s="374" t="s">
        <v>460</v>
      </c>
      <c r="S318" s="375" t="s">
        <v>461</v>
      </c>
      <c r="T318" s="375" t="s">
        <v>1435</v>
      </c>
      <c r="U318" s="1114" t="s">
        <v>18</v>
      </c>
      <c r="V318" s="891"/>
    </row>
    <row r="319" spans="1:25">
      <c r="A319" s="198" t="s">
        <v>445</v>
      </c>
      <c r="B319" s="199"/>
      <c r="C319" s="1302"/>
      <c r="D319" s="201"/>
      <c r="E319" s="1318"/>
      <c r="F319" s="1306">
        <f t="shared" ref="F319:F326" si="254">+D319+E319</f>
        <v>0</v>
      </c>
      <c r="G319" s="200"/>
      <c r="H319" s="201"/>
      <c r="I319" s="201"/>
      <c r="J319" s="202">
        <f t="shared" ref="J319:J326" si="255">+B319+F319+G319+H319+I319</f>
        <v>0</v>
      </c>
      <c r="K319" s="907"/>
      <c r="L319" s="198" t="s">
        <v>445</v>
      </c>
      <c r="M319" s="199"/>
      <c r="N319" s="1302"/>
      <c r="O319" s="201"/>
      <c r="P319" s="1318"/>
      <c r="Q319" s="1306">
        <f t="shared" ref="Q319:Q326" si="256">+O319+P319</f>
        <v>0</v>
      </c>
      <c r="R319" s="200"/>
      <c r="S319" s="201"/>
      <c r="T319" s="201"/>
      <c r="U319" s="202">
        <f t="shared" ref="U319:U326" si="257">+M319+Q319+R319+S319+T319</f>
        <v>0</v>
      </c>
      <c r="V319" s="192"/>
      <c r="W319" s="118">
        <f t="shared" ref="W319:W327" si="258">+F19+F44+Q19+Q44+F69+Q69+F94+Q94+F119+Q119+F144+Q144+F319+Q319+F169+Q169+F194+Q194+F219+Q219+F244+Q244+F269+Q269+F294+Q294</f>
        <v>0</v>
      </c>
      <c r="X319" s="118">
        <f>+'1.mell._Össz_Mérleg2020'!F111</f>
        <v>0</v>
      </c>
      <c r="Y319" s="118">
        <f t="shared" ref="Y319:Y326" si="259">+W319-X319</f>
        <v>0</v>
      </c>
    </row>
    <row r="320" spans="1:25">
      <c r="A320" s="217" t="s">
        <v>446</v>
      </c>
      <c r="B320" s="209"/>
      <c r="C320" s="1304"/>
      <c r="D320" s="211"/>
      <c r="E320" s="1319"/>
      <c r="F320" s="1308">
        <f t="shared" si="254"/>
        <v>0</v>
      </c>
      <c r="G320" s="210"/>
      <c r="H320" s="211"/>
      <c r="I320" s="211"/>
      <c r="J320" s="212">
        <f t="shared" si="255"/>
        <v>0</v>
      </c>
      <c r="K320" s="907"/>
      <c r="L320" s="217" t="s">
        <v>446</v>
      </c>
      <c r="M320" s="209"/>
      <c r="N320" s="1304"/>
      <c r="O320" s="211"/>
      <c r="P320" s="1319"/>
      <c r="Q320" s="1308">
        <f t="shared" si="256"/>
        <v>0</v>
      </c>
      <c r="R320" s="210"/>
      <c r="S320" s="211"/>
      <c r="T320" s="211"/>
      <c r="U320" s="212">
        <f t="shared" si="257"/>
        <v>0</v>
      </c>
      <c r="V320" s="192"/>
      <c r="W320" s="118">
        <f t="shared" si="258"/>
        <v>0</v>
      </c>
      <c r="X320" s="118">
        <f>+'1.mell._Össz_Mérleg2020'!F115</f>
        <v>0</v>
      </c>
      <c r="Y320" s="118">
        <f t="shared" si="259"/>
        <v>0</v>
      </c>
    </row>
    <row r="321" spans="1:27">
      <c r="A321" s="208" t="s">
        <v>447</v>
      </c>
      <c r="B321" s="209"/>
      <c r="C321" s="1304"/>
      <c r="D321" s="211"/>
      <c r="E321" s="1319"/>
      <c r="F321" s="1308">
        <f t="shared" si="254"/>
        <v>0</v>
      </c>
      <c r="G321" s="210"/>
      <c r="H321" s="211"/>
      <c r="I321" s="211"/>
      <c r="J321" s="212">
        <f t="shared" si="255"/>
        <v>0</v>
      </c>
      <c r="K321" s="907"/>
      <c r="L321" s="208" t="s">
        <v>447</v>
      </c>
      <c r="M321" s="209"/>
      <c r="N321" s="1304"/>
      <c r="O321" s="211"/>
      <c r="P321" s="1319"/>
      <c r="Q321" s="1308">
        <f t="shared" si="256"/>
        <v>0</v>
      </c>
      <c r="R321" s="210"/>
      <c r="S321" s="211"/>
      <c r="T321" s="211"/>
      <c r="U321" s="212">
        <f t="shared" si="257"/>
        <v>0</v>
      </c>
      <c r="V321" s="192"/>
      <c r="W321" s="118">
        <f t="shared" si="258"/>
        <v>0</v>
      </c>
      <c r="X321" s="118">
        <f>+'1.mell._Össz_Mérleg2020'!F117</f>
        <v>0</v>
      </c>
      <c r="Y321" s="118">
        <f t="shared" si="259"/>
        <v>0</v>
      </c>
    </row>
    <row r="322" spans="1:27">
      <c r="A322" s="208" t="s">
        <v>448</v>
      </c>
      <c r="B322" s="209"/>
      <c r="C322" s="1304"/>
      <c r="D322" s="211"/>
      <c r="E322" s="1319"/>
      <c r="F322" s="1308">
        <f t="shared" si="254"/>
        <v>0</v>
      </c>
      <c r="G322" s="210"/>
      <c r="H322" s="211"/>
      <c r="I322" s="211"/>
      <c r="J322" s="212">
        <f t="shared" si="255"/>
        <v>0</v>
      </c>
      <c r="K322" s="907"/>
      <c r="L322" s="208" t="s">
        <v>448</v>
      </c>
      <c r="M322" s="209"/>
      <c r="N322" s="1304"/>
      <c r="O322" s="211"/>
      <c r="P322" s="1319"/>
      <c r="Q322" s="1308">
        <f t="shared" si="256"/>
        <v>0</v>
      </c>
      <c r="R322" s="210"/>
      <c r="S322" s="211"/>
      <c r="T322" s="211"/>
      <c r="U322" s="212">
        <f t="shared" si="257"/>
        <v>0</v>
      </c>
      <c r="V322" s="192"/>
      <c r="W322" s="118">
        <f t="shared" si="258"/>
        <v>0</v>
      </c>
      <c r="Y322" s="118">
        <f t="shared" si="259"/>
        <v>0</v>
      </c>
    </row>
    <row r="323" spans="1:27">
      <c r="A323" s="218" t="s">
        <v>449</v>
      </c>
      <c r="B323" s="219"/>
      <c r="C323" s="1304">
        <v>20787</v>
      </c>
      <c r="D323" s="211">
        <v>20787</v>
      </c>
      <c r="E323" s="1319"/>
      <c r="F323" s="1308">
        <f t="shared" si="254"/>
        <v>20787</v>
      </c>
      <c r="G323" s="210"/>
      <c r="H323" s="211"/>
      <c r="I323" s="211"/>
      <c r="J323" s="212">
        <f t="shared" si="255"/>
        <v>20787</v>
      </c>
      <c r="K323" s="907"/>
      <c r="L323" s="218" t="s">
        <v>449</v>
      </c>
      <c r="M323" s="219"/>
      <c r="N323" s="1304"/>
      <c r="O323" s="211"/>
      <c r="P323" s="1319"/>
      <c r="Q323" s="1308">
        <f t="shared" si="256"/>
        <v>0</v>
      </c>
      <c r="R323" s="210"/>
      <c r="S323" s="211"/>
      <c r="T323" s="211"/>
      <c r="U323" s="212">
        <f t="shared" si="257"/>
        <v>0</v>
      </c>
      <c r="V323" s="192"/>
      <c r="W323" s="118">
        <f t="shared" si="258"/>
        <v>2481158</v>
      </c>
      <c r="X323" s="118">
        <f>+'1.mell._Össz_Mérleg2020'!F139</f>
        <v>0</v>
      </c>
      <c r="Y323" s="118">
        <f t="shared" si="259"/>
        <v>2481158</v>
      </c>
      <c r="Z323" s="118">
        <v>2481158</v>
      </c>
      <c r="AA323" s="118">
        <f>+Y323-Z323</f>
        <v>0</v>
      </c>
    </row>
    <row r="324" spans="1:27">
      <c r="A324" s="218" t="s">
        <v>450</v>
      </c>
      <c r="B324" s="219"/>
      <c r="C324" s="1304"/>
      <c r="D324" s="211"/>
      <c r="E324" s="1319"/>
      <c r="F324" s="1308">
        <f t="shared" si="254"/>
        <v>0</v>
      </c>
      <c r="G324" s="210"/>
      <c r="H324" s="211"/>
      <c r="I324" s="211"/>
      <c r="J324" s="212">
        <f t="shared" si="255"/>
        <v>0</v>
      </c>
      <c r="K324" s="907"/>
      <c r="L324" s="218" t="s">
        <v>450</v>
      </c>
      <c r="M324" s="219"/>
      <c r="N324" s="1304"/>
      <c r="O324" s="211"/>
      <c r="P324" s="1319"/>
      <c r="Q324" s="1308">
        <f t="shared" si="256"/>
        <v>0</v>
      </c>
      <c r="R324" s="210"/>
      <c r="S324" s="211"/>
      <c r="T324" s="211"/>
      <c r="U324" s="212">
        <f t="shared" si="257"/>
        <v>0</v>
      </c>
      <c r="W324" s="118">
        <f t="shared" si="258"/>
        <v>0</v>
      </c>
      <c r="X324" s="118">
        <f>+'1.mell._Össz_Mérleg2020'!F151</f>
        <v>0</v>
      </c>
      <c r="Y324" s="118">
        <f t="shared" si="259"/>
        <v>0</v>
      </c>
    </row>
    <row r="325" spans="1:27">
      <c r="A325" s="220" t="s">
        <v>451</v>
      </c>
      <c r="B325" s="221"/>
      <c r="C325" s="1310"/>
      <c r="D325" s="223"/>
      <c r="E325" s="1320"/>
      <c r="F325" s="1311">
        <f t="shared" si="254"/>
        <v>0</v>
      </c>
      <c r="G325" s="222"/>
      <c r="H325" s="223"/>
      <c r="I325" s="223"/>
      <c r="J325" s="212">
        <f t="shared" si="255"/>
        <v>0</v>
      </c>
      <c r="K325" s="907"/>
      <c r="L325" s="220" t="s">
        <v>451</v>
      </c>
      <c r="M325" s="221"/>
      <c r="N325" s="1310"/>
      <c r="O325" s="223"/>
      <c r="P325" s="1320"/>
      <c r="Q325" s="1311">
        <f t="shared" si="256"/>
        <v>0</v>
      </c>
      <c r="R325" s="222"/>
      <c r="S325" s="223"/>
      <c r="T325" s="223"/>
      <c r="U325" s="212">
        <f t="shared" si="257"/>
        <v>0</v>
      </c>
      <c r="V325" s="192"/>
      <c r="W325" s="118">
        <f t="shared" si="258"/>
        <v>0</v>
      </c>
      <c r="X325" s="118">
        <f>+'1.mell._Össz_Mérleg2020'!F160</f>
        <v>0</v>
      </c>
      <c r="Y325" s="118">
        <f t="shared" si="259"/>
        <v>0</v>
      </c>
    </row>
    <row r="326" spans="1:27" ht="12.75" thickBot="1">
      <c r="A326" s="220" t="s">
        <v>452</v>
      </c>
      <c r="B326" s="221"/>
      <c r="C326" s="1310"/>
      <c r="D326" s="223"/>
      <c r="E326" s="1320"/>
      <c r="F326" s="1311">
        <f t="shared" si="254"/>
        <v>0</v>
      </c>
      <c r="G326" s="222"/>
      <c r="H326" s="223"/>
      <c r="I326" s="223"/>
      <c r="J326" s="212">
        <f t="shared" si="255"/>
        <v>0</v>
      </c>
      <c r="K326" s="907"/>
      <c r="L326" s="220" t="s">
        <v>452</v>
      </c>
      <c r="M326" s="221"/>
      <c r="N326" s="1310"/>
      <c r="O326" s="223"/>
      <c r="P326" s="1320"/>
      <c r="Q326" s="1311">
        <f t="shared" si="256"/>
        <v>0</v>
      </c>
      <c r="R326" s="222"/>
      <c r="S326" s="223"/>
      <c r="T326" s="223"/>
      <c r="U326" s="212">
        <f t="shared" si="257"/>
        <v>0</v>
      </c>
      <c r="V326" s="192"/>
      <c r="W326" s="118">
        <f t="shared" si="258"/>
        <v>0</v>
      </c>
      <c r="X326" s="118">
        <f>+'1.mell._Össz_Mérleg2020'!F170</f>
        <v>0</v>
      </c>
      <c r="Y326" s="118">
        <f t="shared" si="259"/>
        <v>0</v>
      </c>
    </row>
    <row r="327" spans="1:27" ht="12.75" thickBot="1">
      <c r="A327" s="191" t="s">
        <v>453</v>
      </c>
      <c r="B327" s="213">
        <f t="shared" ref="B327:J327" si="260">+B319+B320+B321+B322+B323+B324+B325+B326</f>
        <v>0</v>
      </c>
      <c r="C327" s="1305">
        <f t="shared" si="260"/>
        <v>20787</v>
      </c>
      <c r="D327" s="213">
        <f t="shared" ref="D327:E327" si="261">+D319+D320+D321+D322+D323+D324+D325+D326</f>
        <v>20787</v>
      </c>
      <c r="E327" s="1312">
        <f t="shared" si="261"/>
        <v>0</v>
      </c>
      <c r="F327" s="1309">
        <f t="shared" si="260"/>
        <v>20787</v>
      </c>
      <c r="G327" s="215">
        <f t="shared" si="260"/>
        <v>0</v>
      </c>
      <c r="H327" s="213">
        <f t="shared" si="260"/>
        <v>0</v>
      </c>
      <c r="I327" s="213">
        <f t="shared" si="260"/>
        <v>0</v>
      </c>
      <c r="J327" s="214">
        <f t="shared" si="260"/>
        <v>20787</v>
      </c>
      <c r="L327" s="191" t="s">
        <v>453</v>
      </c>
      <c r="M327" s="213">
        <f t="shared" ref="M327:U327" si="262">+M319+M320+M321+M322+M323+M324+M325+M326</f>
        <v>0</v>
      </c>
      <c r="N327" s="1305">
        <f t="shared" si="262"/>
        <v>0</v>
      </c>
      <c r="O327" s="213">
        <f t="shared" ref="O327:P327" si="263">+O319+O320+O321+O322+O323+O324+O325+O326</f>
        <v>0</v>
      </c>
      <c r="P327" s="1312">
        <f t="shared" si="263"/>
        <v>0</v>
      </c>
      <c r="Q327" s="1309">
        <f t="shared" si="262"/>
        <v>0</v>
      </c>
      <c r="R327" s="215">
        <f t="shared" si="262"/>
        <v>0</v>
      </c>
      <c r="S327" s="213">
        <f t="shared" si="262"/>
        <v>0</v>
      </c>
      <c r="T327" s="213">
        <f t="shared" si="262"/>
        <v>0</v>
      </c>
      <c r="U327" s="214">
        <f t="shared" si="262"/>
        <v>0</v>
      </c>
      <c r="V327" s="192"/>
      <c r="W327" s="118">
        <f t="shared" si="258"/>
        <v>2481158</v>
      </c>
      <c r="X327" s="907"/>
    </row>
    <row r="328" spans="1:27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907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</row>
    <row r="330" spans="1:27" s="900" customFormat="1" ht="15.75">
      <c r="A330" s="1475" t="s">
        <v>1436</v>
      </c>
      <c r="B330" s="1475"/>
      <c r="C330" s="1475"/>
      <c r="D330" s="1475"/>
      <c r="E330" s="1475"/>
      <c r="F330" s="1475"/>
      <c r="G330" s="1475"/>
      <c r="H330" s="1475"/>
      <c r="I330" s="1475"/>
      <c r="J330" s="1475"/>
      <c r="K330" s="804"/>
      <c r="L330" s="193"/>
      <c r="M330" s="193"/>
      <c r="N330" s="589"/>
      <c r="O330" s="589"/>
      <c r="P330" s="589"/>
      <c r="Q330" s="589"/>
      <c r="R330" s="589"/>
      <c r="S330" s="589"/>
      <c r="T330" s="589"/>
      <c r="U330" s="589"/>
      <c r="V330" s="589"/>
    </row>
    <row r="331" spans="1:27" s="903" customFormat="1" ht="12.75" thickBot="1">
      <c r="A331" s="902"/>
      <c r="B331" s="902"/>
      <c r="C331" s="902"/>
      <c r="D331" s="902"/>
      <c r="E331" s="902"/>
      <c r="F331" s="902"/>
      <c r="G331" s="902"/>
      <c r="H331" s="902"/>
      <c r="J331" s="235" t="s">
        <v>280</v>
      </c>
      <c r="K331" s="904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7" s="912" customFormat="1" ht="36.75" thickBot="1">
      <c r="A332" s="1115" t="s">
        <v>439</v>
      </c>
      <c r="B332" s="951" t="s">
        <v>1434</v>
      </c>
      <c r="C332" s="1165" t="s">
        <v>1586</v>
      </c>
      <c r="D332" s="6" t="s">
        <v>1587</v>
      </c>
      <c r="E332" s="6" t="s">
        <v>1658</v>
      </c>
      <c r="F332" s="7" t="s">
        <v>1659</v>
      </c>
      <c r="G332" s="898" t="s">
        <v>460</v>
      </c>
      <c r="H332" s="899" t="s">
        <v>461</v>
      </c>
      <c r="I332" s="899" t="s">
        <v>1435</v>
      </c>
      <c r="J332" s="857" t="s">
        <v>18</v>
      </c>
      <c r="K332" s="911"/>
      <c r="L332" s="591"/>
      <c r="M332" s="591"/>
      <c r="N332" s="591"/>
      <c r="O332" s="591"/>
      <c r="P332" s="591"/>
      <c r="Q332" s="591"/>
      <c r="R332" s="591"/>
      <c r="S332" s="591"/>
      <c r="T332" s="591"/>
      <c r="U332" s="591"/>
      <c r="V332" s="591"/>
    </row>
    <row r="333" spans="1:27">
      <c r="A333" s="893" t="s">
        <v>19</v>
      </c>
      <c r="B333" s="894"/>
      <c r="C333" s="1302"/>
      <c r="D333" s="201"/>
      <c r="E333" s="201"/>
      <c r="F333" s="1306">
        <f t="shared" ref="F333:F334" si="264">+D333+E333</f>
        <v>0</v>
      </c>
      <c r="G333" s="895"/>
      <c r="H333" s="896"/>
      <c r="I333" s="897"/>
      <c r="J333" s="468">
        <f>+B333+F333+G333+H333+I333</f>
        <v>0</v>
      </c>
      <c r="K333" s="907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</row>
    <row r="334" spans="1:27" ht="12.75" thickBot="1">
      <c r="A334" s="224"/>
      <c r="B334" s="225"/>
      <c r="C334" s="1313"/>
      <c r="D334" s="1314"/>
      <c r="E334" s="1314"/>
      <c r="F334" s="1308">
        <f t="shared" si="264"/>
        <v>0</v>
      </c>
      <c r="G334" s="226"/>
      <c r="H334" s="227"/>
      <c r="I334" s="228"/>
      <c r="J334" s="229"/>
      <c r="K334" s="907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</row>
    <row r="335" spans="1:27" ht="12.75" thickBot="1">
      <c r="A335" s="194" t="s">
        <v>440</v>
      </c>
      <c r="B335" s="230">
        <f t="shared" ref="B335:J335" si="265">+B333+B334</f>
        <v>0</v>
      </c>
      <c r="C335" s="1315">
        <f t="shared" si="265"/>
        <v>0</v>
      </c>
      <c r="D335" s="1316">
        <f t="shared" si="265"/>
        <v>0</v>
      </c>
      <c r="E335" s="1316">
        <f t="shared" si="265"/>
        <v>0</v>
      </c>
      <c r="F335" s="1317">
        <f t="shared" si="265"/>
        <v>0</v>
      </c>
      <c r="G335" s="231">
        <f t="shared" si="265"/>
        <v>0</v>
      </c>
      <c r="H335" s="232">
        <f t="shared" si="265"/>
        <v>0</v>
      </c>
      <c r="I335" s="233">
        <f t="shared" si="265"/>
        <v>0</v>
      </c>
      <c r="J335" s="234">
        <f t="shared" si="265"/>
        <v>0</v>
      </c>
    </row>
    <row r="337" spans="1:10">
      <c r="A337" s="196"/>
      <c r="B337" s="913"/>
      <c r="C337" s="913"/>
      <c r="D337" s="913"/>
      <c r="E337" s="913"/>
      <c r="F337" s="913"/>
      <c r="G337" s="913"/>
      <c r="H337" s="913"/>
      <c r="I337" s="913"/>
      <c r="J337" s="913"/>
    </row>
  </sheetData>
  <mergeCells count="66">
    <mergeCell ref="A7:J7"/>
    <mergeCell ref="L7:U7"/>
    <mergeCell ref="A3:U3"/>
    <mergeCell ref="B5:J5"/>
    <mergeCell ref="M5:U5"/>
    <mergeCell ref="A6:J6"/>
    <mergeCell ref="L6:U6"/>
    <mergeCell ref="B30:J30"/>
    <mergeCell ref="M30:U30"/>
    <mergeCell ref="A31:J31"/>
    <mergeCell ref="L31:U31"/>
    <mergeCell ref="A32:J32"/>
    <mergeCell ref="L32:U32"/>
    <mergeCell ref="B55:J55"/>
    <mergeCell ref="M55:U55"/>
    <mergeCell ref="A56:J56"/>
    <mergeCell ref="L56:U56"/>
    <mergeCell ref="A57:J57"/>
    <mergeCell ref="L57:U57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130:J130"/>
    <mergeCell ref="M130:U130"/>
    <mergeCell ref="A131:J131"/>
    <mergeCell ref="L131:U131"/>
    <mergeCell ref="A132:J132"/>
    <mergeCell ref="L132:U132"/>
    <mergeCell ref="A330:J330"/>
    <mergeCell ref="B305:J305"/>
    <mergeCell ref="M305:U305"/>
    <mergeCell ref="A306:J306"/>
    <mergeCell ref="L306:U306"/>
    <mergeCell ref="A307:J307"/>
    <mergeCell ref="L307:U307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X53"/>
  <sheetViews>
    <sheetView zoomScaleNormal="100" workbookViewId="0"/>
  </sheetViews>
  <sheetFormatPr defaultColWidth="9.140625" defaultRowHeight="12"/>
  <cols>
    <col min="1" max="1" width="5" style="180" customWidth="1"/>
    <col min="2" max="2" width="48" style="180" customWidth="1"/>
    <col min="3" max="6" width="9.5703125" style="180" customWidth="1"/>
    <col min="7" max="23" width="7.28515625" style="180" bestFit="1" customWidth="1"/>
    <col min="24" max="24" width="10.28515625" style="180" customWidth="1"/>
    <col min="25" max="16384" width="9.140625" style="180"/>
  </cols>
  <sheetData>
    <row r="1" spans="1:24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89" t="s">
        <v>455</v>
      </c>
    </row>
    <row r="2" spans="1:24" s="181" customFormat="1" ht="15.7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89"/>
    </row>
    <row r="3" spans="1:24" s="181" customFormat="1" ht="15.75">
      <c r="A3" s="1482" t="s">
        <v>456</v>
      </c>
      <c r="B3" s="1482"/>
      <c r="C3" s="1482"/>
      <c r="D3" s="1482"/>
      <c r="E3" s="1482"/>
      <c r="F3" s="1482"/>
      <c r="G3" s="1482"/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482"/>
      <c r="S3" s="1482"/>
      <c r="T3" s="1482"/>
      <c r="U3" s="1482"/>
      <c r="V3" s="1482"/>
      <c r="W3" s="1482"/>
      <c r="X3" s="1482"/>
    </row>
    <row r="4" spans="1:24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39" t="s">
        <v>49</v>
      </c>
    </row>
    <row r="5" spans="1:24" ht="14.25" thickBot="1">
      <c r="A5" s="1483" t="s">
        <v>17</v>
      </c>
      <c r="B5" s="1485" t="s">
        <v>7</v>
      </c>
      <c r="C5" s="1489" t="s">
        <v>476</v>
      </c>
      <c r="D5" s="1490"/>
      <c r="E5" s="1490"/>
      <c r="F5" s="1490"/>
      <c r="G5" s="1490"/>
      <c r="H5" s="1490"/>
      <c r="I5" s="1490"/>
      <c r="J5" s="1490"/>
      <c r="K5" s="1490"/>
      <c r="L5" s="1490"/>
      <c r="M5" s="1490"/>
      <c r="N5" s="1490"/>
      <c r="O5" s="1490"/>
      <c r="P5" s="1490"/>
      <c r="Q5" s="1490"/>
      <c r="R5" s="1490"/>
      <c r="S5" s="1490"/>
      <c r="T5" s="1490"/>
      <c r="U5" s="1490"/>
      <c r="V5" s="1490"/>
      <c r="W5" s="1491"/>
      <c r="X5" s="1487" t="s">
        <v>18</v>
      </c>
    </row>
    <row r="6" spans="1:24" ht="36.75" thickBot="1">
      <c r="A6" s="1484"/>
      <c r="B6" s="1486"/>
      <c r="C6" s="1165" t="s">
        <v>1586</v>
      </c>
      <c r="D6" s="6" t="s">
        <v>1587</v>
      </c>
      <c r="E6" s="6" t="s">
        <v>1658</v>
      </c>
      <c r="F6" s="7" t="s">
        <v>1659</v>
      </c>
      <c r="G6" s="238" t="s">
        <v>460</v>
      </c>
      <c r="H6" s="238" t="s">
        <v>461</v>
      </c>
      <c r="I6" s="238" t="s">
        <v>462</v>
      </c>
      <c r="J6" s="238" t="s">
        <v>463</v>
      </c>
      <c r="K6" s="238" t="s">
        <v>464</v>
      </c>
      <c r="L6" s="238" t="s">
        <v>979</v>
      </c>
      <c r="M6" s="238" t="s">
        <v>1104</v>
      </c>
      <c r="N6" s="238" t="s">
        <v>1131</v>
      </c>
      <c r="O6" s="238" t="s">
        <v>1132</v>
      </c>
      <c r="P6" s="238" t="s">
        <v>1133</v>
      </c>
      <c r="Q6" s="238" t="s">
        <v>1134</v>
      </c>
      <c r="R6" s="238" t="s">
        <v>1135</v>
      </c>
      <c r="S6" s="238" t="s">
        <v>1136</v>
      </c>
      <c r="T6" s="238" t="s">
        <v>1137</v>
      </c>
      <c r="U6" s="238" t="s">
        <v>1138</v>
      </c>
      <c r="V6" s="238" t="s">
        <v>1139</v>
      </c>
      <c r="W6" s="238" t="s">
        <v>1140</v>
      </c>
      <c r="X6" s="1488"/>
    </row>
    <row r="7" spans="1:24" ht="13.5" customHeight="1" thickBot="1">
      <c r="A7" s="237">
        <v>1</v>
      </c>
      <c r="B7" s="236">
        <v>2</v>
      </c>
      <c r="C7" s="1479">
        <v>3</v>
      </c>
      <c r="D7" s="1480"/>
      <c r="E7" s="1480"/>
      <c r="F7" s="1481"/>
      <c r="G7" s="240">
        <v>4</v>
      </c>
      <c r="H7" s="240">
        <v>5</v>
      </c>
      <c r="I7" s="240">
        <v>6</v>
      </c>
      <c r="J7" s="240">
        <v>7</v>
      </c>
      <c r="K7" s="240">
        <v>8</v>
      </c>
      <c r="L7" s="240">
        <v>10</v>
      </c>
      <c r="M7" s="240">
        <v>11</v>
      </c>
      <c r="N7" s="240">
        <v>12</v>
      </c>
      <c r="O7" s="240">
        <v>13</v>
      </c>
      <c r="P7" s="240">
        <v>14</v>
      </c>
      <c r="Q7" s="240">
        <v>15</v>
      </c>
      <c r="R7" s="240">
        <v>16</v>
      </c>
      <c r="S7" s="240">
        <v>17</v>
      </c>
      <c r="T7" s="240">
        <v>18</v>
      </c>
      <c r="U7" s="240">
        <v>19</v>
      </c>
      <c r="V7" s="240">
        <v>20</v>
      </c>
      <c r="W7" s="240">
        <v>21</v>
      </c>
      <c r="X7" s="241" t="s">
        <v>1437</v>
      </c>
    </row>
    <row r="8" spans="1:24">
      <c r="A8" s="272" t="s">
        <v>4</v>
      </c>
      <c r="B8" s="858" t="s">
        <v>964</v>
      </c>
      <c r="C8" s="1321">
        <v>367102</v>
      </c>
      <c r="D8" s="1333">
        <f>367102-21100</f>
        <v>346002</v>
      </c>
      <c r="E8" s="1333"/>
      <c r="F8" s="1327">
        <f t="shared" ref="F8:F13" si="0">+D8+E8</f>
        <v>346002</v>
      </c>
      <c r="G8" s="1024">
        <f>+ROUND(F8*1.035,0)</f>
        <v>358112</v>
      </c>
      <c r="H8" s="1024">
        <f>+ROUND(G8*1.03,0)</f>
        <v>368855</v>
      </c>
      <c r="I8" s="1024">
        <f>+ROUND(H8*1.034,0)</f>
        <v>381396</v>
      </c>
      <c r="J8" s="243">
        <f t="shared" ref="J8:W13" si="1">+I8</f>
        <v>381396</v>
      </c>
      <c r="K8" s="243">
        <f t="shared" ref="K8:L13" si="2">+J8</f>
        <v>381396</v>
      </c>
      <c r="L8" s="243">
        <f t="shared" si="2"/>
        <v>381396</v>
      </c>
      <c r="M8" s="243">
        <f t="shared" si="1"/>
        <v>381396</v>
      </c>
      <c r="N8" s="243">
        <f t="shared" si="1"/>
        <v>381396</v>
      </c>
      <c r="O8" s="243">
        <f t="shared" si="1"/>
        <v>381396</v>
      </c>
      <c r="P8" s="243">
        <f t="shared" si="1"/>
        <v>381396</v>
      </c>
      <c r="Q8" s="243">
        <f t="shared" si="1"/>
        <v>381396</v>
      </c>
      <c r="R8" s="243">
        <f t="shared" si="1"/>
        <v>381396</v>
      </c>
      <c r="S8" s="243">
        <f t="shared" si="1"/>
        <v>381396</v>
      </c>
      <c r="T8" s="243">
        <f t="shared" si="1"/>
        <v>381396</v>
      </c>
      <c r="U8" s="243">
        <f t="shared" si="1"/>
        <v>381396</v>
      </c>
      <c r="V8" s="243">
        <f t="shared" si="1"/>
        <v>381396</v>
      </c>
      <c r="W8" s="243">
        <f t="shared" si="1"/>
        <v>381396</v>
      </c>
      <c r="X8" s="244">
        <f t="shared" ref="X8:X13" si="3">SUM(F8:W8)</f>
        <v>6793909</v>
      </c>
    </row>
    <row r="9" spans="1:24" ht="36">
      <c r="A9" s="273" t="s">
        <v>5</v>
      </c>
      <c r="B9" s="245" t="s">
        <v>841</v>
      </c>
      <c r="C9" s="1322">
        <v>236</v>
      </c>
      <c r="D9" s="1334">
        <v>236</v>
      </c>
      <c r="E9" s="1334"/>
      <c r="F9" s="1328">
        <f t="shared" si="0"/>
        <v>236</v>
      </c>
      <c r="G9" s="246">
        <f>+F9</f>
        <v>236</v>
      </c>
      <c r="H9" s="246">
        <f>+G9</f>
        <v>236</v>
      </c>
      <c r="I9" s="243">
        <f t="shared" ref="I9:I10" si="4">+H9</f>
        <v>236</v>
      </c>
      <c r="J9" s="243">
        <f t="shared" si="1"/>
        <v>236</v>
      </c>
      <c r="K9" s="243">
        <f t="shared" si="2"/>
        <v>236</v>
      </c>
      <c r="L9" s="243">
        <f t="shared" si="2"/>
        <v>236</v>
      </c>
      <c r="M9" s="243">
        <f t="shared" si="1"/>
        <v>236</v>
      </c>
      <c r="N9" s="243">
        <f t="shared" si="1"/>
        <v>236</v>
      </c>
      <c r="O9" s="243">
        <f t="shared" si="1"/>
        <v>236</v>
      </c>
      <c r="P9" s="243">
        <f t="shared" si="1"/>
        <v>236</v>
      </c>
      <c r="Q9" s="243">
        <f t="shared" si="1"/>
        <v>236</v>
      </c>
      <c r="R9" s="243">
        <f t="shared" si="1"/>
        <v>236</v>
      </c>
      <c r="S9" s="243">
        <f t="shared" si="1"/>
        <v>236</v>
      </c>
      <c r="T9" s="243">
        <f t="shared" si="1"/>
        <v>236</v>
      </c>
      <c r="U9" s="243">
        <f t="shared" si="1"/>
        <v>236</v>
      </c>
      <c r="V9" s="243">
        <f t="shared" si="1"/>
        <v>236</v>
      </c>
      <c r="W9" s="243">
        <f t="shared" si="1"/>
        <v>236</v>
      </c>
      <c r="X9" s="247">
        <f t="shared" si="3"/>
        <v>4248</v>
      </c>
    </row>
    <row r="10" spans="1:24">
      <c r="A10" s="273" t="s">
        <v>6</v>
      </c>
      <c r="B10" s="245" t="s">
        <v>842</v>
      </c>
      <c r="C10" s="1322"/>
      <c r="D10" s="1334"/>
      <c r="E10" s="1334"/>
      <c r="F10" s="1328">
        <f t="shared" si="0"/>
        <v>0</v>
      </c>
      <c r="G10" s="246"/>
      <c r="H10" s="246"/>
      <c r="I10" s="243">
        <f t="shared" si="4"/>
        <v>0</v>
      </c>
      <c r="J10" s="243">
        <f t="shared" si="1"/>
        <v>0</v>
      </c>
      <c r="K10" s="243">
        <f t="shared" si="2"/>
        <v>0</v>
      </c>
      <c r="L10" s="243">
        <f t="shared" si="2"/>
        <v>0</v>
      </c>
      <c r="M10" s="243">
        <f t="shared" si="1"/>
        <v>0</v>
      </c>
      <c r="N10" s="243">
        <f t="shared" si="1"/>
        <v>0</v>
      </c>
      <c r="O10" s="243">
        <f t="shared" si="1"/>
        <v>0</v>
      </c>
      <c r="P10" s="243">
        <f t="shared" si="1"/>
        <v>0</v>
      </c>
      <c r="Q10" s="243">
        <f t="shared" si="1"/>
        <v>0</v>
      </c>
      <c r="R10" s="243">
        <f t="shared" si="1"/>
        <v>0</v>
      </c>
      <c r="S10" s="243">
        <f t="shared" si="1"/>
        <v>0</v>
      </c>
      <c r="T10" s="243">
        <f t="shared" si="1"/>
        <v>0</v>
      </c>
      <c r="U10" s="243">
        <f t="shared" si="1"/>
        <v>0</v>
      </c>
      <c r="V10" s="243">
        <f t="shared" si="1"/>
        <v>0</v>
      </c>
      <c r="W10" s="243">
        <f t="shared" si="1"/>
        <v>0</v>
      </c>
      <c r="X10" s="247">
        <f t="shared" si="3"/>
        <v>0</v>
      </c>
    </row>
    <row r="11" spans="1:24" ht="24">
      <c r="A11" s="273" t="s">
        <v>3</v>
      </c>
      <c r="B11" s="245" t="s">
        <v>843</v>
      </c>
      <c r="C11" s="1322">
        <v>40350</v>
      </c>
      <c r="D11" s="1334">
        <v>40350</v>
      </c>
      <c r="E11" s="1334"/>
      <c r="F11" s="1328">
        <f t="shared" si="0"/>
        <v>40350</v>
      </c>
      <c r="G11" s="1025">
        <v>350</v>
      </c>
      <c r="H11" s="1025">
        <v>350</v>
      </c>
      <c r="I11" s="1025">
        <v>350</v>
      </c>
      <c r="J11" s="243">
        <f t="shared" si="1"/>
        <v>350</v>
      </c>
      <c r="K11" s="243">
        <f t="shared" si="2"/>
        <v>350</v>
      </c>
      <c r="L11" s="243">
        <f t="shared" si="2"/>
        <v>350</v>
      </c>
      <c r="M11" s="243">
        <f t="shared" si="1"/>
        <v>350</v>
      </c>
      <c r="N11" s="243">
        <f t="shared" si="1"/>
        <v>350</v>
      </c>
      <c r="O11" s="243">
        <f t="shared" si="1"/>
        <v>350</v>
      </c>
      <c r="P11" s="243">
        <f t="shared" si="1"/>
        <v>350</v>
      </c>
      <c r="Q11" s="243">
        <f t="shared" si="1"/>
        <v>350</v>
      </c>
      <c r="R11" s="243">
        <f t="shared" si="1"/>
        <v>350</v>
      </c>
      <c r="S11" s="243">
        <f t="shared" si="1"/>
        <v>350</v>
      </c>
      <c r="T11" s="243">
        <f t="shared" si="1"/>
        <v>350</v>
      </c>
      <c r="U11" s="243">
        <f t="shared" si="1"/>
        <v>350</v>
      </c>
      <c r="V11" s="243">
        <f t="shared" si="1"/>
        <v>350</v>
      </c>
      <c r="W11" s="243">
        <f t="shared" si="1"/>
        <v>350</v>
      </c>
      <c r="X11" s="247">
        <f t="shared" si="3"/>
        <v>46300</v>
      </c>
    </row>
    <row r="12" spans="1:24" ht="12.75">
      <c r="A12" s="273" t="s">
        <v>16</v>
      </c>
      <c r="B12" s="667" t="s">
        <v>844</v>
      </c>
      <c r="C12" s="1323">
        <v>19453</v>
      </c>
      <c r="D12" s="1335">
        <v>19453</v>
      </c>
      <c r="E12" s="1335"/>
      <c r="F12" s="1329">
        <f t="shared" si="0"/>
        <v>19453</v>
      </c>
      <c r="G12" s="990">
        <v>6900</v>
      </c>
      <c r="H12" s="990">
        <f>+G12</f>
        <v>6900</v>
      </c>
      <c r="I12" s="243">
        <f>+H12</f>
        <v>6900</v>
      </c>
      <c r="J12" s="243">
        <f t="shared" si="1"/>
        <v>6900</v>
      </c>
      <c r="K12" s="243">
        <f t="shared" si="2"/>
        <v>6900</v>
      </c>
      <c r="L12" s="243">
        <f t="shared" si="2"/>
        <v>6900</v>
      </c>
      <c r="M12" s="243">
        <f t="shared" si="1"/>
        <v>6900</v>
      </c>
      <c r="N12" s="243">
        <f t="shared" si="1"/>
        <v>6900</v>
      </c>
      <c r="O12" s="243">
        <f t="shared" si="1"/>
        <v>6900</v>
      </c>
      <c r="P12" s="243">
        <f t="shared" si="1"/>
        <v>6900</v>
      </c>
      <c r="Q12" s="243">
        <f t="shared" si="1"/>
        <v>6900</v>
      </c>
      <c r="R12" s="243">
        <f t="shared" si="1"/>
        <v>6900</v>
      </c>
      <c r="S12" s="243">
        <f t="shared" si="1"/>
        <v>6900</v>
      </c>
      <c r="T12" s="243">
        <f t="shared" si="1"/>
        <v>6900</v>
      </c>
      <c r="U12" s="243">
        <f t="shared" si="1"/>
        <v>6900</v>
      </c>
      <c r="V12" s="243">
        <f t="shared" si="1"/>
        <v>6900</v>
      </c>
      <c r="W12" s="243">
        <f t="shared" si="1"/>
        <v>6900</v>
      </c>
      <c r="X12" s="247">
        <f t="shared" si="3"/>
        <v>136753</v>
      </c>
    </row>
    <row r="13" spans="1:24" ht="12.75" thickBot="1">
      <c r="A13" s="274" t="s">
        <v>15</v>
      </c>
      <c r="B13" s="248" t="s">
        <v>965</v>
      </c>
      <c r="C13" s="1324"/>
      <c r="D13" s="1336"/>
      <c r="E13" s="1336"/>
      <c r="F13" s="1330">
        <f t="shared" si="0"/>
        <v>0</v>
      </c>
      <c r="G13" s="249"/>
      <c r="H13" s="249"/>
      <c r="I13" s="277"/>
      <c r="J13" s="277">
        <f t="shared" si="1"/>
        <v>0</v>
      </c>
      <c r="K13" s="277">
        <f t="shared" si="2"/>
        <v>0</v>
      </c>
      <c r="L13" s="277">
        <f t="shared" si="2"/>
        <v>0</v>
      </c>
      <c r="M13" s="277">
        <f t="shared" si="1"/>
        <v>0</v>
      </c>
      <c r="N13" s="277">
        <f t="shared" si="1"/>
        <v>0</v>
      </c>
      <c r="O13" s="277">
        <f t="shared" si="1"/>
        <v>0</v>
      </c>
      <c r="P13" s="277">
        <f t="shared" si="1"/>
        <v>0</v>
      </c>
      <c r="Q13" s="277">
        <f t="shared" si="1"/>
        <v>0</v>
      </c>
      <c r="R13" s="277">
        <f t="shared" si="1"/>
        <v>0</v>
      </c>
      <c r="S13" s="277">
        <f t="shared" si="1"/>
        <v>0</v>
      </c>
      <c r="T13" s="277">
        <f t="shared" si="1"/>
        <v>0</v>
      </c>
      <c r="U13" s="277">
        <f t="shared" si="1"/>
        <v>0</v>
      </c>
      <c r="V13" s="277">
        <f t="shared" si="1"/>
        <v>0</v>
      </c>
      <c r="W13" s="277">
        <f t="shared" si="1"/>
        <v>0</v>
      </c>
      <c r="X13" s="250">
        <f t="shared" si="3"/>
        <v>0</v>
      </c>
    </row>
    <row r="14" spans="1:24" ht="15" thickBot="1">
      <c r="A14" s="275" t="s">
        <v>14</v>
      </c>
      <c r="B14" s="251" t="s">
        <v>845</v>
      </c>
      <c r="C14" s="1325">
        <f>+C8+C9+C12+C11+C10+C13</f>
        <v>427141</v>
      </c>
      <c r="D14" s="1337">
        <f>+D8+D9+D12+D11+D10+D13</f>
        <v>406041</v>
      </c>
      <c r="E14" s="1337">
        <f>+E8+E9+E12+E11+E10+E13</f>
        <v>0</v>
      </c>
      <c r="F14" s="1331">
        <f>+F8+F9+F12+F11+F10+F13</f>
        <v>406041</v>
      </c>
      <c r="G14" s="887">
        <f>+G8+G9+G12+G11+G10+G13</f>
        <v>365598</v>
      </c>
      <c r="H14" s="252">
        <f t="shared" ref="H14:X14" si="5">+H8+H9+H12+H11+H10+H13</f>
        <v>376341</v>
      </c>
      <c r="I14" s="252">
        <f t="shared" si="5"/>
        <v>388882</v>
      </c>
      <c r="J14" s="252">
        <f t="shared" si="5"/>
        <v>388882</v>
      </c>
      <c r="K14" s="252">
        <f t="shared" si="5"/>
        <v>388882</v>
      </c>
      <c r="L14" s="252">
        <f t="shared" si="5"/>
        <v>388882</v>
      </c>
      <c r="M14" s="252">
        <f>+M8+M9+M12+M11+M10+M13</f>
        <v>388882</v>
      </c>
      <c r="N14" s="252">
        <f>+N8+N9+N12+N11+N10+N13</f>
        <v>388882</v>
      </c>
      <c r="O14" s="252">
        <f t="shared" si="5"/>
        <v>388882</v>
      </c>
      <c r="P14" s="252">
        <f>+P8+P9+P12+P11+P10+P13</f>
        <v>388882</v>
      </c>
      <c r="Q14" s="252">
        <f>+Q8+Q9+Q12+Q11+Q10+Q13</f>
        <v>388882</v>
      </c>
      <c r="R14" s="252">
        <f t="shared" si="5"/>
        <v>388882</v>
      </c>
      <c r="S14" s="252">
        <f>+S8+S9+S12+S11+S10+S13</f>
        <v>388882</v>
      </c>
      <c r="T14" s="252">
        <f>+T8+T9+T12+T11+T10+T13</f>
        <v>388882</v>
      </c>
      <c r="U14" s="252">
        <f>+U8+U9+U12+U11+U10+U13</f>
        <v>388882</v>
      </c>
      <c r="V14" s="252">
        <f>+V8+V9+V12+V11+V10+V13</f>
        <v>388882</v>
      </c>
      <c r="W14" s="252">
        <f t="shared" si="5"/>
        <v>388882</v>
      </c>
      <c r="X14" s="254">
        <f t="shared" si="5"/>
        <v>6981210</v>
      </c>
    </row>
    <row r="15" spans="1:24" ht="15" thickBot="1">
      <c r="A15" s="275" t="s">
        <v>13</v>
      </c>
      <c r="B15" s="251" t="s">
        <v>846</v>
      </c>
      <c r="C15" s="1325">
        <f>+ROUNDDOWN(C14*0.5,0)</f>
        <v>213570</v>
      </c>
      <c r="D15" s="1337">
        <f>+ROUNDDOWN(D14*0.5,0)</f>
        <v>203020</v>
      </c>
      <c r="E15" s="1337">
        <f>+ROUNDDOWN(E14*0.5,0)</f>
        <v>0</v>
      </c>
      <c r="F15" s="1331">
        <f>+ROUNDDOWN(F14*0.5,0)</f>
        <v>203020</v>
      </c>
      <c r="G15" s="257">
        <f t="shared" ref="G15:X15" si="6">+ROUNDDOWN(G14*0.5,0)</f>
        <v>182799</v>
      </c>
      <c r="H15" s="257">
        <f t="shared" si="6"/>
        <v>188170</v>
      </c>
      <c r="I15" s="257">
        <f t="shared" si="6"/>
        <v>194441</v>
      </c>
      <c r="J15" s="257">
        <f t="shared" si="6"/>
        <v>194441</v>
      </c>
      <c r="K15" s="257">
        <f t="shared" si="6"/>
        <v>194441</v>
      </c>
      <c r="L15" s="257">
        <f t="shared" si="6"/>
        <v>194441</v>
      </c>
      <c r="M15" s="257">
        <f>+ROUNDDOWN(M14*0.5,0)</f>
        <v>194441</v>
      </c>
      <c r="N15" s="257">
        <f>+ROUNDDOWN(N14*0.5,0)</f>
        <v>194441</v>
      </c>
      <c r="O15" s="257">
        <f t="shared" si="6"/>
        <v>194441</v>
      </c>
      <c r="P15" s="257">
        <f>+ROUNDDOWN(P14*0.5,0)</f>
        <v>194441</v>
      </c>
      <c r="Q15" s="257">
        <f>+ROUNDDOWN(Q14*0.5,0)</f>
        <v>194441</v>
      </c>
      <c r="R15" s="257">
        <f t="shared" si="6"/>
        <v>194441</v>
      </c>
      <c r="S15" s="257">
        <f>+ROUNDDOWN(S14*0.5,0)</f>
        <v>194441</v>
      </c>
      <c r="T15" s="257">
        <f>+ROUNDDOWN(T14*0.5,0)</f>
        <v>194441</v>
      </c>
      <c r="U15" s="257">
        <f>+ROUNDDOWN(U14*0.5,0)</f>
        <v>194441</v>
      </c>
      <c r="V15" s="257">
        <f>+ROUNDDOWN(V14*0.5,0)</f>
        <v>194441</v>
      </c>
      <c r="W15" s="257">
        <f t="shared" si="6"/>
        <v>194441</v>
      </c>
      <c r="X15" s="254">
        <f t="shared" si="6"/>
        <v>3490605</v>
      </c>
    </row>
    <row r="16" spans="1:24" ht="27" thickBot="1">
      <c r="A16" s="275" t="s">
        <v>12</v>
      </c>
      <c r="B16" s="251" t="s">
        <v>852</v>
      </c>
      <c r="C16" s="1325">
        <f t="shared" ref="C16" si="7">+C17+C18+C19+C20+C21+C22+C23+C24+C25</f>
        <v>52412</v>
      </c>
      <c r="D16" s="1337">
        <f t="shared" ref="D16:E16" si="8">+D17+D18+D19+D20+D21+D22+D23+D24+D25</f>
        <v>52412</v>
      </c>
      <c r="E16" s="1337">
        <f t="shared" si="8"/>
        <v>0</v>
      </c>
      <c r="F16" s="1331">
        <f t="shared" ref="F16:X16" si="9">+F17+F18+F19+F20+F21+F22+F23+F24+F25</f>
        <v>52412</v>
      </c>
      <c r="G16" s="253">
        <f t="shared" si="9"/>
        <v>28308</v>
      </c>
      <c r="H16" s="253">
        <f t="shared" si="9"/>
        <v>2000</v>
      </c>
      <c r="I16" s="253">
        <f t="shared" si="9"/>
        <v>2000</v>
      </c>
      <c r="J16" s="253">
        <f t="shared" si="9"/>
        <v>2000</v>
      </c>
      <c r="K16" s="253">
        <f t="shared" si="9"/>
        <v>2000</v>
      </c>
      <c r="L16" s="253">
        <f t="shared" si="9"/>
        <v>2000</v>
      </c>
      <c r="M16" s="253">
        <f>+M17+M18+M19+M20+M21+M22+M23+M24+M25</f>
        <v>2000</v>
      </c>
      <c r="N16" s="253">
        <f>+N17+N18+N19+N20+N21+N22+N23+N24+N25</f>
        <v>2000</v>
      </c>
      <c r="O16" s="253">
        <f t="shared" si="9"/>
        <v>2000</v>
      </c>
      <c r="P16" s="253">
        <f>+P17+P18+P19+P20+P21+P22+P23+P24+P25</f>
        <v>2000</v>
      </c>
      <c r="Q16" s="253">
        <f>+Q17+Q18+Q19+Q20+Q21+Q22+Q23+Q24+Q25</f>
        <v>2000</v>
      </c>
      <c r="R16" s="253">
        <f t="shared" si="9"/>
        <v>2000</v>
      </c>
      <c r="S16" s="253">
        <f>+S17+S18+S19+S20+S21+S22+S23+S24+S25</f>
        <v>2000</v>
      </c>
      <c r="T16" s="253">
        <f>+T17+T18+T19+T20+T21+T22+T23+T24+T25</f>
        <v>2000</v>
      </c>
      <c r="U16" s="253">
        <f>+U17+U18+U19+U20+U21+U22+U23+U24+U25</f>
        <v>2000</v>
      </c>
      <c r="V16" s="253">
        <f>+V17+V18+V19+V20+V21+V22+V23+V24+V25</f>
        <v>2000</v>
      </c>
      <c r="W16" s="253">
        <f t="shared" si="9"/>
        <v>3525</v>
      </c>
      <c r="X16" s="254">
        <f t="shared" si="9"/>
        <v>114245</v>
      </c>
    </row>
    <row r="17" spans="1:24">
      <c r="A17" s="272" t="s">
        <v>11</v>
      </c>
      <c r="B17" s="242" t="s">
        <v>465</v>
      </c>
      <c r="C17" s="1321"/>
      <c r="D17" s="1333"/>
      <c r="E17" s="1333"/>
      <c r="F17" s="1327">
        <f t="shared" ref="F17:F25" si="10">+D17+E17</f>
        <v>0</v>
      </c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7">
        <f t="shared" ref="X17:X25" si="11">SUM(F17:W17)</f>
        <v>0</v>
      </c>
    </row>
    <row r="18" spans="1:24">
      <c r="A18" s="273" t="s">
        <v>10</v>
      </c>
      <c r="B18" s="245" t="s">
        <v>466</v>
      </c>
      <c r="C18" s="1322"/>
      <c r="D18" s="1334"/>
      <c r="E18" s="1334"/>
      <c r="F18" s="1328">
        <f t="shared" si="10"/>
        <v>0</v>
      </c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>
        <f t="shared" si="11"/>
        <v>0</v>
      </c>
    </row>
    <row r="19" spans="1:24">
      <c r="A19" s="273" t="s">
        <v>9</v>
      </c>
      <c r="B19" s="245" t="s">
        <v>467</v>
      </c>
      <c r="C19" s="1322"/>
      <c r="D19" s="1334"/>
      <c r="E19" s="1334"/>
      <c r="F19" s="1328">
        <f t="shared" si="10"/>
        <v>0</v>
      </c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7">
        <f t="shared" si="11"/>
        <v>0</v>
      </c>
    </row>
    <row r="20" spans="1:24">
      <c r="A20" s="273" t="s">
        <v>45</v>
      </c>
      <c r="B20" s="245" t="s">
        <v>468</v>
      </c>
      <c r="C20" s="1322"/>
      <c r="D20" s="1334"/>
      <c r="E20" s="1334"/>
      <c r="F20" s="1328">
        <f t="shared" si="10"/>
        <v>0</v>
      </c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7">
        <f t="shared" si="11"/>
        <v>0</v>
      </c>
    </row>
    <row r="21" spans="1:24">
      <c r="A21" s="273" t="s">
        <v>44</v>
      </c>
      <c r="B21" s="245" t="s">
        <v>469</v>
      </c>
      <c r="C21" s="1322"/>
      <c r="D21" s="1334"/>
      <c r="E21" s="1334"/>
      <c r="F21" s="1328">
        <f t="shared" si="10"/>
        <v>0</v>
      </c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7">
        <f t="shared" si="11"/>
        <v>0</v>
      </c>
    </row>
    <row r="22" spans="1:24" ht="36">
      <c r="A22" s="273" t="s">
        <v>43</v>
      </c>
      <c r="B22" s="245" t="s">
        <v>850</v>
      </c>
      <c r="C22" s="1322"/>
      <c r="D22" s="1334"/>
      <c r="E22" s="1334"/>
      <c r="F22" s="1328">
        <f t="shared" si="10"/>
        <v>0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7">
        <f t="shared" si="11"/>
        <v>0</v>
      </c>
    </row>
    <row r="23" spans="1:24">
      <c r="A23" s="273" t="s">
        <v>40</v>
      </c>
      <c r="B23" s="245" t="s">
        <v>849</v>
      </c>
      <c r="C23" s="1322">
        <f>2000+2000+13205+19807+8900+6500</f>
        <v>52412</v>
      </c>
      <c r="D23" s="1334">
        <f>2000+2000+13205+19807+8900+6500</f>
        <v>52412</v>
      </c>
      <c r="E23" s="1334"/>
      <c r="F23" s="1328">
        <f t="shared" si="10"/>
        <v>52412</v>
      </c>
      <c r="G23" s="246">
        <f>2000+19808+6500</f>
        <v>28308</v>
      </c>
      <c r="H23" s="246">
        <v>2000</v>
      </c>
      <c r="I23" s="246">
        <v>2000</v>
      </c>
      <c r="J23" s="246">
        <v>2000</v>
      </c>
      <c r="K23" s="246">
        <v>2000</v>
      </c>
      <c r="L23" s="246">
        <v>2000</v>
      </c>
      <c r="M23" s="246">
        <v>2000</v>
      </c>
      <c r="N23" s="246">
        <v>2000</v>
      </c>
      <c r="O23" s="246">
        <v>2000</v>
      </c>
      <c r="P23" s="246">
        <v>2000</v>
      </c>
      <c r="Q23" s="246">
        <v>2000</v>
      </c>
      <c r="R23" s="246">
        <v>2000</v>
      </c>
      <c r="S23" s="246">
        <v>2000</v>
      </c>
      <c r="T23" s="246">
        <v>2000</v>
      </c>
      <c r="U23" s="246">
        <v>2000</v>
      </c>
      <c r="V23" s="246">
        <v>2000</v>
      </c>
      <c r="W23" s="246">
        <v>3525</v>
      </c>
      <c r="X23" s="247">
        <f t="shared" si="11"/>
        <v>114245</v>
      </c>
    </row>
    <row r="24" spans="1:24" ht="36">
      <c r="A24" s="273" t="s">
        <v>39</v>
      </c>
      <c r="B24" s="255" t="s">
        <v>851</v>
      </c>
      <c r="C24" s="1322"/>
      <c r="D24" s="1334"/>
      <c r="E24" s="1334"/>
      <c r="F24" s="1328">
        <f t="shared" si="10"/>
        <v>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7">
        <f t="shared" si="11"/>
        <v>0</v>
      </c>
    </row>
    <row r="25" spans="1:24" ht="12.75" thickBot="1">
      <c r="A25" s="273" t="s">
        <v>38</v>
      </c>
      <c r="B25" s="255" t="s">
        <v>966</v>
      </c>
      <c r="C25" s="1322"/>
      <c r="D25" s="1334"/>
      <c r="E25" s="1334"/>
      <c r="F25" s="1328">
        <f t="shared" si="10"/>
        <v>0</v>
      </c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7">
        <f t="shared" si="11"/>
        <v>0</v>
      </c>
    </row>
    <row r="26" spans="1:24" ht="27" thickBot="1">
      <c r="A26" s="275" t="s">
        <v>36</v>
      </c>
      <c r="B26" s="251" t="s">
        <v>853</v>
      </c>
      <c r="C26" s="1325">
        <f>+C27+C28+C29+C30+C31+C32+C33+C34+C35</f>
        <v>0</v>
      </c>
      <c r="D26" s="1337">
        <f>+D27+D28+D29+D30+D31+D32+D33+D34+D35</f>
        <v>0</v>
      </c>
      <c r="E26" s="1337">
        <f>+E27+E28+E29+E30+E31+E32+E33+E34+E35</f>
        <v>0</v>
      </c>
      <c r="F26" s="1331">
        <f>+F27+F28+F29+F30+F31+F32+F33+F34+F35</f>
        <v>0</v>
      </c>
      <c r="G26" s="253">
        <f t="shared" ref="G26:X26" si="12">+G27+G28+G29+G30+G31+G32+G33+G34+G35</f>
        <v>10000</v>
      </c>
      <c r="H26" s="253">
        <f t="shared" si="12"/>
        <v>0</v>
      </c>
      <c r="I26" s="253">
        <f t="shared" si="12"/>
        <v>0</v>
      </c>
      <c r="J26" s="253">
        <f t="shared" si="12"/>
        <v>0</v>
      </c>
      <c r="K26" s="253">
        <f t="shared" si="12"/>
        <v>0</v>
      </c>
      <c r="L26" s="253">
        <f t="shared" si="12"/>
        <v>0</v>
      </c>
      <c r="M26" s="253">
        <f>+M27+M28+M29+M30+M31+M32+M33+M34+M35</f>
        <v>0</v>
      </c>
      <c r="N26" s="253">
        <f>+N27+N28+N29+N30+N31+N32+N33+N34+N35</f>
        <v>0</v>
      </c>
      <c r="O26" s="253">
        <f t="shared" si="12"/>
        <v>0</v>
      </c>
      <c r="P26" s="253">
        <f>+P27+P28+P29+P30+P31+P32+P33+P34+P35</f>
        <v>0</v>
      </c>
      <c r="Q26" s="253">
        <f>+Q27+Q28+Q29+Q30+Q31+Q32+Q33+Q34+Q35</f>
        <v>0</v>
      </c>
      <c r="R26" s="253">
        <f t="shared" si="12"/>
        <v>0</v>
      </c>
      <c r="S26" s="253">
        <f>+S27+S28+S29+S30+S31+S32+S33+S34+S35</f>
        <v>0</v>
      </c>
      <c r="T26" s="253">
        <f>+T27+T28+T29+T30+T31+T32+T33+T34+T35</f>
        <v>0</v>
      </c>
      <c r="U26" s="253">
        <f>+U27+U28+U29+U30+U31+U32+U33+U34+U35</f>
        <v>0</v>
      </c>
      <c r="V26" s="253">
        <f>+V27+V28+V29+V30+V31+V32+V33+V34+V35</f>
        <v>0</v>
      </c>
      <c r="W26" s="253">
        <f t="shared" si="12"/>
        <v>0</v>
      </c>
      <c r="X26" s="254">
        <f t="shared" si="12"/>
        <v>10000</v>
      </c>
    </row>
    <row r="27" spans="1:24">
      <c r="A27" s="272" t="s">
        <v>35</v>
      </c>
      <c r="B27" s="242" t="s">
        <v>465</v>
      </c>
      <c r="C27" s="1321"/>
      <c r="D27" s="1333"/>
      <c r="E27" s="1333"/>
      <c r="F27" s="1327">
        <f t="shared" ref="F27:F35" si="13">+D27+E27</f>
        <v>0</v>
      </c>
      <c r="G27" s="1026">
        <v>10000</v>
      </c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7">
        <f t="shared" ref="X27:X35" si="14">SUM(F27:W27)</f>
        <v>10000</v>
      </c>
    </row>
    <row r="28" spans="1:24">
      <c r="A28" s="273" t="s">
        <v>34</v>
      </c>
      <c r="B28" s="245" t="s">
        <v>466</v>
      </c>
      <c r="C28" s="1322"/>
      <c r="D28" s="1334"/>
      <c r="E28" s="1334"/>
      <c r="F28" s="1328">
        <f t="shared" si="13"/>
        <v>0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7">
        <f t="shared" si="14"/>
        <v>0</v>
      </c>
    </row>
    <row r="29" spans="1:24">
      <c r="A29" s="273" t="s">
        <v>33</v>
      </c>
      <c r="B29" s="245" t="s">
        <v>467</v>
      </c>
      <c r="C29" s="1322"/>
      <c r="D29" s="1334"/>
      <c r="E29" s="1334"/>
      <c r="F29" s="1328">
        <f t="shared" si="13"/>
        <v>0</v>
      </c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7">
        <f t="shared" si="14"/>
        <v>0</v>
      </c>
    </row>
    <row r="30" spans="1:24">
      <c r="A30" s="273" t="s">
        <v>32</v>
      </c>
      <c r="B30" s="245" t="s">
        <v>468</v>
      </c>
      <c r="C30" s="1322"/>
      <c r="D30" s="1334"/>
      <c r="E30" s="1334"/>
      <c r="F30" s="1328">
        <f t="shared" si="13"/>
        <v>0</v>
      </c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7">
        <f t="shared" si="14"/>
        <v>0</v>
      </c>
    </row>
    <row r="31" spans="1:24">
      <c r="A31" s="273" t="s">
        <v>470</v>
      </c>
      <c r="B31" s="245" t="s">
        <v>469</v>
      </c>
      <c r="C31" s="1322"/>
      <c r="D31" s="1334"/>
      <c r="E31" s="1334"/>
      <c r="F31" s="1328">
        <f t="shared" si="13"/>
        <v>0</v>
      </c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7">
        <f t="shared" si="14"/>
        <v>0</v>
      </c>
    </row>
    <row r="32" spans="1:24" ht="36">
      <c r="A32" s="273" t="s">
        <v>471</v>
      </c>
      <c r="B32" s="245" t="s">
        <v>850</v>
      </c>
      <c r="C32" s="1322"/>
      <c r="D32" s="1334"/>
      <c r="E32" s="1334"/>
      <c r="F32" s="1328">
        <f t="shared" si="13"/>
        <v>0</v>
      </c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7">
        <f t="shared" si="14"/>
        <v>0</v>
      </c>
    </row>
    <row r="33" spans="1:24">
      <c r="A33" s="273" t="s">
        <v>472</v>
      </c>
      <c r="B33" s="245" t="s">
        <v>849</v>
      </c>
      <c r="C33" s="1322"/>
      <c r="D33" s="1334"/>
      <c r="E33" s="1334"/>
      <c r="F33" s="1328">
        <f t="shared" si="13"/>
        <v>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7">
        <f t="shared" si="14"/>
        <v>0</v>
      </c>
    </row>
    <row r="34" spans="1:24" ht="36">
      <c r="A34" s="273" t="s">
        <v>473</v>
      </c>
      <c r="B34" s="255" t="s">
        <v>851</v>
      </c>
      <c r="C34" s="1322"/>
      <c r="D34" s="1334"/>
      <c r="E34" s="1334"/>
      <c r="F34" s="1328">
        <f t="shared" si="13"/>
        <v>0</v>
      </c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7">
        <f t="shared" si="14"/>
        <v>0</v>
      </c>
    </row>
    <row r="35" spans="1:24" ht="12.75" thickBot="1">
      <c r="A35" s="273" t="s">
        <v>486</v>
      </c>
      <c r="B35" s="255" t="s">
        <v>966</v>
      </c>
      <c r="C35" s="1324"/>
      <c r="D35" s="1336"/>
      <c r="E35" s="1336"/>
      <c r="F35" s="1330">
        <f t="shared" si="13"/>
        <v>0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>
        <f t="shared" si="14"/>
        <v>0</v>
      </c>
    </row>
    <row r="36" spans="1:24" ht="12.75" thickBot="1">
      <c r="A36" s="275" t="s">
        <v>487</v>
      </c>
      <c r="B36" s="251" t="s">
        <v>854</v>
      </c>
      <c r="C36" s="1325">
        <f t="shared" ref="C36" si="15">+C16+C26</f>
        <v>52412</v>
      </c>
      <c r="D36" s="1337">
        <f t="shared" ref="D36:E36" si="16">+D16+D26</f>
        <v>52412</v>
      </c>
      <c r="E36" s="1337">
        <f t="shared" si="16"/>
        <v>0</v>
      </c>
      <c r="F36" s="1331">
        <f t="shared" ref="F36:X36" si="17">+F16+F26</f>
        <v>52412</v>
      </c>
      <c r="G36" s="253">
        <f t="shared" si="17"/>
        <v>38308</v>
      </c>
      <c r="H36" s="253">
        <f t="shared" si="17"/>
        <v>2000</v>
      </c>
      <c r="I36" s="253">
        <f t="shared" si="17"/>
        <v>2000</v>
      </c>
      <c r="J36" s="253">
        <f t="shared" si="17"/>
        <v>2000</v>
      </c>
      <c r="K36" s="253">
        <f t="shared" si="17"/>
        <v>2000</v>
      </c>
      <c r="L36" s="253">
        <f t="shared" si="17"/>
        <v>2000</v>
      </c>
      <c r="M36" s="253">
        <f>+M16+M26</f>
        <v>2000</v>
      </c>
      <c r="N36" s="253">
        <f>+N16+N26</f>
        <v>2000</v>
      </c>
      <c r="O36" s="253">
        <f t="shared" si="17"/>
        <v>2000</v>
      </c>
      <c r="P36" s="253">
        <f>+P16+P26</f>
        <v>2000</v>
      </c>
      <c r="Q36" s="253">
        <f>+Q16+Q26</f>
        <v>2000</v>
      </c>
      <c r="R36" s="253">
        <f t="shared" si="17"/>
        <v>2000</v>
      </c>
      <c r="S36" s="253">
        <f>+S16+S26</f>
        <v>2000</v>
      </c>
      <c r="T36" s="253">
        <f>+T16+T26</f>
        <v>2000</v>
      </c>
      <c r="U36" s="253">
        <f>+U16+U26</f>
        <v>2000</v>
      </c>
      <c r="V36" s="253">
        <f>+V16+V26</f>
        <v>2000</v>
      </c>
      <c r="W36" s="253">
        <f t="shared" si="17"/>
        <v>3525</v>
      </c>
      <c r="X36" s="254">
        <f t="shared" si="17"/>
        <v>124245</v>
      </c>
    </row>
    <row r="37" spans="1:24" ht="12.75" thickBot="1">
      <c r="A37" s="276" t="s">
        <v>488</v>
      </c>
      <c r="B37" s="256" t="s">
        <v>855</v>
      </c>
      <c r="C37" s="1326">
        <f t="shared" ref="C37" si="18">+C15-C36</f>
        <v>161158</v>
      </c>
      <c r="D37" s="1338">
        <f t="shared" ref="D37:E37" si="19">+D15-D36</f>
        <v>150608</v>
      </c>
      <c r="E37" s="1338">
        <f t="shared" si="19"/>
        <v>0</v>
      </c>
      <c r="F37" s="1332">
        <f t="shared" ref="F37:X37" si="20">+F15-F36</f>
        <v>150608</v>
      </c>
      <c r="G37" s="257">
        <f t="shared" si="20"/>
        <v>144491</v>
      </c>
      <c r="H37" s="257">
        <f t="shared" si="20"/>
        <v>186170</v>
      </c>
      <c r="I37" s="257">
        <f t="shared" si="20"/>
        <v>192441</v>
      </c>
      <c r="J37" s="257">
        <f t="shared" si="20"/>
        <v>192441</v>
      </c>
      <c r="K37" s="257">
        <f t="shared" si="20"/>
        <v>192441</v>
      </c>
      <c r="L37" s="257">
        <f t="shared" si="20"/>
        <v>192441</v>
      </c>
      <c r="M37" s="257">
        <f>+M15-M36</f>
        <v>192441</v>
      </c>
      <c r="N37" s="257">
        <f>+N15-N36</f>
        <v>192441</v>
      </c>
      <c r="O37" s="257">
        <f t="shared" si="20"/>
        <v>192441</v>
      </c>
      <c r="P37" s="257">
        <f>+P15-P36</f>
        <v>192441</v>
      </c>
      <c r="Q37" s="257">
        <f>+Q15-Q36</f>
        <v>192441</v>
      </c>
      <c r="R37" s="257">
        <f t="shared" si="20"/>
        <v>192441</v>
      </c>
      <c r="S37" s="257">
        <f>+S15-S36</f>
        <v>192441</v>
      </c>
      <c r="T37" s="257">
        <f>+T15-T36</f>
        <v>192441</v>
      </c>
      <c r="U37" s="257">
        <f>+U15-U36</f>
        <v>192441</v>
      </c>
      <c r="V37" s="257">
        <f>+V15-V36</f>
        <v>192441</v>
      </c>
      <c r="W37" s="257">
        <f t="shared" si="20"/>
        <v>190916</v>
      </c>
      <c r="X37" s="258">
        <f t="shared" si="20"/>
        <v>3366360</v>
      </c>
    </row>
    <row r="38" spans="1:24" ht="13.5">
      <c r="A38" s="1502" t="s">
        <v>477</v>
      </c>
      <c r="B38" s="1502"/>
      <c r="C38" s="1502"/>
      <c r="D38" s="1502"/>
      <c r="E38" s="1502"/>
      <c r="F38" s="1502"/>
      <c r="G38" s="1502"/>
      <c r="H38" s="1502"/>
      <c r="I38" s="1502"/>
      <c r="J38" s="1502"/>
      <c r="K38" s="1502"/>
      <c r="L38" s="1502"/>
      <c r="M38" s="1502"/>
      <c r="N38" s="1502"/>
      <c r="O38" s="1502"/>
      <c r="P38" s="1502"/>
      <c r="Q38" s="1502"/>
      <c r="R38" s="1502"/>
      <c r="S38" s="1502"/>
      <c r="T38" s="1502"/>
      <c r="U38" s="1502"/>
      <c r="V38" s="1502"/>
      <c r="W38" s="1502"/>
      <c r="X38" s="1502"/>
    </row>
    <row r="39" spans="1:24" ht="13.5">
      <c r="A39" s="1503" t="s">
        <v>967</v>
      </c>
      <c r="B39" s="1503"/>
      <c r="C39" s="1503"/>
      <c r="D39" s="1503"/>
      <c r="E39" s="1503"/>
      <c r="F39" s="1503"/>
      <c r="G39" s="1503"/>
      <c r="H39" s="1503"/>
      <c r="I39" s="1503"/>
      <c r="J39" s="1503"/>
      <c r="K39" s="1503"/>
      <c r="L39" s="1503"/>
      <c r="M39" s="1503"/>
      <c r="N39" s="1503"/>
      <c r="O39" s="1503"/>
      <c r="P39" s="1503"/>
      <c r="Q39" s="1503"/>
      <c r="R39" s="1503"/>
      <c r="S39" s="1503"/>
      <c r="T39" s="1503"/>
      <c r="U39" s="1503"/>
      <c r="V39" s="1503"/>
      <c r="W39" s="1503"/>
      <c r="X39" s="1503"/>
    </row>
    <row r="40" spans="1:24" ht="39" customHeight="1">
      <c r="A40" s="1504" t="s">
        <v>1102</v>
      </c>
      <c r="B40" s="1504"/>
      <c r="C40" s="1504"/>
      <c r="D40" s="1504"/>
      <c r="E40" s="1504"/>
      <c r="F40" s="1504"/>
      <c r="G40" s="1504"/>
      <c r="H40" s="1504"/>
      <c r="I40" s="1504"/>
      <c r="J40" s="1504"/>
      <c r="K40" s="1504"/>
      <c r="L40" s="1504"/>
      <c r="M40" s="1504"/>
      <c r="N40" s="1504"/>
      <c r="O40" s="1504"/>
      <c r="P40" s="1504"/>
      <c r="Q40" s="1504"/>
      <c r="R40" s="1504"/>
      <c r="S40" s="1504"/>
      <c r="T40" s="1504"/>
      <c r="U40" s="1504"/>
      <c r="V40" s="1504"/>
      <c r="W40" s="1504"/>
      <c r="X40" s="1504"/>
    </row>
    <row r="42" spans="1:24" ht="15.75">
      <c r="A42" s="1505" t="s">
        <v>1438</v>
      </c>
      <c r="B42" s="1505"/>
      <c r="C42" s="1505"/>
      <c r="D42" s="1505"/>
      <c r="E42" s="1505"/>
      <c r="F42" s="1505"/>
      <c r="G42" s="1505"/>
      <c r="H42" s="1505"/>
      <c r="I42" s="1505"/>
      <c r="J42" s="1505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24">
      <c r="A43" s="259"/>
      <c r="B43" s="259"/>
      <c r="C43" s="259"/>
      <c r="D43" s="259"/>
      <c r="E43" s="259"/>
      <c r="F43" s="259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24" ht="12.75" thickBot="1">
      <c r="A44" s="260"/>
      <c r="B44" s="260"/>
      <c r="C44" s="261"/>
      <c r="D44" s="261"/>
      <c r="E44" s="261"/>
      <c r="F44" s="261" t="s">
        <v>49</v>
      </c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24" ht="12.75" thickBot="1">
      <c r="A45" s="1495" t="s">
        <v>17</v>
      </c>
      <c r="B45" s="1497" t="s">
        <v>474</v>
      </c>
      <c r="C45" s="1499" t="s">
        <v>475</v>
      </c>
      <c r="D45" s="1500"/>
      <c r="E45" s="1500"/>
      <c r="F45" s="1501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24" ht="36.75" thickBot="1">
      <c r="A46" s="1496"/>
      <c r="B46" s="1498"/>
      <c r="C46" s="1165" t="s">
        <v>1586</v>
      </c>
      <c r="D46" s="6" t="s">
        <v>1587</v>
      </c>
      <c r="E46" s="6" t="s">
        <v>1658</v>
      </c>
      <c r="F46" s="7" t="s">
        <v>1659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24" ht="13.5" customHeight="1" thickBot="1">
      <c r="A47" s="263">
        <v>1</v>
      </c>
      <c r="B47" s="268">
        <v>2</v>
      </c>
      <c r="C47" s="1492">
        <v>3</v>
      </c>
      <c r="D47" s="1493"/>
      <c r="E47" s="1493"/>
      <c r="F47" s="1494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24">
      <c r="A48" s="264" t="s">
        <v>4</v>
      </c>
      <c r="B48" s="1351" t="s">
        <v>1514</v>
      </c>
      <c r="C48" s="1339">
        <v>41258</v>
      </c>
      <c r="D48" s="1347">
        <v>41258</v>
      </c>
      <c r="E48" s="1347"/>
      <c r="F48" s="1343">
        <f>+D48+E48</f>
        <v>41258</v>
      </c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24">
      <c r="A49" s="265" t="s">
        <v>5</v>
      </c>
      <c r="B49" s="269"/>
      <c r="C49" s="1340"/>
      <c r="D49" s="1348"/>
      <c r="E49" s="1348"/>
      <c r="F49" s="1344">
        <f>+D49+E49</f>
        <v>0</v>
      </c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2.75" thickBot="1">
      <c r="A50" s="266" t="s">
        <v>6</v>
      </c>
      <c r="B50" s="270"/>
      <c r="C50" s="1341"/>
      <c r="D50" s="1349"/>
      <c r="E50" s="1349"/>
      <c r="F50" s="1345">
        <f>+D50+E50</f>
        <v>0</v>
      </c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24.75" thickBot="1">
      <c r="A51" s="267" t="s">
        <v>3</v>
      </c>
      <c r="B51" s="271" t="s">
        <v>1224</v>
      </c>
      <c r="C51" s="1342">
        <f>SUM(C48:C50)</f>
        <v>41258</v>
      </c>
      <c r="D51" s="1350">
        <f>SUM(D48:D50)</f>
        <v>41258</v>
      </c>
      <c r="E51" s="1350">
        <f>SUM(E48:E50)</f>
        <v>0</v>
      </c>
      <c r="F51" s="1346">
        <f>SUM(F48:F50)</f>
        <v>41258</v>
      </c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24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24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</sheetData>
  <mergeCells count="14">
    <mergeCell ref="C47:F47"/>
    <mergeCell ref="A45:A46"/>
    <mergeCell ref="B45:B46"/>
    <mergeCell ref="C45:F45"/>
    <mergeCell ref="A38:X38"/>
    <mergeCell ref="A39:X39"/>
    <mergeCell ref="A40:X40"/>
    <mergeCell ref="A42:J42"/>
    <mergeCell ref="C7:F7"/>
    <mergeCell ref="A3:X3"/>
    <mergeCell ref="A5:A6"/>
    <mergeCell ref="B5:B6"/>
    <mergeCell ref="X5:X6"/>
    <mergeCell ref="C5:W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6"/>
  <sheetViews>
    <sheetView zoomScaleNormal="100" workbookViewId="0"/>
  </sheetViews>
  <sheetFormatPr defaultColWidth="9.140625" defaultRowHeight="12"/>
  <cols>
    <col min="1" max="1" width="4.85546875" style="180" bestFit="1" customWidth="1"/>
    <col min="2" max="2" width="82.5703125" style="180" customWidth="1"/>
    <col min="3" max="11" width="10.140625" style="180" customWidth="1"/>
    <col min="12" max="12" width="13.140625" style="180" bestFit="1" customWidth="1"/>
    <col min="13" max="16384" width="9.140625" style="180"/>
  </cols>
  <sheetData>
    <row r="1" spans="1:12" s="181" customFormat="1" ht="15.75">
      <c r="A1" s="295"/>
      <c r="B1" s="294"/>
      <c r="C1" s="294"/>
      <c r="D1" s="294"/>
      <c r="E1" s="294"/>
      <c r="F1" s="294"/>
      <c r="G1" s="294"/>
      <c r="H1" s="294"/>
      <c r="I1" s="294"/>
      <c r="J1" s="294"/>
      <c r="K1" s="140"/>
      <c r="L1" s="189" t="s">
        <v>490</v>
      </c>
    </row>
    <row r="2" spans="1:12" s="181" customFormat="1" ht="15.75">
      <c r="A2" s="295"/>
      <c r="B2" s="294"/>
      <c r="C2" s="294"/>
      <c r="D2" s="294"/>
      <c r="E2" s="294"/>
      <c r="F2" s="294"/>
      <c r="G2" s="294"/>
      <c r="H2" s="294"/>
      <c r="I2" s="294"/>
      <c r="J2" s="294"/>
      <c r="K2" s="140"/>
      <c r="L2" s="189"/>
    </row>
    <row r="3" spans="1:12" s="182" customFormat="1" ht="15.75">
      <c r="A3" s="1474" t="s">
        <v>479</v>
      </c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</row>
    <row r="4" spans="1:12">
      <c r="A4" s="1508"/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</row>
    <row r="5" spans="1:12" ht="12.75" thickBot="1">
      <c r="A5" s="973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39" t="s">
        <v>457</v>
      </c>
    </row>
    <row r="6" spans="1:12" ht="12.75" thickBot="1">
      <c r="A6" s="1509" t="s">
        <v>8</v>
      </c>
      <c r="B6" s="1511" t="s">
        <v>480</v>
      </c>
      <c r="C6" s="1509" t="s">
        <v>481</v>
      </c>
      <c r="D6" s="1509" t="s">
        <v>1439</v>
      </c>
      <c r="E6" s="1513" t="s">
        <v>482</v>
      </c>
      <c r="F6" s="1514"/>
      <c r="G6" s="1514"/>
      <c r="H6" s="1514"/>
      <c r="I6" s="1514"/>
      <c r="J6" s="1514"/>
      <c r="K6" s="1515"/>
      <c r="L6" s="1511" t="s">
        <v>18</v>
      </c>
    </row>
    <row r="7" spans="1:12" ht="36.75" thickBot="1">
      <c r="A7" s="1510"/>
      <c r="B7" s="1512"/>
      <c r="C7" s="1512"/>
      <c r="D7" s="1510"/>
      <c r="E7" s="1165" t="s">
        <v>1586</v>
      </c>
      <c r="F7" s="6" t="s">
        <v>1587</v>
      </c>
      <c r="G7" s="6" t="s">
        <v>1658</v>
      </c>
      <c r="H7" s="7" t="s">
        <v>1659</v>
      </c>
      <c r="I7" s="301" t="s">
        <v>460</v>
      </c>
      <c r="J7" s="303" t="s">
        <v>461</v>
      </c>
      <c r="K7" s="304" t="s">
        <v>1440</v>
      </c>
      <c r="L7" s="1512"/>
    </row>
    <row r="8" spans="1:12" ht="13.5" customHeight="1" thickBot="1">
      <c r="A8" s="967">
        <v>1</v>
      </c>
      <c r="B8" s="297">
        <v>2</v>
      </c>
      <c r="C8" s="292">
        <v>3</v>
      </c>
      <c r="D8" s="297">
        <v>4</v>
      </c>
      <c r="E8" s="1516">
        <v>5</v>
      </c>
      <c r="F8" s="1517"/>
      <c r="G8" s="1517"/>
      <c r="H8" s="1518"/>
      <c r="I8" s="291">
        <v>6</v>
      </c>
      <c r="J8" s="290">
        <v>7</v>
      </c>
      <c r="K8" s="289">
        <v>8</v>
      </c>
      <c r="L8" s="288" t="s">
        <v>483</v>
      </c>
    </row>
    <row r="9" spans="1:12" ht="12.75" thickBot="1">
      <c r="A9" s="293" t="s">
        <v>4</v>
      </c>
      <c r="B9" s="298" t="s">
        <v>891</v>
      </c>
      <c r="C9" s="287" t="s">
        <v>19</v>
      </c>
      <c r="D9" s="302">
        <f t="shared" ref="D9:L9" si="0">SUM(D10:D10)</f>
        <v>0</v>
      </c>
      <c r="E9" s="302">
        <f t="shared" si="0"/>
        <v>0</v>
      </c>
      <c r="F9" s="300">
        <f t="shared" si="0"/>
        <v>0</v>
      </c>
      <c r="G9" s="300">
        <f t="shared" si="0"/>
        <v>0</v>
      </c>
      <c r="H9" s="299">
        <f t="shared" si="0"/>
        <v>0</v>
      </c>
      <c r="I9" s="286">
        <f t="shared" si="0"/>
        <v>0</v>
      </c>
      <c r="J9" s="285">
        <f t="shared" si="0"/>
        <v>0</v>
      </c>
      <c r="K9" s="299">
        <f t="shared" si="0"/>
        <v>0</v>
      </c>
      <c r="L9" s="968">
        <f t="shared" si="0"/>
        <v>0</v>
      </c>
    </row>
    <row r="10" spans="1:12" ht="12.75" thickBot="1">
      <c r="A10" s="284" t="s">
        <v>5</v>
      </c>
      <c r="B10" s="278" t="s">
        <v>19</v>
      </c>
      <c r="C10" s="283"/>
      <c r="D10" s="282"/>
      <c r="E10" s="281"/>
      <c r="F10" s="448"/>
      <c r="G10" s="448"/>
      <c r="H10" s="305">
        <f>+F10+G10</f>
        <v>0</v>
      </c>
      <c r="I10" s="280"/>
      <c r="J10" s="279"/>
      <c r="K10" s="305"/>
      <c r="L10" s="310">
        <f>+D10+H10+I10+J10+K10</f>
        <v>0</v>
      </c>
    </row>
    <row r="11" spans="1:12" ht="12.75" thickBot="1">
      <c r="A11" s="293" t="s">
        <v>6</v>
      </c>
      <c r="B11" s="311" t="s">
        <v>892</v>
      </c>
      <c r="C11" s="287" t="s">
        <v>19</v>
      </c>
      <c r="D11" s="302">
        <f t="shared" ref="D11:L11" si="1">SUM(D12:D12)</f>
        <v>0</v>
      </c>
      <c r="E11" s="302">
        <f t="shared" si="1"/>
        <v>0</v>
      </c>
      <c r="F11" s="300">
        <f t="shared" si="1"/>
        <v>0</v>
      </c>
      <c r="G11" s="300">
        <f t="shared" si="1"/>
        <v>0</v>
      </c>
      <c r="H11" s="299">
        <f t="shared" si="1"/>
        <v>0</v>
      </c>
      <c r="I11" s="286">
        <f t="shared" si="1"/>
        <v>10000</v>
      </c>
      <c r="J11" s="285">
        <f t="shared" si="1"/>
        <v>0</v>
      </c>
      <c r="K11" s="299">
        <f t="shared" si="1"/>
        <v>0</v>
      </c>
      <c r="L11" s="968">
        <f t="shared" si="1"/>
        <v>10000</v>
      </c>
    </row>
    <row r="12" spans="1:12" ht="12.75" thickBot="1">
      <c r="A12" s="284" t="s">
        <v>3</v>
      </c>
      <c r="B12" s="278" t="s">
        <v>1550</v>
      </c>
      <c r="C12" s="283" t="s">
        <v>459</v>
      </c>
      <c r="D12" s="312"/>
      <c r="E12" s="306"/>
      <c r="F12" s="307"/>
      <c r="G12" s="307"/>
      <c r="H12" s="309">
        <f>+F12+G12</f>
        <v>0</v>
      </c>
      <c r="I12" s="1030">
        <v>10000</v>
      </c>
      <c r="J12" s="308"/>
      <c r="K12" s="307"/>
      <c r="L12" s="313">
        <f>+D12+H12+I12+J12+K12</f>
        <v>10000</v>
      </c>
    </row>
    <row r="13" spans="1:12" ht="12.75" thickBot="1">
      <c r="A13" s="297" t="s">
        <v>16</v>
      </c>
      <c r="B13" s="314" t="s">
        <v>484</v>
      </c>
      <c r="C13" s="315" t="s">
        <v>19</v>
      </c>
      <c r="D13" s="316">
        <f t="shared" ref="D13:L13" si="2">SUM(D14:D14)</f>
        <v>0</v>
      </c>
      <c r="E13" s="317">
        <f t="shared" si="2"/>
        <v>0</v>
      </c>
      <c r="F13" s="318">
        <f t="shared" si="2"/>
        <v>0</v>
      </c>
      <c r="G13" s="318">
        <f t="shared" si="2"/>
        <v>0</v>
      </c>
      <c r="H13" s="321">
        <f t="shared" si="2"/>
        <v>0</v>
      </c>
      <c r="I13" s="319">
        <f t="shared" si="2"/>
        <v>0</v>
      </c>
      <c r="J13" s="320">
        <f t="shared" si="2"/>
        <v>0</v>
      </c>
      <c r="K13" s="321">
        <f t="shared" si="2"/>
        <v>0</v>
      </c>
      <c r="L13" s="968">
        <f t="shared" si="2"/>
        <v>0</v>
      </c>
    </row>
    <row r="14" spans="1:12" ht="12.75" thickBot="1">
      <c r="A14" s="322" t="s">
        <v>15</v>
      </c>
      <c r="B14" s="323" t="s">
        <v>19</v>
      </c>
      <c r="C14" s="324"/>
      <c r="D14" s="312"/>
      <c r="E14" s="325"/>
      <c r="F14" s="1352"/>
      <c r="G14" s="1352"/>
      <c r="H14" s="328">
        <f>+F14+G14</f>
        <v>0</v>
      </c>
      <c r="I14" s="326"/>
      <c r="J14" s="327"/>
      <c r="K14" s="328"/>
      <c r="L14" s="313">
        <f>+D14+H14+I14+J14+K14</f>
        <v>0</v>
      </c>
    </row>
    <row r="15" spans="1:12" ht="12.75" thickBot="1">
      <c r="A15" s="297" t="s">
        <v>14</v>
      </c>
      <c r="B15" s="329" t="s">
        <v>485</v>
      </c>
      <c r="C15" s="315" t="s">
        <v>19</v>
      </c>
      <c r="D15" s="316">
        <f t="shared" ref="D15:L15" si="3">SUM(D16:D40)</f>
        <v>0</v>
      </c>
      <c r="E15" s="317">
        <f t="shared" si="3"/>
        <v>2481158</v>
      </c>
      <c r="F15" s="318">
        <f t="shared" ref="F15:G15" si="4">SUM(F16:F40)</f>
        <v>2481158</v>
      </c>
      <c r="G15" s="318">
        <f t="shared" si="4"/>
        <v>0</v>
      </c>
      <c r="H15" s="321">
        <f t="shared" si="3"/>
        <v>2481158</v>
      </c>
      <c r="I15" s="319">
        <f t="shared" si="3"/>
        <v>0</v>
      </c>
      <c r="J15" s="320">
        <f t="shared" si="3"/>
        <v>0</v>
      </c>
      <c r="K15" s="321">
        <f t="shared" si="3"/>
        <v>0</v>
      </c>
      <c r="L15" s="968">
        <f t="shared" si="3"/>
        <v>2481158</v>
      </c>
    </row>
    <row r="16" spans="1:12">
      <c r="A16" s="330" t="s">
        <v>13</v>
      </c>
      <c r="B16" s="331" t="s">
        <v>1502</v>
      </c>
      <c r="C16" s="332"/>
      <c r="D16" s="333"/>
      <c r="E16" s="883">
        <v>2826</v>
      </c>
      <c r="F16" s="1353">
        <v>2826</v>
      </c>
      <c r="G16" s="1353"/>
      <c r="H16" s="336">
        <f t="shared" ref="H16:H40" si="5">+F16+G16</f>
        <v>2826</v>
      </c>
      <c r="I16" s="334"/>
      <c r="J16" s="335"/>
      <c r="K16" s="336"/>
      <c r="L16" s="337">
        <f t="shared" ref="L16:L40" si="6">+D16+H16+I16+J16+K16</f>
        <v>2826</v>
      </c>
    </row>
    <row r="17" spans="1:12">
      <c r="A17" s="330" t="s">
        <v>12</v>
      </c>
      <c r="B17" s="331" t="s">
        <v>1110</v>
      </c>
      <c r="C17" s="332"/>
      <c r="D17" s="333"/>
      <c r="E17" s="1304">
        <v>188134</v>
      </c>
      <c r="F17" s="211">
        <v>188134</v>
      </c>
      <c r="G17" s="211"/>
      <c r="H17" s="1308">
        <f t="shared" si="5"/>
        <v>188134</v>
      </c>
      <c r="I17" s="334"/>
      <c r="J17" s="335"/>
      <c r="K17" s="336"/>
      <c r="L17" s="337">
        <f t="shared" ref="L17:L27" si="7">+D17+H17+I17+J17+K17</f>
        <v>188134</v>
      </c>
    </row>
    <row r="18" spans="1:12">
      <c r="A18" s="330" t="s">
        <v>11</v>
      </c>
      <c r="B18" s="331" t="s">
        <v>1111</v>
      </c>
      <c r="C18" s="332"/>
      <c r="D18" s="333"/>
      <c r="E18" s="1304">
        <v>177292</v>
      </c>
      <c r="F18" s="211">
        <v>177292</v>
      </c>
      <c r="G18" s="211"/>
      <c r="H18" s="1308">
        <f t="shared" si="5"/>
        <v>177292</v>
      </c>
      <c r="I18" s="334"/>
      <c r="J18" s="335"/>
      <c r="K18" s="336"/>
      <c r="L18" s="337">
        <f t="shared" si="7"/>
        <v>177292</v>
      </c>
    </row>
    <row r="19" spans="1:12">
      <c r="A19" s="330" t="s">
        <v>10</v>
      </c>
      <c r="B19" s="331" t="s">
        <v>1365</v>
      </c>
      <c r="C19" s="332"/>
      <c r="D19" s="333"/>
      <c r="E19" s="1304">
        <v>587082</v>
      </c>
      <c r="F19" s="211">
        <v>587082</v>
      </c>
      <c r="G19" s="211"/>
      <c r="H19" s="1308">
        <f t="shared" si="5"/>
        <v>587082</v>
      </c>
      <c r="I19" s="334"/>
      <c r="J19" s="335"/>
      <c r="K19" s="336"/>
      <c r="L19" s="337">
        <f t="shared" si="7"/>
        <v>587082</v>
      </c>
    </row>
    <row r="20" spans="1:12">
      <c r="A20" s="330" t="s">
        <v>9</v>
      </c>
      <c r="B20" s="331" t="s">
        <v>1219</v>
      </c>
      <c r="C20" s="332"/>
      <c r="D20" s="333"/>
      <c r="E20" s="1304">
        <v>256470</v>
      </c>
      <c r="F20" s="211">
        <v>256470</v>
      </c>
      <c r="G20" s="211"/>
      <c r="H20" s="1308">
        <f t="shared" si="5"/>
        <v>256470</v>
      </c>
      <c r="I20" s="334"/>
      <c r="J20" s="335"/>
      <c r="K20" s="336"/>
      <c r="L20" s="337">
        <f t="shared" si="7"/>
        <v>256470</v>
      </c>
    </row>
    <row r="21" spans="1:12" ht="24">
      <c r="A21" s="330" t="s">
        <v>45</v>
      </c>
      <c r="B21" s="331" t="s">
        <v>1211</v>
      </c>
      <c r="C21" s="332"/>
      <c r="D21" s="333"/>
      <c r="E21" s="1304">
        <v>0</v>
      </c>
      <c r="F21" s="211">
        <v>0</v>
      </c>
      <c r="G21" s="211"/>
      <c r="H21" s="1308">
        <f t="shared" si="5"/>
        <v>0</v>
      </c>
      <c r="I21" s="334"/>
      <c r="J21" s="335"/>
      <c r="K21" s="336"/>
      <c r="L21" s="337">
        <f t="shared" si="7"/>
        <v>0</v>
      </c>
    </row>
    <row r="22" spans="1:12">
      <c r="A22" s="330" t="s">
        <v>44</v>
      </c>
      <c r="B22" s="331" t="s">
        <v>1212</v>
      </c>
      <c r="C22" s="332"/>
      <c r="D22" s="333"/>
      <c r="E22" s="1304">
        <v>69873</v>
      </c>
      <c r="F22" s="211">
        <v>69873</v>
      </c>
      <c r="G22" s="211"/>
      <c r="H22" s="1308">
        <f t="shared" si="5"/>
        <v>69873</v>
      </c>
      <c r="I22" s="334"/>
      <c r="J22" s="335"/>
      <c r="K22" s="336"/>
      <c r="L22" s="337">
        <f t="shared" si="7"/>
        <v>69873</v>
      </c>
    </row>
    <row r="23" spans="1:12">
      <c r="A23" s="330" t="s">
        <v>43</v>
      </c>
      <c r="B23" s="331" t="s">
        <v>1216</v>
      </c>
      <c r="C23" s="332"/>
      <c r="D23" s="333"/>
      <c r="E23" s="1304">
        <v>0</v>
      </c>
      <c r="F23" s="211">
        <v>0</v>
      </c>
      <c r="G23" s="211"/>
      <c r="H23" s="1308">
        <f t="shared" si="5"/>
        <v>0</v>
      </c>
      <c r="I23" s="334"/>
      <c r="J23" s="335"/>
      <c r="K23" s="336"/>
      <c r="L23" s="337">
        <f t="shared" si="7"/>
        <v>0</v>
      </c>
    </row>
    <row r="24" spans="1:12">
      <c r="A24" s="330" t="s">
        <v>40</v>
      </c>
      <c r="B24" s="331" t="s">
        <v>1221</v>
      </c>
      <c r="C24" s="332"/>
      <c r="D24" s="333"/>
      <c r="E24" s="1304">
        <v>1211</v>
      </c>
      <c r="F24" s="211">
        <v>1211</v>
      </c>
      <c r="G24" s="211"/>
      <c r="H24" s="1308">
        <f t="shared" si="5"/>
        <v>1211</v>
      </c>
      <c r="I24" s="334"/>
      <c r="J24" s="335"/>
      <c r="K24" s="336"/>
      <c r="L24" s="337">
        <f t="shared" si="7"/>
        <v>1211</v>
      </c>
    </row>
    <row r="25" spans="1:12">
      <c r="A25" s="330" t="s">
        <v>39</v>
      </c>
      <c r="B25" s="331" t="s">
        <v>1213</v>
      </c>
      <c r="C25" s="332"/>
      <c r="D25" s="333"/>
      <c r="E25" s="1304">
        <v>35880</v>
      </c>
      <c r="F25" s="211">
        <v>35880</v>
      </c>
      <c r="G25" s="211"/>
      <c r="H25" s="1308">
        <f t="shared" si="5"/>
        <v>35880</v>
      </c>
      <c r="I25" s="334"/>
      <c r="J25" s="335"/>
      <c r="K25" s="336"/>
      <c r="L25" s="337">
        <f t="shared" si="7"/>
        <v>35880</v>
      </c>
    </row>
    <row r="26" spans="1:12" ht="24">
      <c r="A26" s="330" t="s">
        <v>38</v>
      </c>
      <c r="B26" s="331" t="s">
        <v>1214</v>
      </c>
      <c r="C26" s="332"/>
      <c r="D26" s="333"/>
      <c r="E26" s="1304">
        <v>30074</v>
      </c>
      <c r="F26" s="211">
        <v>30074</v>
      </c>
      <c r="G26" s="211"/>
      <c r="H26" s="1308">
        <f t="shared" si="5"/>
        <v>30074</v>
      </c>
      <c r="I26" s="334"/>
      <c r="J26" s="335"/>
      <c r="K26" s="336"/>
      <c r="L26" s="337">
        <f t="shared" si="7"/>
        <v>30074</v>
      </c>
    </row>
    <row r="27" spans="1:12" ht="24">
      <c r="A27" s="330" t="s">
        <v>36</v>
      </c>
      <c r="B27" s="331" t="s">
        <v>1215</v>
      </c>
      <c r="C27" s="332"/>
      <c r="D27" s="333"/>
      <c r="E27" s="1304">
        <v>195124</v>
      </c>
      <c r="F27" s="211">
        <v>195124</v>
      </c>
      <c r="G27" s="211"/>
      <c r="H27" s="1308">
        <f t="shared" si="5"/>
        <v>195124</v>
      </c>
      <c r="I27" s="334"/>
      <c r="J27" s="335"/>
      <c r="K27" s="336"/>
      <c r="L27" s="337">
        <f t="shared" si="7"/>
        <v>195124</v>
      </c>
    </row>
    <row r="28" spans="1:12">
      <c r="A28" s="330" t="s">
        <v>35</v>
      </c>
      <c r="B28" s="331" t="s">
        <v>1220</v>
      </c>
      <c r="C28" s="332"/>
      <c r="D28" s="333"/>
      <c r="E28" s="1304">
        <v>4509</v>
      </c>
      <c r="F28" s="211">
        <v>4509</v>
      </c>
      <c r="G28" s="211"/>
      <c r="H28" s="1308">
        <f t="shared" si="5"/>
        <v>4509</v>
      </c>
      <c r="I28" s="334"/>
      <c r="J28" s="335"/>
      <c r="K28" s="336"/>
      <c r="L28" s="337">
        <f t="shared" si="6"/>
        <v>4509</v>
      </c>
    </row>
    <row r="29" spans="1:12">
      <c r="A29" s="330" t="s">
        <v>34</v>
      </c>
      <c r="B29" s="331" t="s">
        <v>1506</v>
      </c>
      <c r="C29" s="332"/>
      <c r="D29" s="333"/>
      <c r="E29" s="1304">
        <v>40360</v>
      </c>
      <c r="F29" s="211">
        <v>40360</v>
      </c>
      <c r="G29" s="211"/>
      <c r="H29" s="1308">
        <f t="shared" si="5"/>
        <v>40360</v>
      </c>
      <c r="I29" s="334"/>
      <c r="J29" s="335"/>
      <c r="K29" s="336"/>
      <c r="L29" s="337">
        <f t="shared" si="6"/>
        <v>40360</v>
      </c>
    </row>
    <row r="30" spans="1:12">
      <c r="A30" s="330" t="s">
        <v>33</v>
      </c>
      <c r="B30" s="331" t="s">
        <v>1364</v>
      </c>
      <c r="C30" s="332"/>
      <c r="D30" s="333"/>
      <c r="E30" s="1304">
        <v>67673</v>
      </c>
      <c r="F30" s="211">
        <v>67673</v>
      </c>
      <c r="G30" s="211"/>
      <c r="H30" s="1308">
        <f t="shared" si="5"/>
        <v>67673</v>
      </c>
      <c r="I30" s="334"/>
      <c r="J30" s="335"/>
      <c r="K30" s="336"/>
      <c r="L30" s="337">
        <f t="shared" si="6"/>
        <v>67673</v>
      </c>
    </row>
    <row r="31" spans="1:12">
      <c r="A31" s="330" t="s">
        <v>32</v>
      </c>
      <c r="B31" s="331" t="s">
        <v>1507</v>
      </c>
      <c r="C31" s="332"/>
      <c r="D31" s="333"/>
      <c r="E31" s="1304">
        <v>7553</v>
      </c>
      <c r="F31" s="211">
        <v>7553</v>
      </c>
      <c r="G31" s="211"/>
      <c r="H31" s="1308">
        <f t="shared" si="5"/>
        <v>7553</v>
      </c>
      <c r="I31" s="334"/>
      <c r="J31" s="335"/>
      <c r="K31" s="336"/>
      <c r="L31" s="337">
        <f t="shared" si="6"/>
        <v>7553</v>
      </c>
    </row>
    <row r="32" spans="1:12">
      <c r="A32" s="330" t="s">
        <v>470</v>
      </c>
      <c r="B32" s="331" t="s">
        <v>1363</v>
      </c>
      <c r="C32" s="332"/>
      <c r="D32" s="333"/>
      <c r="E32" s="1304">
        <v>2976</v>
      </c>
      <c r="F32" s="211">
        <v>2976</v>
      </c>
      <c r="G32" s="211"/>
      <c r="H32" s="1308">
        <f t="shared" si="5"/>
        <v>2976</v>
      </c>
      <c r="I32" s="334"/>
      <c r="J32" s="335"/>
      <c r="K32" s="336"/>
      <c r="L32" s="337">
        <f t="shared" si="6"/>
        <v>2976</v>
      </c>
    </row>
    <row r="33" spans="1:12">
      <c r="A33" s="330" t="s">
        <v>471</v>
      </c>
      <c r="B33" s="331" t="s">
        <v>1362</v>
      </c>
      <c r="C33" s="332"/>
      <c r="D33" s="333"/>
      <c r="E33" s="1304">
        <v>10672</v>
      </c>
      <c r="F33" s="211">
        <v>10672</v>
      </c>
      <c r="G33" s="211"/>
      <c r="H33" s="1308">
        <f t="shared" si="5"/>
        <v>10672</v>
      </c>
      <c r="I33" s="334"/>
      <c r="J33" s="335"/>
      <c r="K33" s="336"/>
      <c r="L33" s="337">
        <f t="shared" si="6"/>
        <v>10672</v>
      </c>
    </row>
    <row r="34" spans="1:12">
      <c r="A34" s="330" t="s">
        <v>472</v>
      </c>
      <c r="B34" s="331" t="s">
        <v>1361</v>
      </c>
      <c r="C34" s="332"/>
      <c r="D34" s="333"/>
      <c r="E34" s="1304">
        <v>57079</v>
      </c>
      <c r="F34" s="211">
        <v>57079</v>
      </c>
      <c r="G34" s="211"/>
      <c r="H34" s="1308">
        <f t="shared" si="5"/>
        <v>57079</v>
      </c>
      <c r="I34" s="334"/>
      <c r="J34" s="335"/>
      <c r="K34" s="336"/>
      <c r="L34" s="337">
        <f t="shared" si="6"/>
        <v>57079</v>
      </c>
    </row>
    <row r="35" spans="1:12">
      <c r="A35" s="330" t="s">
        <v>473</v>
      </c>
      <c r="B35" s="331" t="s">
        <v>1404</v>
      </c>
      <c r="C35" s="332"/>
      <c r="D35" s="333"/>
      <c r="E35" s="1304">
        <v>97922</v>
      </c>
      <c r="F35" s="211">
        <v>97922</v>
      </c>
      <c r="G35" s="211"/>
      <c r="H35" s="1308">
        <f t="shared" si="5"/>
        <v>97922</v>
      </c>
      <c r="I35" s="334"/>
      <c r="J35" s="335"/>
      <c r="K35" s="336"/>
      <c r="L35" s="337">
        <f t="shared" si="6"/>
        <v>97922</v>
      </c>
    </row>
    <row r="36" spans="1:12">
      <c r="A36" s="330" t="s">
        <v>486</v>
      </c>
      <c r="B36" s="331" t="s">
        <v>1359</v>
      </c>
      <c r="C36" s="332"/>
      <c r="D36" s="333"/>
      <c r="E36" s="883">
        <v>6599</v>
      </c>
      <c r="F36" s="1353">
        <v>6599</v>
      </c>
      <c r="G36" s="1353"/>
      <c r="H36" s="336">
        <f t="shared" si="5"/>
        <v>6599</v>
      </c>
      <c r="I36" s="334"/>
      <c r="J36" s="335"/>
      <c r="K36" s="336"/>
      <c r="L36" s="337">
        <f t="shared" si="6"/>
        <v>6599</v>
      </c>
    </row>
    <row r="37" spans="1:12">
      <c r="A37" s="330" t="s">
        <v>487</v>
      </c>
      <c r="B37" s="331" t="s">
        <v>1358</v>
      </c>
      <c r="C37" s="332"/>
      <c r="D37" s="333"/>
      <c r="E37" s="1304">
        <v>81210</v>
      </c>
      <c r="F37" s="211">
        <v>81210</v>
      </c>
      <c r="G37" s="211"/>
      <c r="H37" s="1308">
        <f t="shared" si="5"/>
        <v>81210</v>
      </c>
      <c r="I37" s="334"/>
      <c r="J37" s="335"/>
      <c r="K37" s="336"/>
      <c r="L37" s="337">
        <f t="shared" si="6"/>
        <v>81210</v>
      </c>
    </row>
    <row r="38" spans="1:12">
      <c r="A38" s="330" t="s">
        <v>488</v>
      </c>
      <c r="B38" s="331" t="s">
        <v>1357</v>
      </c>
      <c r="C38" s="332"/>
      <c r="D38" s="333"/>
      <c r="E38" s="883">
        <v>514107</v>
      </c>
      <c r="F38" s="1353">
        <v>514107</v>
      </c>
      <c r="G38" s="1353"/>
      <c r="H38" s="336">
        <f t="shared" si="5"/>
        <v>514107</v>
      </c>
      <c r="I38" s="334"/>
      <c r="J38" s="335"/>
      <c r="K38" s="336"/>
      <c r="L38" s="337">
        <f t="shared" si="6"/>
        <v>514107</v>
      </c>
    </row>
    <row r="39" spans="1:12">
      <c r="A39" s="330" t="s">
        <v>1395</v>
      </c>
      <c r="B39" s="331" t="s">
        <v>1356</v>
      </c>
      <c r="C39" s="332"/>
      <c r="D39" s="333"/>
      <c r="E39" s="1304">
        <v>25745</v>
      </c>
      <c r="F39" s="211">
        <v>25745</v>
      </c>
      <c r="G39" s="211"/>
      <c r="H39" s="1308">
        <f t="shared" si="5"/>
        <v>25745</v>
      </c>
      <c r="I39" s="334"/>
      <c r="J39" s="335"/>
      <c r="K39" s="336"/>
      <c r="L39" s="337">
        <f t="shared" ref="L39" si="8">+D39+H39+I39+J39+K39</f>
        <v>25745</v>
      </c>
    </row>
    <row r="40" spans="1:12" ht="12.75" thickBot="1">
      <c r="A40" s="330" t="s">
        <v>1396</v>
      </c>
      <c r="B40" s="331" t="s">
        <v>1508</v>
      </c>
      <c r="C40" s="332"/>
      <c r="D40" s="333"/>
      <c r="E40" s="1304">
        <v>20787</v>
      </c>
      <c r="F40" s="211">
        <v>20787</v>
      </c>
      <c r="G40" s="211"/>
      <c r="H40" s="1308">
        <f t="shared" si="5"/>
        <v>20787</v>
      </c>
      <c r="I40" s="334"/>
      <c r="J40" s="335"/>
      <c r="K40" s="336"/>
      <c r="L40" s="337">
        <f t="shared" si="6"/>
        <v>20787</v>
      </c>
    </row>
    <row r="41" spans="1:12" ht="12.75" thickBot="1">
      <c r="A41" s="297" t="s">
        <v>1397</v>
      </c>
      <c r="B41" s="314" t="s">
        <v>489</v>
      </c>
      <c r="C41" s="315" t="s">
        <v>19</v>
      </c>
      <c r="D41" s="316">
        <f>SUM(D42:D45)</f>
        <v>12880</v>
      </c>
      <c r="E41" s="317">
        <f t="shared" ref="E41" si="9">SUM(E42:E45)</f>
        <v>52412</v>
      </c>
      <c r="F41" s="318">
        <f t="shared" ref="F41:G41" si="10">SUM(F42:F45)</f>
        <v>52412</v>
      </c>
      <c r="G41" s="318">
        <f t="shared" si="10"/>
        <v>0</v>
      </c>
      <c r="H41" s="321">
        <f t="shared" ref="H41:L41" si="11">SUM(H42:H45)</f>
        <v>52412</v>
      </c>
      <c r="I41" s="319">
        <f t="shared" si="11"/>
        <v>28308</v>
      </c>
      <c r="J41" s="320">
        <f t="shared" si="11"/>
        <v>2000</v>
      </c>
      <c r="K41" s="318">
        <f t="shared" si="11"/>
        <v>31525</v>
      </c>
      <c r="L41" s="339">
        <f t="shared" si="11"/>
        <v>127125</v>
      </c>
    </row>
    <row r="42" spans="1:12">
      <c r="A42" s="1027" t="s">
        <v>1398</v>
      </c>
      <c r="B42" s="1028" t="s">
        <v>1066</v>
      </c>
      <c r="C42" s="1029" t="s">
        <v>1067</v>
      </c>
      <c r="D42" s="312"/>
      <c r="E42" s="306">
        <f>4425-4425</f>
        <v>0</v>
      </c>
      <c r="F42" s="307">
        <f>4425-4425</f>
        <v>0</v>
      </c>
      <c r="G42" s="307"/>
      <c r="H42" s="309">
        <f>+F42+G42</f>
        <v>0</v>
      </c>
      <c r="I42" s="1030"/>
      <c r="J42" s="308"/>
      <c r="K42" s="307"/>
      <c r="L42" s="1031">
        <f>+D42+H42+I42+J42+K42</f>
        <v>0</v>
      </c>
    </row>
    <row r="43" spans="1:12">
      <c r="A43" s="1027" t="s">
        <v>1399</v>
      </c>
      <c r="B43" s="1028" t="s">
        <v>1130</v>
      </c>
      <c r="C43" s="1029" t="s">
        <v>444</v>
      </c>
      <c r="D43" s="282">
        <f>9000+2000-2000</f>
        <v>9000</v>
      </c>
      <c r="E43" s="306">
        <f>2000+2000</f>
        <v>4000</v>
      </c>
      <c r="F43" s="307">
        <f>2000+2000</f>
        <v>4000</v>
      </c>
      <c r="G43" s="307"/>
      <c r="H43" s="309">
        <f>+F43+G43</f>
        <v>4000</v>
      </c>
      <c r="I43" s="1030">
        <v>2000</v>
      </c>
      <c r="J43" s="308">
        <v>2000</v>
      </c>
      <c r="K43" s="307">
        <f>37525-6000</f>
        <v>31525</v>
      </c>
      <c r="L43" s="1031">
        <f>+D43+H43+I43+J43+K43</f>
        <v>48525</v>
      </c>
    </row>
    <row r="44" spans="1:12">
      <c r="A44" s="1027" t="s">
        <v>1400</v>
      </c>
      <c r="B44" s="1028" t="s">
        <v>1352</v>
      </c>
      <c r="C44" s="1029" t="s">
        <v>458</v>
      </c>
      <c r="D44" s="282">
        <f>3880+13205-13205</f>
        <v>3880</v>
      </c>
      <c r="E44" s="306">
        <f>13205+19807</f>
        <v>33012</v>
      </c>
      <c r="F44" s="307">
        <f>13205+19807</f>
        <v>33012</v>
      </c>
      <c r="G44" s="307"/>
      <c r="H44" s="309">
        <f>+F44+G44</f>
        <v>33012</v>
      </c>
      <c r="I44" s="1030">
        <v>19808</v>
      </c>
      <c r="J44" s="308"/>
      <c r="K44" s="307"/>
      <c r="L44" s="1031">
        <f>+D44+H44+I44+J44+K44</f>
        <v>56700</v>
      </c>
    </row>
    <row r="45" spans="1:12" ht="12.75" thickBot="1">
      <c r="A45" s="1027" t="s">
        <v>1406</v>
      </c>
      <c r="B45" s="1028" t="s">
        <v>1353</v>
      </c>
      <c r="C45" s="1029" t="s">
        <v>458</v>
      </c>
      <c r="D45" s="1032">
        <f>8900-8900</f>
        <v>0</v>
      </c>
      <c r="E45" s="306">
        <f>6500+8900</f>
        <v>15400</v>
      </c>
      <c r="F45" s="307">
        <f>6500+8900</f>
        <v>15400</v>
      </c>
      <c r="G45" s="307"/>
      <c r="H45" s="309">
        <f>+F45+G45</f>
        <v>15400</v>
      </c>
      <c r="I45" s="1030">
        <v>6500</v>
      </c>
      <c r="J45" s="308"/>
      <c r="K45" s="307"/>
      <c r="L45" s="1031">
        <f>+D45+H45+I45+J45+K45</f>
        <v>21900</v>
      </c>
    </row>
    <row r="46" spans="1:12" ht="12.75" thickBot="1">
      <c r="A46" s="1506" t="s">
        <v>1407</v>
      </c>
      <c r="B46" s="1507"/>
      <c r="C46" s="338" t="s">
        <v>19</v>
      </c>
      <c r="D46" s="302">
        <f t="shared" ref="D46:L46" si="12">+D9+D11+D13+D15+D41</f>
        <v>12880</v>
      </c>
      <c r="E46" s="302">
        <f t="shared" si="12"/>
        <v>2533570</v>
      </c>
      <c r="F46" s="300">
        <f t="shared" ref="F46:G46" si="13">+F9+F11+F13+F15+F41</f>
        <v>2533570</v>
      </c>
      <c r="G46" s="300">
        <f t="shared" si="13"/>
        <v>0</v>
      </c>
      <c r="H46" s="299">
        <f t="shared" si="12"/>
        <v>2533570</v>
      </c>
      <c r="I46" s="286">
        <f t="shared" si="12"/>
        <v>38308</v>
      </c>
      <c r="J46" s="285">
        <f t="shared" si="12"/>
        <v>2000</v>
      </c>
      <c r="K46" s="300">
        <f t="shared" si="12"/>
        <v>31525</v>
      </c>
      <c r="L46" s="339">
        <f t="shared" si="12"/>
        <v>2618283</v>
      </c>
    </row>
  </sheetData>
  <mergeCells count="10">
    <mergeCell ref="A46:B46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180" customWidth="1"/>
    <col min="2" max="2" width="51.28515625" style="180" bestFit="1" customWidth="1"/>
    <col min="3" max="10" width="16.7109375" style="180" customWidth="1"/>
    <col min="11" max="11" width="15.28515625" style="180"/>
    <col min="12" max="13" width="15.28515625" style="180" customWidth="1"/>
    <col min="14" max="16384" width="15.28515625" style="180"/>
  </cols>
  <sheetData>
    <row r="1" spans="1:10" s="181" customFormat="1" ht="15.75">
      <c r="A1" s="140"/>
      <c r="B1" s="140"/>
      <c r="C1" s="140"/>
      <c r="D1" s="189"/>
      <c r="E1" s="140"/>
      <c r="F1" s="189"/>
      <c r="G1" s="140"/>
      <c r="H1" s="189"/>
      <c r="I1" s="140"/>
      <c r="J1" s="189" t="s">
        <v>491</v>
      </c>
    </row>
    <row r="2" spans="1:10" s="181" customFormat="1" ht="15.75">
      <c r="A2" s="140"/>
      <c r="B2" s="140"/>
      <c r="C2" s="140"/>
      <c r="D2" s="189"/>
      <c r="E2" s="140"/>
      <c r="F2" s="189"/>
      <c r="G2" s="140"/>
      <c r="H2" s="189"/>
      <c r="I2" s="140"/>
      <c r="J2" s="189"/>
    </row>
    <row r="3" spans="1:10" s="182" customFormat="1" ht="15.75">
      <c r="A3" s="1474" t="s">
        <v>1418</v>
      </c>
      <c r="B3" s="1474"/>
      <c r="C3" s="1474"/>
      <c r="D3" s="1474"/>
      <c r="E3" s="1474"/>
      <c r="F3" s="1474"/>
      <c r="G3" s="1474"/>
      <c r="H3" s="1474"/>
      <c r="I3" s="1474"/>
      <c r="J3" s="1474"/>
    </row>
    <row r="4" spans="1:10" s="182" customFormat="1" ht="15.75">
      <c r="A4" s="1519" t="s">
        <v>492</v>
      </c>
      <c r="B4" s="1519"/>
      <c r="C4" s="1519"/>
      <c r="D4" s="1519"/>
      <c r="E4" s="1519"/>
      <c r="F4" s="1519"/>
      <c r="G4" s="1519"/>
      <c r="H4" s="1519"/>
      <c r="I4" s="1519"/>
      <c r="J4" s="1519"/>
    </row>
    <row r="5" spans="1:10" ht="12.75" thickBot="1">
      <c r="A5" s="353"/>
      <c r="B5" s="352"/>
      <c r="C5" s="352"/>
      <c r="D5" s="351"/>
      <c r="E5" s="352"/>
      <c r="F5" s="351"/>
      <c r="G5" s="352"/>
      <c r="H5" s="351"/>
      <c r="I5" s="352"/>
      <c r="J5" s="351" t="s">
        <v>457</v>
      </c>
    </row>
    <row r="6" spans="1:10" ht="48.75" thickBot="1">
      <c r="A6" s="293" t="s">
        <v>17</v>
      </c>
      <c r="B6" s="355" t="s">
        <v>50</v>
      </c>
      <c r="C6" s="355" t="s">
        <v>1590</v>
      </c>
      <c r="D6" s="354" t="s">
        <v>1591</v>
      </c>
      <c r="E6" s="355" t="s">
        <v>1592</v>
      </c>
      <c r="F6" s="354" t="s">
        <v>1593</v>
      </c>
      <c r="G6" s="355" t="s">
        <v>1662</v>
      </c>
      <c r="H6" s="354" t="s">
        <v>1663</v>
      </c>
      <c r="I6" s="355" t="s">
        <v>1441</v>
      </c>
      <c r="J6" s="354" t="s">
        <v>1442</v>
      </c>
    </row>
    <row r="7" spans="1:10" ht="12.75" thickBot="1">
      <c r="A7" s="293">
        <v>1</v>
      </c>
      <c r="B7" s="355">
        <v>2</v>
      </c>
      <c r="C7" s="355">
        <v>3</v>
      </c>
      <c r="D7" s="354">
        <v>4</v>
      </c>
      <c r="E7" s="355">
        <v>5</v>
      </c>
      <c r="F7" s="354">
        <v>6</v>
      </c>
      <c r="G7" s="355">
        <v>7</v>
      </c>
      <c r="H7" s="354">
        <v>8</v>
      </c>
      <c r="I7" s="355">
        <v>9</v>
      </c>
      <c r="J7" s="354">
        <v>10</v>
      </c>
    </row>
    <row r="8" spans="1:10">
      <c r="A8" s="350" t="s">
        <v>4</v>
      </c>
      <c r="B8" s="349" t="s">
        <v>493</v>
      </c>
      <c r="C8" s="342"/>
      <c r="D8" s="328"/>
      <c r="E8" s="342"/>
      <c r="F8" s="328"/>
      <c r="G8" s="342"/>
      <c r="H8" s="328"/>
      <c r="I8" s="342">
        <f t="shared" ref="I8:J11" si="0">+G8+E8</f>
        <v>0</v>
      </c>
      <c r="J8" s="328">
        <f t="shared" si="0"/>
        <v>0</v>
      </c>
    </row>
    <row r="9" spans="1:10">
      <c r="A9" s="348" t="s">
        <v>5</v>
      </c>
      <c r="B9" s="347" t="s">
        <v>494</v>
      </c>
      <c r="C9" s="341"/>
      <c r="D9" s="309"/>
      <c r="E9" s="341"/>
      <c r="F9" s="309"/>
      <c r="G9" s="341"/>
      <c r="H9" s="309"/>
      <c r="I9" s="341">
        <f t="shared" si="0"/>
        <v>0</v>
      </c>
      <c r="J9" s="309">
        <f t="shared" si="0"/>
        <v>0</v>
      </c>
    </row>
    <row r="10" spans="1:10">
      <c r="A10" s="348" t="s">
        <v>6</v>
      </c>
      <c r="B10" s="347" t="s">
        <v>495</v>
      </c>
      <c r="C10" s="341"/>
      <c r="D10" s="309"/>
      <c r="E10" s="341"/>
      <c r="F10" s="309"/>
      <c r="G10" s="341"/>
      <c r="H10" s="309"/>
      <c r="I10" s="341">
        <f t="shared" si="0"/>
        <v>0</v>
      </c>
      <c r="J10" s="309">
        <f t="shared" si="0"/>
        <v>0</v>
      </c>
    </row>
    <row r="11" spans="1:10">
      <c r="A11" s="348" t="s">
        <v>3</v>
      </c>
      <c r="B11" s="347" t="s">
        <v>496</v>
      </c>
      <c r="C11" s="341"/>
      <c r="D11" s="309"/>
      <c r="E11" s="341"/>
      <c r="F11" s="309"/>
      <c r="G11" s="341"/>
      <c r="H11" s="309"/>
      <c r="I11" s="341">
        <f t="shared" si="0"/>
        <v>0</v>
      </c>
      <c r="J11" s="309">
        <f t="shared" si="0"/>
        <v>0</v>
      </c>
    </row>
    <row r="12" spans="1:10">
      <c r="A12" s="348" t="s">
        <v>16</v>
      </c>
      <c r="B12" s="347" t="s">
        <v>497</v>
      </c>
      <c r="C12" s="341">
        <f t="shared" ref="C12:H12" si="1">+C13+C14+C15+C16+C17+C18+C19</f>
        <v>372453</v>
      </c>
      <c r="D12" s="715">
        <f t="shared" si="1"/>
        <v>5351</v>
      </c>
      <c r="E12" s="341">
        <f t="shared" si="1"/>
        <v>351353</v>
      </c>
      <c r="F12" s="715">
        <f t="shared" si="1"/>
        <v>5351</v>
      </c>
      <c r="G12" s="341">
        <f t="shared" si="1"/>
        <v>0</v>
      </c>
      <c r="H12" s="715">
        <f t="shared" si="1"/>
        <v>0</v>
      </c>
      <c r="I12" s="341">
        <f t="shared" ref="I12:J12" si="2">+I13+I14+I15+I16+I17+I18+I19</f>
        <v>351353</v>
      </c>
      <c r="J12" s="715">
        <f t="shared" si="2"/>
        <v>5351</v>
      </c>
    </row>
    <row r="13" spans="1:10">
      <c r="A13" s="348" t="s">
        <v>226</v>
      </c>
      <c r="B13" s="346" t="s">
        <v>498</v>
      </c>
      <c r="C13" s="340">
        <v>32000</v>
      </c>
      <c r="D13" s="884"/>
      <c r="E13" s="340">
        <f>32000-1100</f>
        <v>30900</v>
      </c>
      <c r="F13" s="884"/>
      <c r="G13" s="340"/>
      <c r="H13" s="884"/>
      <c r="I13" s="340">
        <f>+G13+E13</f>
        <v>30900</v>
      </c>
      <c r="J13" s="884">
        <f t="shared" ref="J13:J24" si="3">+H13+F13</f>
        <v>0</v>
      </c>
    </row>
    <row r="14" spans="1:10">
      <c r="A14" s="348" t="s">
        <v>227</v>
      </c>
      <c r="B14" s="346" t="s">
        <v>499</v>
      </c>
      <c r="C14" s="340">
        <v>11952</v>
      </c>
      <c r="D14" s="884"/>
      <c r="E14" s="340">
        <v>11952</v>
      </c>
      <c r="F14" s="884"/>
      <c r="G14" s="340"/>
      <c r="H14" s="884"/>
      <c r="I14" s="340">
        <f t="shared" ref="I14:I24" si="4">+G14+E14</f>
        <v>11952</v>
      </c>
      <c r="J14" s="884">
        <f t="shared" si="3"/>
        <v>0</v>
      </c>
    </row>
    <row r="15" spans="1:10">
      <c r="A15" s="348" t="s">
        <v>228</v>
      </c>
      <c r="B15" s="346" t="s">
        <v>500</v>
      </c>
      <c r="C15" s="340"/>
      <c r="D15" s="884"/>
      <c r="E15" s="340"/>
      <c r="F15" s="884"/>
      <c r="G15" s="340"/>
      <c r="H15" s="884"/>
      <c r="I15" s="340">
        <f t="shared" si="4"/>
        <v>0</v>
      </c>
      <c r="J15" s="884">
        <f t="shared" si="3"/>
        <v>0</v>
      </c>
    </row>
    <row r="16" spans="1:10">
      <c r="A16" s="348" t="s">
        <v>256</v>
      </c>
      <c r="B16" s="346" t="s">
        <v>501</v>
      </c>
      <c r="C16" s="340">
        <v>26282</v>
      </c>
      <c r="D16" s="884">
        <v>3282</v>
      </c>
      <c r="E16" s="340">
        <v>26282</v>
      </c>
      <c r="F16" s="884">
        <v>3282</v>
      </c>
      <c r="G16" s="340"/>
      <c r="H16" s="884"/>
      <c r="I16" s="340">
        <f t="shared" si="4"/>
        <v>26282</v>
      </c>
      <c r="J16" s="884">
        <f t="shared" si="3"/>
        <v>3282</v>
      </c>
    </row>
    <row r="17" spans="1:13">
      <c r="A17" s="348" t="s">
        <v>257</v>
      </c>
      <c r="B17" s="346" t="s">
        <v>502</v>
      </c>
      <c r="C17" s="340">
        <v>150</v>
      </c>
      <c r="D17" s="884"/>
      <c r="E17" s="340">
        <v>150</v>
      </c>
      <c r="F17" s="884"/>
      <c r="G17" s="340"/>
      <c r="H17" s="884"/>
      <c r="I17" s="340">
        <f t="shared" si="4"/>
        <v>150</v>
      </c>
      <c r="J17" s="884">
        <f t="shared" si="3"/>
        <v>0</v>
      </c>
    </row>
    <row r="18" spans="1:13">
      <c r="A18" s="348" t="s">
        <v>258</v>
      </c>
      <c r="B18" s="346" t="s">
        <v>503</v>
      </c>
      <c r="C18" s="340"/>
      <c r="D18" s="884"/>
      <c r="E18" s="340"/>
      <c r="F18" s="884"/>
      <c r="G18" s="340"/>
      <c r="H18" s="884"/>
      <c r="I18" s="340">
        <f t="shared" si="4"/>
        <v>0</v>
      </c>
      <c r="J18" s="884">
        <f t="shared" si="3"/>
        <v>0</v>
      </c>
    </row>
    <row r="19" spans="1:13">
      <c r="A19" s="348" t="s">
        <v>259</v>
      </c>
      <c r="B19" s="346" t="s">
        <v>504</v>
      </c>
      <c r="C19" s="340">
        <v>302069</v>
      </c>
      <c r="D19" s="884">
        <v>2069</v>
      </c>
      <c r="E19" s="340">
        <f>302069-20000</f>
        <v>282069</v>
      </c>
      <c r="F19" s="884">
        <v>2069</v>
      </c>
      <c r="G19" s="340"/>
      <c r="H19" s="884"/>
      <c r="I19" s="340">
        <f t="shared" si="4"/>
        <v>282069</v>
      </c>
      <c r="J19" s="884">
        <f t="shared" si="3"/>
        <v>2069</v>
      </c>
    </row>
    <row r="20" spans="1:13">
      <c r="A20" s="348" t="s">
        <v>15</v>
      </c>
      <c r="B20" s="347" t="s">
        <v>505</v>
      </c>
      <c r="C20" s="341"/>
      <c r="D20" s="309"/>
      <c r="E20" s="341"/>
      <c r="F20" s="309"/>
      <c r="G20" s="341"/>
      <c r="H20" s="309"/>
      <c r="I20" s="341">
        <f t="shared" si="4"/>
        <v>0</v>
      </c>
      <c r="J20" s="309">
        <f t="shared" si="3"/>
        <v>0</v>
      </c>
    </row>
    <row r="21" spans="1:13">
      <c r="A21" s="348" t="s">
        <v>14</v>
      </c>
      <c r="B21" s="347" t="s">
        <v>506</v>
      </c>
      <c r="C21" s="341"/>
      <c r="D21" s="309"/>
      <c r="E21" s="341"/>
      <c r="F21" s="309"/>
      <c r="G21" s="341"/>
      <c r="H21" s="309"/>
      <c r="I21" s="341">
        <f t="shared" si="4"/>
        <v>0</v>
      </c>
      <c r="J21" s="309">
        <f t="shared" si="3"/>
        <v>0</v>
      </c>
    </row>
    <row r="22" spans="1:13">
      <c r="A22" s="348" t="s">
        <v>13</v>
      </c>
      <c r="B22" s="347" t="s">
        <v>507</v>
      </c>
      <c r="C22" s="341"/>
      <c r="D22" s="309"/>
      <c r="E22" s="341"/>
      <c r="F22" s="309"/>
      <c r="G22" s="341"/>
      <c r="H22" s="309"/>
      <c r="I22" s="341">
        <f t="shared" si="4"/>
        <v>0</v>
      </c>
      <c r="J22" s="309">
        <f t="shared" si="3"/>
        <v>0</v>
      </c>
    </row>
    <row r="23" spans="1:13">
      <c r="A23" s="348" t="s">
        <v>12</v>
      </c>
      <c r="B23" s="347" t="s">
        <v>508</v>
      </c>
      <c r="C23" s="341"/>
      <c r="D23" s="309"/>
      <c r="E23" s="341"/>
      <c r="F23" s="309"/>
      <c r="G23" s="341"/>
      <c r="H23" s="309"/>
      <c r="I23" s="341">
        <f t="shared" si="4"/>
        <v>0</v>
      </c>
      <c r="J23" s="309">
        <f t="shared" si="3"/>
        <v>0</v>
      </c>
    </row>
    <row r="24" spans="1:13" ht="12.75" thickBot="1">
      <c r="A24" s="716" t="s">
        <v>11</v>
      </c>
      <c r="B24" s="717" t="s">
        <v>509</v>
      </c>
      <c r="C24" s="718"/>
      <c r="D24" s="719"/>
      <c r="E24" s="718"/>
      <c r="F24" s="719"/>
      <c r="G24" s="718"/>
      <c r="H24" s="719"/>
      <c r="I24" s="718">
        <f t="shared" si="4"/>
        <v>0</v>
      </c>
      <c r="J24" s="719">
        <f t="shared" si="3"/>
        <v>0</v>
      </c>
    </row>
    <row r="25" spans="1:13" ht="12.75" thickBot="1">
      <c r="A25" s="344" t="s">
        <v>10</v>
      </c>
      <c r="B25" s="356" t="s">
        <v>440</v>
      </c>
      <c r="C25" s="356">
        <f t="shared" ref="C25:J25" si="5">+C8+C9+C10+C11+C12+C20+C21+C22+C23+C24</f>
        <v>372453</v>
      </c>
      <c r="D25" s="343">
        <f t="shared" si="5"/>
        <v>5351</v>
      </c>
      <c r="E25" s="356">
        <f t="shared" si="5"/>
        <v>351353</v>
      </c>
      <c r="F25" s="343">
        <f t="shared" si="5"/>
        <v>5351</v>
      </c>
      <c r="G25" s="356">
        <f t="shared" si="5"/>
        <v>0</v>
      </c>
      <c r="H25" s="343">
        <f t="shared" si="5"/>
        <v>0</v>
      </c>
      <c r="I25" s="356">
        <f t="shared" si="5"/>
        <v>351353</v>
      </c>
      <c r="J25" s="343">
        <f t="shared" si="5"/>
        <v>5351</v>
      </c>
      <c r="L25" s="597">
        <f>+'5.mell_adósság2020'!F8</f>
        <v>346002</v>
      </c>
      <c r="M25" s="597">
        <f>+I25-J25-L25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ColWidth="9.140625" defaultRowHeight="12"/>
  <cols>
    <col min="1" max="1" width="4.85546875" style="180" customWidth="1"/>
    <col min="2" max="2" width="44" style="180" bestFit="1" customWidth="1"/>
    <col min="3" max="20" width="10.28515625" style="180" customWidth="1"/>
    <col min="21" max="32" width="9.140625" style="180" hidden="1" customWidth="1"/>
    <col min="33" max="33" width="9.140625" style="180" customWidth="1"/>
    <col min="34" max="16384" width="9.140625" style="180"/>
  </cols>
  <sheetData>
    <row r="1" spans="1:32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9" t="s">
        <v>835</v>
      </c>
      <c r="T1" s="189"/>
      <c r="Y1" s="758"/>
      <c r="Z1" s="758"/>
      <c r="AA1" s="758"/>
      <c r="AB1" s="758"/>
      <c r="AC1" s="758"/>
      <c r="AD1" s="758"/>
      <c r="AE1" s="758"/>
      <c r="AF1" s="758"/>
    </row>
    <row r="2" spans="1:32" s="181" customFormat="1" ht="16.5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89"/>
      <c r="T2" s="189"/>
      <c r="Y2" s="758"/>
      <c r="Z2" s="758">
        <v>3</v>
      </c>
      <c r="AA2" s="758">
        <v>5</v>
      </c>
      <c r="AB2" s="758">
        <v>7</v>
      </c>
      <c r="AC2" s="758">
        <v>9</v>
      </c>
      <c r="AD2" s="758">
        <v>12</v>
      </c>
      <c r="AE2" s="758"/>
      <c r="AF2" s="758"/>
    </row>
    <row r="3" spans="1:32" s="182" customFormat="1" ht="16.5" thickBot="1">
      <c r="A3" s="1520" t="s">
        <v>1419</v>
      </c>
      <c r="B3" s="1520"/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520"/>
      <c r="N3" s="1520"/>
      <c r="O3" s="1520"/>
      <c r="P3" s="1520"/>
      <c r="Q3" s="1520"/>
      <c r="R3" s="1520"/>
      <c r="S3" s="1520"/>
      <c r="T3" s="975"/>
      <c r="Y3" s="759" t="s">
        <v>956</v>
      </c>
      <c r="Z3" s="760" t="s">
        <v>513</v>
      </c>
      <c r="AA3" s="761" t="s">
        <v>515</v>
      </c>
      <c r="AB3" s="761" t="s">
        <v>517</v>
      </c>
      <c r="AC3" s="761" t="s">
        <v>519</v>
      </c>
      <c r="AD3" s="762" t="s">
        <v>957</v>
      </c>
      <c r="AE3" s="763" t="s">
        <v>18</v>
      </c>
      <c r="AF3" s="758"/>
    </row>
    <row r="4" spans="1:32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391" t="s">
        <v>49</v>
      </c>
      <c r="T4" s="391"/>
      <c r="Y4" s="765" t="s">
        <v>958</v>
      </c>
      <c r="Z4" s="766">
        <f>120000+10000</f>
        <v>130000</v>
      </c>
      <c r="AA4" s="767">
        <v>10000</v>
      </c>
      <c r="AB4" s="767">
        <v>0</v>
      </c>
      <c r="AC4" s="767">
        <f>120000+10000</f>
        <v>130000</v>
      </c>
      <c r="AD4" s="768">
        <v>30000</v>
      </c>
      <c r="AE4" s="783">
        <f t="shared" ref="AE4:AF11" si="0">SUM(Z4:AD4)</f>
        <v>300000</v>
      </c>
      <c r="AF4" s="758">
        <v>280000</v>
      </c>
    </row>
    <row r="5" spans="1:32" ht="36.75" thickBot="1">
      <c r="A5" s="369" t="s">
        <v>17</v>
      </c>
      <c r="B5" s="370" t="s">
        <v>7</v>
      </c>
      <c r="C5" s="1165" t="s">
        <v>1586</v>
      </c>
      <c r="D5" s="6" t="s">
        <v>1587</v>
      </c>
      <c r="E5" s="6" t="s">
        <v>1658</v>
      </c>
      <c r="F5" s="7" t="s">
        <v>1659</v>
      </c>
      <c r="G5" s="376" t="s">
        <v>511</v>
      </c>
      <c r="H5" s="368" t="s">
        <v>512</v>
      </c>
      <c r="I5" s="368" t="s">
        <v>513</v>
      </c>
      <c r="J5" s="368" t="s">
        <v>514</v>
      </c>
      <c r="K5" s="368" t="s">
        <v>515</v>
      </c>
      <c r="L5" s="368" t="s">
        <v>516</v>
      </c>
      <c r="M5" s="368" t="s">
        <v>517</v>
      </c>
      <c r="N5" s="368" t="s">
        <v>518</v>
      </c>
      <c r="O5" s="368" t="s">
        <v>519</v>
      </c>
      <c r="P5" s="368" t="s">
        <v>520</v>
      </c>
      <c r="Q5" s="368" t="s">
        <v>521</v>
      </c>
      <c r="R5" s="368" t="s">
        <v>522</v>
      </c>
      <c r="S5" s="371" t="s">
        <v>440</v>
      </c>
      <c r="T5" s="755"/>
      <c r="Y5" s="770" t="s">
        <v>959</v>
      </c>
      <c r="Z5" s="771">
        <v>13500</v>
      </c>
      <c r="AA5" s="772">
        <v>3500</v>
      </c>
      <c r="AB5" s="772">
        <v>0</v>
      </c>
      <c r="AC5" s="772">
        <v>3500</v>
      </c>
      <c r="AD5" s="773">
        <v>2500</v>
      </c>
      <c r="AE5" s="784">
        <f t="shared" si="0"/>
        <v>23000</v>
      </c>
      <c r="AF5" s="764">
        <v>23000</v>
      </c>
    </row>
    <row r="6" spans="1:32" ht="12.75" thickBot="1">
      <c r="A6" s="367"/>
      <c r="B6" s="1521" t="s">
        <v>523</v>
      </c>
      <c r="C6" s="1522"/>
      <c r="D6" s="1522"/>
      <c r="E6" s="1522"/>
      <c r="F6" s="1523"/>
      <c r="G6" s="1522"/>
      <c r="H6" s="1522"/>
      <c r="I6" s="1522"/>
      <c r="J6" s="1522"/>
      <c r="K6" s="1522"/>
      <c r="L6" s="1522"/>
      <c r="M6" s="1522"/>
      <c r="N6" s="1522"/>
      <c r="O6" s="1522"/>
      <c r="P6" s="1522"/>
      <c r="Q6" s="1522"/>
      <c r="R6" s="1522"/>
      <c r="S6" s="1524"/>
      <c r="T6" s="976"/>
      <c r="U6" s="597"/>
      <c r="Y6" s="770" t="s">
        <v>960</v>
      </c>
      <c r="Z6" s="771">
        <v>12000</v>
      </c>
      <c r="AA6" s="772">
        <v>4000</v>
      </c>
      <c r="AB6" s="772">
        <v>0</v>
      </c>
      <c r="AC6" s="772">
        <v>12000</v>
      </c>
      <c r="AD6" s="773">
        <v>4000</v>
      </c>
      <c r="AE6" s="784">
        <f t="shared" si="0"/>
        <v>32000</v>
      </c>
      <c r="AF6" s="769">
        <v>32000</v>
      </c>
    </row>
    <row r="7" spans="1:32">
      <c r="A7" s="366" t="s">
        <v>4</v>
      </c>
      <c r="B7" s="365" t="s">
        <v>528</v>
      </c>
      <c r="C7" s="1354">
        <f>+'1.mell._Össz_Mérleg2020'!C11</f>
        <v>992226</v>
      </c>
      <c r="D7" s="1354">
        <f>+'1.mell._Össz_Mérleg2020'!D11</f>
        <v>1185285</v>
      </c>
      <c r="E7" s="1354">
        <f>+'1.mell._Össz_Mérleg2020'!E11</f>
        <v>20604</v>
      </c>
      <c r="F7" s="364">
        <f>+'1.mell._Össz_Mérleg2020'!F11</f>
        <v>1205889</v>
      </c>
      <c r="G7" s="1033">
        <f>69622+628+8303+6027+1717</f>
        <v>86297</v>
      </c>
      <c r="H7" s="1034">
        <f>69622+628+8303+6027+1717</f>
        <v>86297</v>
      </c>
      <c r="I7" s="1034">
        <f>69622+628+8303+6027+1717</f>
        <v>86297</v>
      </c>
      <c r="J7" s="1034">
        <f>69622+628+8303+6027+1717</f>
        <v>86297</v>
      </c>
      <c r="K7" s="1034">
        <f>69622+628+8303+6027+1717</f>
        <v>86297</v>
      </c>
      <c r="L7" s="1034">
        <f>69622+132421-57810+628+8303+6027+1717</f>
        <v>160908</v>
      </c>
      <c r="M7" s="1034">
        <f>69622+628+8303+6027+1717</f>
        <v>86297</v>
      </c>
      <c r="N7" s="1034">
        <f>69622+628+8303+6027+1717</f>
        <v>86297</v>
      </c>
      <c r="O7" s="1034">
        <f>69622+628+8303+6027+1717</f>
        <v>86297</v>
      </c>
      <c r="P7" s="1034">
        <f>69622+628+8303+6027+1717</f>
        <v>86297</v>
      </c>
      <c r="Q7" s="1034">
        <f>69622+628+8303+6027+1717</f>
        <v>86297</v>
      </c>
      <c r="R7" s="1034">
        <f>69622-1+132421-57810+628+5+8303+21100+6026+1717</f>
        <v>182011</v>
      </c>
      <c r="S7" s="363">
        <f>SUM(G7:R7)</f>
        <v>1205889</v>
      </c>
      <c r="T7" s="756"/>
      <c r="U7" s="597">
        <f t="shared" ref="U7:U15" si="1">+F7-S7</f>
        <v>0</v>
      </c>
      <c r="V7" s="180">
        <f t="shared" ref="V7:V15" si="2">+F7/12</f>
        <v>100490.75</v>
      </c>
      <c r="W7" s="180">
        <f>+U7/12</f>
        <v>0</v>
      </c>
      <c r="Y7" s="770" t="s">
        <v>961</v>
      </c>
      <c r="Z7" s="775">
        <v>10000</v>
      </c>
      <c r="AA7" s="776">
        <v>4000</v>
      </c>
      <c r="AB7" s="776">
        <v>0</v>
      </c>
      <c r="AC7" s="776">
        <v>10000</v>
      </c>
      <c r="AD7" s="777">
        <v>3500</v>
      </c>
      <c r="AE7" s="785">
        <f t="shared" si="0"/>
        <v>27500</v>
      </c>
      <c r="AF7" s="774">
        <v>27500</v>
      </c>
    </row>
    <row r="8" spans="1:32">
      <c r="A8" s="362" t="s">
        <v>5</v>
      </c>
      <c r="B8" s="361" t="s">
        <v>524</v>
      </c>
      <c r="C8" s="1355">
        <f>+'1.mell._Össz_Mérleg2020'!C25</f>
        <v>414105</v>
      </c>
      <c r="D8" s="1355">
        <f>+'1.mell._Össz_Mérleg2020'!D25</f>
        <v>365505</v>
      </c>
      <c r="E8" s="1355">
        <f>+'1.mell._Össz_Mérleg2020'!E25</f>
        <v>0</v>
      </c>
      <c r="F8" s="360">
        <f>+'1.mell._Össz_Mérleg2020'!F25</f>
        <v>365505</v>
      </c>
      <c r="G8" s="914">
        <v>1525</v>
      </c>
      <c r="H8" s="915">
        <v>1525</v>
      </c>
      <c r="I8" s="915">
        <f>161976+1525+10000-10000</f>
        <v>163501</v>
      </c>
      <c r="J8" s="915">
        <v>1525</v>
      </c>
      <c r="K8" s="915">
        <f>21600+1525-4000</f>
        <v>19125</v>
      </c>
      <c r="L8" s="915">
        <v>1525</v>
      </c>
      <c r="M8" s="915">
        <f>75+1525</f>
        <v>1600</v>
      </c>
      <c r="N8" s="915">
        <v>1525</v>
      </c>
      <c r="O8" s="915">
        <f>152051+1525-10000-1100</f>
        <v>142476</v>
      </c>
      <c r="P8" s="915">
        <v>1525</v>
      </c>
      <c r="Q8" s="915">
        <v>1525</v>
      </c>
      <c r="R8" s="915">
        <f>40100+1525+3+10000-3500-20000</f>
        <v>28128</v>
      </c>
      <c r="S8" s="359">
        <f t="shared" ref="S8:S15" si="3">SUM(G8:R8)</f>
        <v>365505</v>
      </c>
      <c r="T8" s="756"/>
      <c r="U8" s="597">
        <f t="shared" si="1"/>
        <v>0</v>
      </c>
      <c r="V8" s="180">
        <f t="shared" si="2"/>
        <v>30458.75</v>
      </c>
      <c r="W8" s="180">
        <f>+U8/12</f>
        <v>0</v>
      </c>
      <c r="Y8" s="770" t="s">
        <v>962</v>
      </c>
      <c r="Z8" s="771">
        <v>0</v>
      </c>
      <c r="AA8" s="772">
        <v>0</v>
      </c>
      <c r="AB8" s="772">
        <v>75</v>
      </c>
      <c r="AC8" s="772">
        <v>75</v>
      </c>
      <c r="AD8" s="773">
        <v>0</v>
      </c>
      <c r="AE8" s="784">
        <f t="shared" si="0"/>
        <v>150</v>
      </c>
      <c r="AF8" s="774">
        <v>150</v>
      </c>
    </row>
    <row r="9" spans="1:32">
      <c r="A9" s="362" t="s">
        <v>6</v>
      </c>
      <c r="B9" s="361" t="s">
        <v>529</v>
      </c>
      <c r="C9" s="1355">
        <f>+'1.mell._Össz_Mérleg2020'!C32</f>
        <v>186868</v>
      </c>
      <c r="D9" s="1355">
        <f>+'1.mell._Össz_Mérleg2020'!D32</f>
        <v>186868</v>
      </c>
      <c r="E9" s="1355">
        <f>+'1.mell._Össz_Mérleg2020'!E32</f>
        <v>0</v>
      </c>
      <c r="F9" s="360">
        <f>+'1.mell._Össz_Mérleg2020'!F32</f>
        <v>186868</v>
      </c>
      <c r="G9" s="914">
        <f>14906+667</f>
        <v>15573</v>
      </c>
      <c r="H9" s="915">
        <f>14906+667</f>
        <v>15573</v>
      </c>
      <c r="I9" s="915">
        <f t="shared" ref="I9:Q9" si="4">14906+667</f>
        <v>15573</v>
      </c>
      <c r="J9" s="915">
        <f t="shared" si="4"/>
        <v>15573</v>
      </c>
      <c r="K9" s="915">
        <f t="shared" si="4"/>
        <v>15573</v>
      </c>
      <c r="L9" s="915">
        <f t="shared" si="4"/>
        <v>15573</v>
      </c>
      <c r="M9" s="915">
        <f t="shared" si="4"/>
        <v>15573</v>
      </c>
      <c r="N9" s="915">
        <f t="shared" si="4"/>
        <v>15573</v>
      </c>
      <c r="O9" s="915">
        <f t="shared" si="4"/>
        <v>15573</v>
      </c>
      <c r="P9" s="915">
        <f t="shared" si="4"/>
        <v>15573</v>
      </c>
      <c r="Q9" s="915">
        <f t="shared" si="4"/>
        <v>15573</v>
      </c>
      <c r="R9" s="915">
        <f>14906+667-8</f>
        <v>15565</v>
      </c>
      <c r="S9" s="359">
        <f t="shared" si="3"/>
        <v>186868</v>
      </c>
      <c r="T9" s="756"/>
      <c r="U9" s="597">
        <f t="shared" si="1"/>
        <v>0</v>
      </c>
      <c r="V9" s="180">
        <f t="shared" si="2"/>
        <v>15572.333333333334</v>
      </c>
      <c r="W9" s="180">
        <f>+U9/12</f>
        <v>0</v>
      </c>
      <c r="Y9" s="770" t="s">
        <v>1103</v>
      </c>
      <c r="Z9" s="775">
        <v>5976</v>
      </c>
      <c r="AA9" s="776"/>
      <c r="AB9" s="776"/>
      <c r="AC9" s="776">
        <v>5976</v>
      </c>
      <c r="AD9" s="777"/>
      <c r="AE9" s="785">
        <f>SUM(Z9:AD9)</f>
        <v>11952</v>
      </c>
      <c r="AF9" s="774">
        <v>11952</v>
      </c>
    </row>
    <row r="10" spans="1:32">
      <c r="A10" s="362" t="s">
        <v>3</v>
      </c>
      <c r="B10" s="361" t="s">
        <v>530</v>
      </c>
      <c r="C10" s="1356">
        <f>+'1.mell._Össz_Mérleg2020'!C44</f>
        <v>0</v>
      </c>
      <c r="D10" s="1356">
        <f>+'1.mell._Össz_Mérleg2020'!D44</f>
        <v>5490</v>
      </c>
      <c r="E10" s="1356">
        <f>+'1.mell._Össz_Mérleg2020'!E44</f>
        <v>0</v>
      </c>
      <c r="F10" s="358">
        <f>+'1.mell._Össz_Mérleg2020'!F44</f>
        <v>5490</v>
      </c>
      <c r="G10" s="914"/>
      <c r="H10" s="915"/>
      <c r="I10" s="915">
        <v>1390</v>
      </c>
      <c r="J10" s="915"/>
      <c r="K10" s="915"/>
      <c r="L10" s="915"/>
      <c r="M10" s="915"/>
      <c r="N10" s="915"/>
      <c r="O10" s="915"/>
      <c r="P10" s="915"/>
      <c r="Q10" s="915">
        <f>4000+100</f>
        <v>4100</v>
      </c>
      <c r="R10" s="916"/>
      <c r="S10" s="359">
        <f t="shared" si="3"/>
        <v>5490</v>
      </c>
      <c r="T10" s="756"/>
      <c r="U10" s="597">
        <f t="shared" si="1"/>
        <v>0</v>
      </c>
      <c r="V10" s="180">
        <f t="shared" si="2"/>
        <v>457.5</v>
      </c>
      <c r="Y10" s="770" t="s">
        <v>963</v>
      </c>
      <c r="Z10" s="775">
        <v>500</v>
      </c>
      <c r="AA10" s="776">
        <v>100</v>
      </c>
      <c r="AB10" s="776">
        <v>0</v>
      </c>
      <c r="AC10" s="776">
        <v>500</v>
      </c>
      <c r="AD10" s="777">
        <v>100</v>
      </c>
      <c r="AE10" s="785">
        <f t="shared" si="0"/>
        <v>1200</v>
      </c>
      <c r="AF10" s="774">
        <v>1200</v>
      </c>
    </row>
    <row r="11" spans="1:32" ht="12.75" thickBot="1">
      <c r="A11" s="362" t="s">
        <v>16</v>
      </c>
      <c r="B11" s="361" t="s">
        <v>531</v>
      </c>
      <c r="C11" s="1356">
        <f>+'1.mell._Össz_Mérleg2020'!C51</f>
        <v>32276</v>
      </c>
      <c r="D11" s="1356">
        <f>+'1.mell._Össz_Mérleg2020'!D51</f>
        <v>32276</v>
      </c>
      <c r="E11" s="1356">
        <f>+'1.mell._Össz_Mérleg2020'!E51</f>
        <v>0</v>
      </c>
      <c r="F11" s="358">
        <f>+'1.mell._Össz_Mérleg2020'!F51</f>
        <v>32276</v>
      </c>
      <c r="G11" s="914"/>
      <c r="H11" s="915"/>
      <c r="I11" s="915"/>
      <c r="J11" s="915"/>
      <c r="K11" s="915"/>
      <c r="L11" s="915">
        <f>14988+1150</f>
        <v>16138</v>
      </c>
      <c r="M11" s="915"/>
      <c r="N11" s="915"/>
      <c r="O11" s="915"/>
      <c r="P11" s="915"/>
      <c r="Q11" s="915"/>
      <c r="R11" s="915">
        <f>14989+1149</f>
        <v>16138</v>
      </c>
      <c r="S11" s="359">
        <f t="shared" si="3"/>
        <v>32276</v>
      </c>
      <c r="T11" s="756"/>
      <c r="U11" s="597">
        <f t="shared" si="1"/>
        <v>0</v>
      </c>
      <c r="V11" s="180">
        <f t="shared" si="2"/>
        <v>2689.6666666666665</v>
      </c>
      <c r="Y11" s="778" t="s">
        <v>18</v>
      </c>
      <c r="Z11" s="779">
        <f>SUM(Z4:Z10)</f>
        <v>171976</v>
      </c>
      <c r="AA11" s="780">
        <f>SUM(AA4:AA10)</f>
        <v>21600</v>
      </c>
      <c r="AB11" s="780">
        <f>SUM(AB4:AB10)</f>
        <v>75</v>
      </c>
      <c r="AC11" s="780">
        <f>SUM(AC4:AC10)</f>
        <v>162051</v>
      </c>
      <c r="AD11" s="781">
        <f>SUM(AD4:AD10)</f>
        <v>40100</v>
      </c>
      <c r="AE11" s="782">
        <f t="shared" si="0"/>
        <v>395802</v>
      </c>
      <c r="AF11" s="782">
        <f t="shared" si="0"/>
        <v>619628</v>
      </c>
    </row>
    <row r="12" spans="1:32">
      <c r="A12" s="362" t="s">
        <v>15</v>
      </c>
      <c r="B12" s="361" t="s">
        <v>532</v>
      </c>
      <c r="C12" s="1356">
        <f>+'1.mell._Össz_Mérleg2020'!C58</f>
        <v>40350</v>
      </c>
      <c r="D12" s="1356">
        <f>+'1.mell._Össz_Mérleg2020'!D58</f>
        <v>40350</v>
      </c>
      <c r="E12" s="1356">
        <f>+'1.mell._Össz_Mérleg2020'!E58</f>
        <v>0</v>
      </c>
      <c r="F12" s="358">
        <f>+'1.mell._Össz_Mérleg2020'!F58</f>
        <v>40350</v>
      </c>
      <c r="G12" s="914">
        <v>29</v>
      </c>
      <c r="H12" s="915">
        <v>29</v>
      </c>
      <c r="I12" s="915">
        <f>7500+29+2500</f>
        <v>10029</v>
      </c>
      <c r="J12" s="915">
        <v>29</v>
      </c>
      <c r="K12" s="915">
        <v>29</v>
      </c>
      <c r="L12" s="915">
        <f>7500+29+2500</f>
        <v>10029</v>
      </c>
      <c r="M12" s="915">
        <v>29</v>
      </c>
      <c r="N12" s="915">
        <v>29</v>
      </c>
      <c r="O12" s="915">
        <f>7500+29+2500</f>
        <v>10029</v>
      </c>
      <c r="P12" s="915">
        <v>29</v>
      </c>
      <c r="Q12" s="915">
        <v>29</v>
      </c>
      <c r="R12" s="915">
        <f>7500+29+2500+2</f>
        <v>10031</v>
      </c>
      <c r="S12" s="359">
        <f t="shared" si="3"/>
        <v>40350</v>
      </c>
      <c r="T12" s="756"/>
      <c r="U12" s="597">
        <f t="shared" si="1"/>
        <v>0</v>
      </c>
      <c r="V12" s="180">
        <f t="shared" si="2"/>
        <v>3362.5</v>
      </c>
      <c r="W12" s="180">
        <f>+U12/12</f>
        <v>0</v>
      </c>
      <c r="Y12" s="769"/>
      <c r="Z12" s="769"/>
      <c r="AA12" s="769"/>
      <c r="AB12" s="769"/>
      <c r="AC12" s="769"/>
      <c r="AD12" s="769"/>
      <c r="AE12" s="769"/>
      <c r="AF12" s="774"/>
    </row>
    <row r="13" spans="1:32">
      <c r="A13" s="362" t="s">
        <v>14</v>
      </c>
      <c r="B13" s="361" t="s">
        <v>533</v>
      </c>
      <c r="C13" s="1356">
        <f>+'1.mell._Össz_Mérleg2020'!C64</f>
        <v>1100</v>
      </c>
      <c r="D13" s="1356">
        <f>+'1.mell._Össz_Mérleg2020'!D64</f>
        <v>1100</v>
      </c>
      <c r="E13" s="1356">
        <f>+'1.mell._Össz_Mérleg2020'!E64</f>
        <v>0</v>
      </c>
      <c r="F13" s="358">
        <f>+'1.mell._Össz_Mérleg2020'!F64</f>
        <v>1100</v>
      </c>
      <c r="G13" s="914">
        <v>92</v>
      </c>
      <c r="H13" s="915">
        <v>92</v>
      </c>
      <c r="I13" s="915">
        <v>92</v>
      </c>
      <c r="J13" s="915">
        <v>92</v>
      </c>
      <c r="K13" s="915">
        <v>92</v>
      </c>
      <c r="L13" s="915">
        <v>92</v>
      </c>
      <c r="M13" s="915">
        <v>92</v>
      </c>
      <c r="N13" s="915">
        <v>92</v>
      </c>
      <c r="O13" s="915">
        <v>92</v>
      </c>
      <c r="P13" s="915">
        <v>92</v>
      </c>
      <c r="Q13" s="915">
        <v>92</v>
      </c>
      <c r="R13" s="915">
        <f>92-4</f>
        <v>88</v>
      </c>
      <c r="S13" s="359">
        <f t="shared" si="3"/>
        <v>1100</v>
      </c>
      <c r="T13" s="756"/>
      <c r="U13" s="597">
        <f t="shared" si="1"/>
        <v>0</v>
      </c>
      <c r="V13" s="180">
        <f t="shared" si="2"/>
        <v>91.666666666666671</v>
      </c>
      <c r="W13" s="180">
        <f>+U13/12</f>
        <v>0</v>
      </c>
      <c r="Y13" s="769"/>
      <c r="Z13" s="769"/>
      <c r="AA13" s="769"/>
      <c r="AB13" s="769"/>
      <c r="AC13" s="769"/>
      <c r="AD13" s="769"/>
      <c r="AE13" s="769"/>
      <c r="AF13" s="774"/>
    </row>
    <row r="14" spans="1:32">
      <c r="A14" s="362" t="s">
        <v>13</v>
      </c>
      <c r="B14" s="361" t="s">
        <v>534</v>
      </c>
      <c r="C14" s="1356">
        <f>+'1.mell._Össz_Mérleg2020'!C72</f>
        <v>2876249</v>
      </c>
      <c r="D14" s="1356">
        <f>+'1.mell._Össz_Mérleg2020'!D72</f>
        <v>709830</v>
      </c>
      <c r="E14" s="1356">
        <f>+'1.mell._Össz_Mérleg2020'!E72</f>
        <v>0</v>
      </c>
      <c r="F14" s="358">
        <f>+'1.mell._Össz_Mérleg2020'!F72</f>
        <v>709830</v>
      </c>
      <c r="G14" s="914">
        <f>2876249-2166419</f>
        <v>709830</v>
      </c>
      <c r="H14" s="915"/>
      <c r="I14" s="915"/>
      <c r="J14" s="915"/>
      <c r="K14" s="915"/>
      <c r="L14" s="915"/>
      <c r="M14" s="915"/>
      <c r="N14" s="915"/>
      <c r="O14" s="915"/>
      <c r="P14" s="915"/>
      <c r="Q14" s="915"/>
      <c r="R14" s="916"/>
      <c r="S14" s="359">
        <f t="shared" si="3"/>
        <v>709830</v>
      </c>
      <c r="T14" s="756"/>
      <c r="U14" s="597">
        <f t="shared" si="1"/>
        <v>0</v>
      </c>
      <c r="V14" s="180">
        <f t="shared" si="2"/>
        <v>59152.5</v>
      </c>
      <c r="Y14" s="774"/>
      <c r="Z14" s="774"/>
      <c r="AA14" s="774"/>
      <c r="AB14" s="774"/>
      <c r="AC14" s="774"/>
      <c r="AD14" s="774"/>
      <c r="AE14" s="774"/>
      <c r="AF14" s="774"/>
    </row>
    <row r="15" spans="1:32" ht="12.75" thickBot="1">
      <c r="A15" s="362" t="s">
        <v>12</v>
      </c>
      <c r="B15" s="361" t="s">
        <v>535</v>
      </c>
      <c r="C15" s="1356">
        <f>+'1.mell._Össz_Mérleg2020'!C87</f>
        <v>10000</v>
      </c>
      <c r="D15" s="1356">
        <f>+'1.mell._Össz_Mérleg2020'!D87</f>
        <v>2654032</v>
      </c>
      <c r="E15" s="1356">
        <f>+'1.mell._Össz_Mérleg2020'!E87</f>
        <v>0</v>
      </c>
      <c r="F15" s="358">
        <f>+'1.mell._Össz_Mérleg2020'!F87</f>
        <v>2654032</v>
      </c>
      <c r="G15" s="914">
        <f>0+2644032</f>
        <v>2644032</v>
      </c>
      <c r="H15" s="915"/>
      <c r="I15" s="915"/>
      <c r="J15" s="915"/>
      <c r="K15" s="915"/>
      <c r="L15" s="915"/>
      <c r="M15" s="915"/>
      <c r="N15" s="915"/>
      <c r="O15" s="915">
        <v>10000</v>
      </c>
      <c r="P15" s="915"/>
      <c r="Q15" s="915"/>
      <c r="R15" s="916"/>
      <c r="S15" s="359">
        <f t="shared" si="3"/>
        <v>2654032</v>
      </c>
      <c r="T15" s="756"/>
      <c r="U15" s="597">
        <f t="shared" si="1"/>
        <v>0</v>
      </c>
      <c r="V15" s="180">
        <f t="shared" si="2"/>
        <v>221169.33333333334</v>
      </c>
      <c r="Y15" s="774"/>
      <c r="Z15" s="774"/>
      <c r="AA15" s="774"/>
      <c r="AB15" s="774"/>
      <c r="AC15" s="774"/>
      <c r="AD15" s="774"/>
      <c r="AE15" s="774"/>
      <c r="AF15" s="774"/>
    </row>
    <row r="16" spans="1:32" ht="12.75" thickBot="1">
      <c r="A16" s="377" t="s">
        <v>11</v>
      </c>
      <c r="B16" s="372" t="s">
        <v>525</v>
      </c>
      <c r="C16" s="378">
        <f>SUM(C7:C15)</f>
        <v>4553174</v>
      </c>
      <c r="D16" s="378">
        <f>SUM(D7:D15)</f>
        <v>5180736</v>
      </c>
      <c r="E16" s="378">
        <f>SUM(E7:E15)</f>
        <v>20604</v>
      </c>
      <c r="F16" s="372">
        <f>SUM(F7:F15)</f>
        <v>5201340</v>
      </c>
      <c r="G16" s="379">
        <f t="shared" ref="G16:S16" si="5">SUM(G7:G15)</f>
        <v>3457378</v>
      </c>
      <c r="H16" s="380">
        <f t="shared" si="5"/>
        <v>103516</v>
      </c>
      <c r="I16" s="380">
        <f t="shared" si="5"/>
        <v>276882</v>
      </c>
      <c r="J16" s="380">
        <f t="shared" si="5"/>
        <v>103516</v>
      </c>
      <c r="K16" s="380">
        <f t="shared" si="5"/>
        <v>121116</v>
      </c>
      <c r="L16" s="380">
        <f t="shared" si="5"/>
        <v>204265</v>
      </c>
      <c r="M16" s="380">
        <f t="shared" si="5"/>
        <v>103591</v>
      </c>
      <c r="N16" s="380">
        <f t="shared" si="5"/>
        <v>103516</v>
      </c>
      <c r="O16" s="380">
        <f t="shared" si="5"/>
        <v>264467</v>
      </c>
      <c r="P16" s="380">
        <f t="shared" si="5"/>
        <v>103516</v>
      </c>
      <c r="Q16" s="380">
        <f t="shared" si="5"/>
        <v>107616</v>
      </c>
      <c r="R16" s="372">
        <f t="shared" si="5"/>
        <v>251961</v>
      </c>
      <c r="S16" s="381">
        <f t="shared" si="5"/>
        <v>5201340</v>
      </c>
      <c r="T16" s="756"/>
      <c r="U16" s="597">
        <f>+F16-S16</f>
        <v>0</v>
      </c>
      <c r="Y16" s="774"/>
      <c r="Z16" s="774"/>
      <c r="AA16" s="774"/>
      <c r="AB16" s="774"/>
      <c r="AC16" s="774"/>
      <c r="AD16" s="774"/>
      <c r="AE16" s="774"/>
      <c r="AF16" s="774"/>
    </row>
    <row r="17" spans="1:32" ht="12.75" thickBot="1">
      <c r="A17" s="382"/>
      <c r="B17" s="1521" t="s">
        <v>526</v>
      </c>
      <c r="C17" s="1522"/>
      <c r="D17" s="1522"/>
      <c r="E17" s="1522"/>
      <c r="F17" s="1523"/>
      <c r="G17" s="1525"/>
      <c r="H17" s="1525"/>
      <c r="I17" s="1525"/>
      <c r="J17" s="1525"/>
      <c r="K17" s="1525"/>
      <c r="L17" s="1525"/>
      <c r="M17" s="1525"/>
      <c r="N17" s="1525"/>
      <c r="O17" s="1525"/>
      <c r="P17" s="1525"/>
      <c r="Q17" s="1525"/>
      <c r="R17" s="1525"/>
      <c r="S17" s="1524"/>
      <c r="T17" s="976"/>
      <c r="Y17" s="774"/>
      <c r="Z17" s="774"/>
      <c r="AA17" s="774"/>
      <c r="AB17" s="774"/>
      <c r="AC17" s="774"/>
      <c r="AD17" s="774"/>
      <c r="AE17" s="774"/>
      <c r="AF17" s="774"/>
    </row>
    <row r="18" spans="1:32">
      <c r="A18" s="366" t="s">
        <v>10</v>
      </c>
      <c r="B18" s="365" t="s">
        <v>445</v>
      </c>
      <c r="C18" s="1354">
        <f>+'1.mell._Össz_Mérleg2020'!C110</f>
        <v>715534</v>
      </c>
      <c r="D18" s="1354">
        <f>+'1.mell._Össz_Mérleg2020'!D110</f>
        <v>821897</v>
      </c>
      <c r="E18" s="1354">
        <f>+'1.mell._Össz_Mérleg2020'!E110</f>
        <v>5506</v>
      </c>
      <c r="F18" s="364">
        <f>+'1.mell._Össz_Mérleg2020'!F110</f>
        <v>827403</v>
      </c>
      <c r="G18" s="1033">
        <f>61325-1698+7149+1714+459</f>
        <v>68949</v>
      </c>
      <c r="H18" s="1034">
        <f>61325-1698+7149+1714+459</f>
        <v>68949</v>
      </c>
      <c r="I18" s="1034">
        <f t="shared" ref="I18:Q18" si="6">61325-1698+7149+1714+459</f>
        <v>68949</v>
      </c>
      <c r="J18" s="1034">
        <f t="shared" si="6"/>
        <v>68949</v>
      </c>
      <c r="K18" s="1034">
        <f t="shared" si="6"/>
        <v>68949</v>
      </c>
      <c r="L18" s="1034">
        <f t="shared" si="6"/>
        <v>68949</v>
      </c>
      <c r="M18" s="1034">
        <f t="shared" si="6"/>
        <v>68949</v>
      </c>
      <c r="N18" s="1034">
        <f t="shared" si="6"/>
        <v>68949</v>
      </c>
      <c r="O18" s="1034">
        <f t="shared" si="6"/>
        <v>68949</v>
      </c>
      <c r="P18" s="1034">
        <f t="shared" si="6"/>
        <v>68949</v>
      </c>
      <c r="Q18" s="1034">
        <f t="shared" si="6"/>
        <v>68949</v>
      </c>
      <c r="R18" s="1034">
        <f>61325-1698+7149+1714+459+15</f>
        <v>68964</v>
      </c>
      <c r="S18" s="363">
        <f t="shared" ref="S18:S27" si="7">SUM(G18:R18)</f>
        <v>827403</v>
      </c>
      <c r="T18" s="756"/>
      <c r="U18" s="597">
        <f>+F18-S18</f>
        <v>0</v>
      </c>
      <c r="V18" s="180">
        <f>+F18/12</f>
        <v>68950.25</v>
      </c>
      <c r="W18" s="180">
        <f>+U18/12</f>
        <v>0</v>
      </c>
      <c r="Z18" s="774"/>
      <c r="AA18" s="774"/>
      <c r="AB18" s="774"/>
      <c r="AC18" s="774"/>
      <c r="AD18" s="774"/>
      <c r="AE18" s="774"/>
    </row>
    <row r="19" spans="1:32">
      <c r="A19" s="362" t="s">
        <v>9</v>
      </c>
      <c r="B19" s="361" t="s">
        <v>446</v>
      </c>
      <c r="C19" s="1356">
        <f>+'1.mell._Össz_Mérleg2020'!C114</f>
        <v>130817</v>
      </c>
      <c r="D19" s="1356">
        <f>+'1.mell._Össz_Mérleg2020'!D114</f>
        <v>142723</v>
      </c>
      <c r="E19" s="1356">
        <f>+'1.mell._Össz_Mérleg2020'!E114</f>
        <v>818</v>
      </c>
      <c r="F19" s="358">
        <f>+'1.mell._Össz_Mérleg2020'!F114</f>
        <v>143541</v>
      </c>
      <c r="G19" s="914">
        <f>11179-278+750+242+68</f>
        <v>11961</v>
      </c>
      <c r="H19" s="915">
        <f>11179-278+750+242+68</f>
        <v>11961</v>
      </c>
      <c r="I19" s="915">
        <f t="shared" ref="I19:Q19" si="8">11179-278+750+242+68</f>
        <v>11961</v>
      </c>
      <c r="J19" s="915">
        <f t="shared" si="8"/>
        <v>11961</v>
      </c>
      <c r="K19" s="915">
        <f t="shared" si="8"/>
        <v>11961</v>
      </c>
      <c r="L19" s="915">
        <f t="shared" si="8"/>
        <v>11961</v>
      </c>
      <c r="M19" s="915">
        <f t="shared" si="8"/>
        <v>11961</v>
      </c>
      <c r="N19" s="915">
        <f t="shared" si="8"/>
        <v>11961</v>
      </c>
      <c r="O19" s="915">
        <f t="shared" si="8"/>
        <v>11961</v>
      </c>
      <c r="P19" s="915">
        <f t="shared" si="8"/>
        <v>11961</v>
      </c>
      <c r="Q19" s="915">
        <f t="shared" si="8"/>
        <v>11961</v>
      </c>
      <c r="R19" s="915">
        <f>11179-278+750+242+68+9</f>
        <v>11970</v>
      </c>
      <c r="S19" s="359">
        <f t="shared" si="7"/>
        <v>143541</v>
      </c>
      <c r="T19" s="756"/>
      <c r="U19" s="597">
        <f t="shared" ref="U19:U30" si="9">+F19-S19</f>
        <v>0</v>
      </c>
      <c r="V19" s="180">
        <f t="shared" ref="V19:V27" si="10">+F19/12</f>
        <v>11961.75</v>
      </c>
      <c r="W19" s="180">
        <f>+U19/12</f>
        <v>0</v>
      </c>
    </row>
    <row r="20" spans="1:32">
      <c r="A20" s="362" t="s">
        <v>45</v>
      </c>
      <c r="B20" s="361" t="s">
        <v>447</v>
      </c>
      <c r="C20" s="1356">
        <f>+'1.mell._Össz_Mérleg2020'!C116</f>
        <v>401997</v>
      </c>
      <c r="D20" s="1356">
        <f>+'1.mell._Össz_Mérleg2020'!D116</f>
        <v>394387</v>
      </c>
      <c r="E20" s="1356">
        <f>+'1.mell._Össz_Mérleg2020'!E116</f>
        <v>13320</v>
      </c>
      <c r="F20" s="358">
        <f>+'1.mell._Össz_Mérleg2020'!F116</f>
        <v>407707</v>
      </c>
      <c r="G20" s="914">
        <f>35910-2410-800+167+1110</f>
        <v>33977</v>
      </c>
      <c r="H20" s="915">
        <f t="shared" ref="H20:Q20" si="11">35910-2410-800+167+1110</f>
        <v>33977</v>
      </c>
      <c r="I20" s="915">
        <f t="shared" si="11"/>
        <v>33977</v>
      </c>
      <c r="J20" s="915">
        <f t="shared" si="11"/>
        <v>33977</v>
      </c>
      <c r="K20" s="915">
        <f t="shared" si="11"/>
        <v>33977</v>
      </c>
      <c r="L20" s="915">
        <f t="shared" si="11"/>
        <v>33977</v>
      </c>
      <c r="M20" s="915">
        <f t="shared" si="11"/>
        <v>33977</v>
      </c>
      <c r="N20" s="915">
        <f t="shared" si="11"/>
        <v>33977</v>
      </c>
      <c r="O20" s="915">
        <f t="shared" si="11"/>
        <v>33977</v>
      </c>
      <c r="P20" s="915">
        <f t="shared" si="11"/>
        <v>33977</v>
      </c>
      <c r="Q20" s="915">
        <f t="shared" si="11"/>
        <v>33977</v>
      </c>
      <c r="R20" s="915">
        <f>35910-2410-800+167+1110-17</f>
        <v>33960</v>
      </c>
      <c r="S20" s="359">
        <f t="shared" si="7"/>
        <v>407707</v>
      </c>
      <c r="T20" s="756"/>
      <c r="U20" s="597">
        <f t="shared" si="9"/>
        <v>0</v>
      </c>
      <c r="V20" s="180">
        <f t="shared" si="10"/>
        <v>33975.583333333336</v>
      </c>
      <c r="W20" s="180">
        <f>+U20/12</f>
        <v>0</v>
      </c>
    </row>
    <row r="21" spans="1:32">
      <c r="A21" s="362" t="s">
        <v>44</v>
      </c>
      <c r="B21" s="361" t="s">
        <v>448</v>
      </c>
      <c r="C21" s="1356">
        <f>+'1.mell._Össz_Mérleg2020'!C123</f>
        <v>52779</v>
      </c>
      <c r="D21" s="1356">
        <f>+'1.mell._Össz_Mérleg2020'!D123</f>
        <v>52779</v>
      </c>
      <c r="E21" s="1356">
        <f>+'1.mell._Össz_Mérleg2020'!E123</f>
        <v>0</v>
      </c>
      <c r="F21" s="358">
        <f>+'1.mell._Össz_Mérleg2020'!F123</f>
        <v>52779</v>
      </c>
      <c r="G21" s="914">
        <v>4398</v>
      </c>
      <c r="H21" s="915">
        <v>4398</v>
      </c>
      <c r="I21" s="915">
        <v>4398</v>
      </c>
      <c r="J21" s="915">
        <v>4398</v>
      </c>
      <c r="K21" s="915">
        <v>4398</v>
      </c>
      <c r="L21" s="915">
        <v>4398</v>
      </c>
      <c r="M21" s="915">
        <v>4398</v>
      </c>
      <c r="N21" s="915">
        <v>4398</v>
      </c>
      <c r="O21" s="915">
        <v>4398</v>
      </c>
      <c r="P21" s="915">
        <v>4398</v>
      </c>
      <c r="Q21" s="915">
        <v>4398</v>
      </c>
      <c r="R21" s="915">
        <f>4398+3</f>
        <v>4401</v>
      </c>
      <c r="S21" s="359">
        <f t="shared" si="7"/>
        <v>52779</v>
      </c>
      <c r="T21" s="756"/>
      <c r="U21" s="597">
        <f t="shared" si="9"/>
        <v>0</v>
      </c>
      <c r="V21" s="180">
        <f t="shared" si="10"/>
        <v>4398.25</v>
      </c>
      <c r="W21" s="180">
        <f>+U21/12</f>
        <v>0</v>
      </c>
    </row>
    <row r="22" spans="1:32">
      <c r="A22" s="362" t="s">
        <v>43</v>
      </c>
      <c r="B22" s="361" t="s">
        <v>449</v>
      </c>
      <c r="C22" s="1356">
        <f>+'1.mell._Össz_Mérleg2020'!C132</f>
        <v>2717621</v>
      </c>
      <c r="D22" s="1356">
        <f>+'1.mell._Össz_Mérleg2020'!D132</f>
        <v>3213524</v>
      </c>
      <c r="E22" s="1356">
        <f>+'1.mell._Össz_Mérleg2020'!E132</f>
        <v>-34740</v>
      </c>
      <c r="F22" s="358">
        <f>+'1.mell._Össz_Mérleg2020'!F132</f>
        <v>3178784</v>
      </c>
      <c r="G22" s="915"/>
      <c r="H22" s="915"/>
      <c r="I22" s="915">
        <f>677889+1516-2390+126366-8685</f>
        <v>794696</v>
      </c>
      <c r="J22" s="915"/>
      <c r="K22" s="915"/>
      <c r="L22" s="915">
        <f>677889+1516-2390+126366-8685</f>
        <v>794696</v>
      </c>
      <c r="M22" s="915"/>
      <c r="N22" s="915"/>
      <c r="O22" s="915">
        <f>677889+1516-2390+126366-8685</f>
        <v>794696</v>
      </c>
      <c r="P22" s="915"/>
      <c r="Q22" s="915"/>
      <c r="R22" s="915">
        <f>677889+1516-2390+126366-8685</f>
        <v>794696</v>
      </c>
      <c r="S22" s="359">
        <f t="shared" si="7"/>
        <v>3178784</v>
      </c>
      <c r="T22" s="756"/>
      <c r="U22" s="597">
        <f t="shared" si="9"/>
        <v>0</v>
      </c>
      <c r="V22" s="180">
        <f t="shared" si="10"/>
        <v>264898.66666666669</v>
      </c>
      <c r="W22" s="180">
        <f>+U22/12</f>
        <v>0</v>
      </c>
      <c r="X22" s="180">
        <f>+U22/4</f>
        <v>0</v>
      </c>
    </row>
    <row r="23" spans="1:32">
      <c r="A23" s="362" t="s">
        <v>40</v>
      </c>
      <c r="B23" s="361" t="s">
        <v>450</v>
      </c>
      <c r="C23" s="1356">
        <f>+'1.mell._Össz_Mérleg2020'!C150</f>
        <v>436722</v>
      </c>
      <c r="D23" s="1356">
        <f>+'1.mell._Össz_Mérleg2020'!D150</f>
        <v>463722</v>
      </c>
      <c r="E23" s="1356">
        <f>+'1.mell._Össz_Mérleg2020'!E150</f>
        <v>16538</v>
      </c>
      <c r="F23" s="358">
        <f>+'1.mell._Össz_Mérleg2020'!F150</f>
        <v>480260</v>
      </c>
      <c r="G23" s="914"/>
      <c r="H23" s="915"/>
      <c r="I23" s="915">
        <f>110987-1806+2000+4750+4135</f>
        <v>120066</v>
      </c>
      <c r="J23" s="915"/>
      <c r="K23" s="915"/>
      <c r="L23" s="915">
        <f>110987-1806+2000+4750+4135</f>
        <v>120066</v>
      </c>
      <c r="M23" s="915"/>
      <c r="N23" s="915"/>
      <c r="O23" s="915">
        <f>110987-1806+2000+4750+4135</f>
        <v>120066</v>
      </c>
      <c r="P23" s="915"/>
      <c r="Q23" s="915"/>
      <c r="R23" s="915">
        <f>110987-1806+2000+4750+4135-4</f>
        <v>120062</v>
      </c>
      <c r="S23" s="359">
        <f t="shared" si="7"/>
        <v>480260</v>
      </c>
      <c r="T23" s="756"/>
      <c r="U23" s="597">
        <f t="shared" si="9"/>
        <v>0</v>
      </c>
      <c r="V23" s="180">
        <f t="shared" si="10"/>
        <v>40021.666666666664</v>
      </c>
      <c r="W23" s="180">
        <f>+U23/4</f>
        <v>0</v>
      </c>
    </row>
    <row r="24" spans="1:32">
      <c r="A24" s="362" t="s">
        <v>39</v>
      </c>
      <c r="B24" s="361" t="s">
        <v>451</v>
      </c>
      <c r="C24" s="1356">
        <f>+'1.mell._Össz_Mérleg2020'!C159</f>
        <v>67258</v>
      </c>
      <c r="D24" s="1356">
        <f>+'1.mell._Össz_Mérleg2020'!D159</f>
        <v>61258</v>
      </c>
      <c r="E24" s="1356">
        <f>+'1.mell._Össz_Mérleg2020'!E159</f>
        <v>0</v>
      </c>
      <c r="F24" s="358">
        <f>+'1.mell._Össz_Mérleg2020'!F159</f>
        <v>61258</v>
      </c>
      <c r="G24" s="914"/>
      <c r="H24" s="915"/>
      <c r="I24" s="915">
        <f>16814-1500</f>
        <v>15314</v>
      </c>
      <c r="J24" s="915"/>
      <c r="K24" s="915"/>
      <c r="L24" s="915">
        <f>16814-1500</f>
        <v>15314</v>
      </c>
      <c r="M24" s="915"/>
      <c r="N24" s="915"/>
      <c r="O24" s="915">
        <f>16814-1500</f>
        <v>15314</v>
      </c>
      <c r="P24" s="915"/>
      <c r="Q24" s="915"/>
      <c r="R24" s="915">
        <f>16814-1500+2</f>
        <v>15316</v>
      </c>
      <c r="S24" s="359">
        <f t="shared" si="7"/>
        <v>61258</v>
      </c>
      <c r="T24" s="756"/>
      <c r="U24" s="597">
        <f t="shared" si="9"/>
        <v>0</v>
      </c>
      <c r="V24" s="180">
        <f t="shared" si="10"/>
        <v>5104.833333333333</v>
      </c>
      <c r="W24" s="180">
        <f>+U24/4</f>
        <v>0</v>
      </c>
    </row>
    <row r="25" spans="1:32">
      <c r="A25" s="362" t="s">
        <v>38</v>
      </c>
      <c r="B25" s="361" t="s">
        <v>452</v>
      </c>
      <c r="C25" s="1356">
        <f>+'1.mell._Össz_Mérleg2020'!C165</f>
        <v>0</v>
      </c>
      <c r="D25" s="1356">
        <f>+'1.mell._Össz_Mérleg2020'!D165</f>
        <v>0</v>
      </c>
      <c r="E25" s="1356">
        <f>+'1.mell._Össz_Mérleg2020'!E165</f>
        <v>19162</v>
      </c>
      <c r="F25" s="358">
        <f>+'1.mell._Össz_Mérleg2020'!F165</f>
        <v>19162</v>
      </c>
      <c r="G25" s="914"/>
      <c r="H25" s="915"/>
      <c r="I25" s="915"/>
      <c r="J25" s="915"/>
      <c r="K25" s="915"/>
      <c r="L25" s="915"/>
      <c r="M25" s="915"/>
      <c r="N25" s="915"/>
      <c r="O25" s="915"/>
      <c r="P25" s="915"/>
      <c r="Q25" s="915"/>
      <c r="R25" s="916">
        <v>19162</v>
      </c>
      <c r="S25" s="359">
        <f t="shared" si="7"/>
        <v>19162</v>
      </c>
      <c r="T25" s="756"/>
      <c r="U25" s="597">
        <f t="shared" si="9"/>
        <v>0</v>
      </c>
      <c r="V25" s="180">
        <f t="shared" si="10"/>
        <v>1596.8333333333333</v>
      </c>
    </row>
    <row r="26" spans="1:32">
      <c r="A26" s="362" t="s">
        <v>36</v>
      </c>
      <c r="B26" s="361" t="s">
        <v>536</v>
      </c>
      <c r="C26" s="1356">
        <f>+'1.mell._Össz_Mérleg2020'!C178</f>
        <v>30446</v>
      </c>
      <c r="D26" s="1356">
        <f>+'1.mell._Össz_Mérleg2020'!D178</f>
        <v>30446</v>
      </c>
      <c r="E26" s="1356">
        <f>+'1.mell._Össz_Mérleg2020'!E178</f>
        <v>0</v>
      </c>
      <c r="F26" s="358">
        <f>+'1.mell._Össz_Mérleg2020'!F178</f>
        <v>30446</v>
      </c>
      <c r="G26" s="914">
        <v>30446</v>
      </c>
      <c r="H26" s="915"/>
      <c r="I26" s="915"/>
      <c r="J26" s="915"/>
      <c r="K26" s="915"/>
      <c r="L26" s="915"/>
      <c r="M26" s="915"/>
      <c r="N26" s="915"/>
      <c r="O26" s="915"/>
      <c r="P26" s="915"/>
      <c r="Q26" s="915"/>
      <c r="R26" s="916"/>
      <c r="S26" s="359">
        <f t="shared" si="7"/>
        <v>30446</v>
      </c>
      <c r="T26" s="756"/>
      <c r="U26" s="597">
        <f t="shared" si="9"/>
        <v>0</v>
      </c>
      <c r="V26" s="180">
        <f t="shared" si="10"/>
        <v>2537.1666666666665</v>
      </c>
    </row>
    <row r="27" spans="1:32" ht="12.75" thickBot="1">
      <c r="A27" s="392" t="s">
        <v>35</v>
      </c>
      <c r="B27" s="393" t="s">
        <v>537</v>
      </c>
      <c r="C27" s="1357">
        <f>+'1.mell._Össz_Mérleg2020'!C193</f>
        <v>0</v>
      </c>
      <c r="D27" s="1357">
        <f>+'1.mell._Össz_Mérleg2020'!D193</f>
        <v>0</v>
      </c>
      <c r="E27" s="1357">
        <f>+'1.mell._Össz_Mérleg2020'!E193</f>
        <v>0</v>
      </c>
      <c r="F27" s="357">
        <f>+'1.mell._Össz_Mérleg2020'!F193</f>
        <v>0</v>
      </c>
      <c r="G27" s="1035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7"/>
      <c r="S27" s="786">
        <f t="shared" si="7"/>
        <v>0</v>
      </c>
      <c r="T27" s="756"/>
      <c r="U27" s="597">
        <f t="shared" si="9"/>
        <v>0</v>
      </c>
      <c r="V27" s="180">
        <f t="shared" si="10"/>
        <v>0</v>
      </c>
    </row>
    <row r="28" spans="1:32" ht="12.75" thickBot="1">
      <c r="A28" s="377" t="s">
        <v>34</v>
      </c>
      <c r="B28" s="372" t="s">
        <v>527</v>
      </c>
      <c r="C28" s="378">
        <f>SUM(C18:C27)</f>
        <v>4553174</v>
      </c>
      <c r="D28" s="378">
        <f>SUM(D18:D27)</f>
        <v>5180736</v>
      </c>
      <c r="E28" s="378">
        <f>SUM(E18:E27)</f>
        <v>20604</v>
      </c>
      <c r="F28" s="372">
        <f>SUM(F18:F27)</f>
        <v>5201340</v>
      </c>
      <c r="G28" s="380">
        <f t="shared" ref="G28:S28" si="12">SUM(G18:G27)</f>
        <v>149731</v>
      </c>
      <c r="H28" s="380">
        <f t="shared" si="12"/>
        <v>119285</v>
      </c>
      <c r="I28" s="380">
        <f t="shared" si="12"/>
        <v>1049361</v>
      </c>
      <c r="J28" s="380">
        <f t="shared" si="12"/>
        <v>119285</v>
      </c>
      <c r="K28" s="380">
        <f t="shared" si="12"/>
        <v>119285</v>
      </c>
      <c r="L28" s="380">
        <f t="shared" si="12"/>
        <v>1049361</v>
      </c>
      <c r="M28" s="380">
        <f t="shared" si="12"/>
        <v>119285</v>
      </c>
      <c r="N28" s="380">
        <f t="shared" si="12"/>
        <v>119285</v>
      </c>
      <c r="O28" s="380">
        <f t="shared" si="12"/>
        <v>1049361</v>
      </c>
      <c r="P28" s="380">
        <f t="shared" si="12"/>
        <v>119285</v>
      </c>
      <c r="Q28" s="380">
        <f t="shared" si="12"/>
        <v>119285</v>
      </c>
      <c r="R28" s="378">
        <f t="shared" si="12"/>
        <v>1068531</v>
      </c>
      <c r="S28" s="383">
        <f t="shared" si="12"/>
        <v>5201340</v>
      </c>
      <c r="T28" s="756"/>
      <c r="U28" s="597">
        <f t="shared" si="9"/>
        <v>0</v>
      </c>
    </row>
    <row r="29" spans="1:32" ht="12.75" thickBot="1">
      <c r="A29" s="384" t="s">
        <v>33</v>
      </c>
      <c r="B29" s="373" t="s">
        <v>538</v>
      </c>
      <c r="C29" s="385">
        <f>+C16-C28</f>
        <v>0</v>
      </c>
      <c r="D29" s="385">
        <f>+D16-D28</f>
        <v>0</v>
      </c>
      <c r="E29" s="385">
        <f>+E16-E28</f>
        <v>0</v>
      </c>
      <c r="F29" s="386">
        <f>+F16-F28</f>
        <v>0</v>
      </c>
      <c r="G29" s="387">
        <f t="shared" ref="G29:S29" si="13">+G16-G28</f>
        <v>3307647</v>
      </c>
      <c r="H29" s="387">
        <f t="shared" si="13"/>
        <v>-15769</v>
      </c>
      <c r="I29" s="387">
        <f t="shared" si="13"/>
        <v>-772479</v>
      </c>
      <c r="J29" s="387">
        <f t="shared" si="13"/>
        <v>-15769</v>
      </c>
      <c r="K29" s="387">
        <f t="shared" si="13"/>
        <v>1831</v>
      </c>
      <c r="L29" s="387">
        <f t="shared" si="13"/>
        <v>-845096</v>
      </c>
      <c r="M29" s="387">
        <f t="shared" si="13"/>
        <v>-15694</v>
      </c>
      <c r="N29" s="387">
        <f t="shared" si="13"/>
        <v>-15769</v>
      </c>
      <c r="O29" s="387">
        <f t="shared" si="13"/>
        <v>-784894</v>
      </c>
      <c r="P29" s="387">
        <f t="shared" si="13"/>
        <v>-15769</v>
      </c>
      <c r="Q29" s="387">
        <f t="shared" si="13"/>
        <v>-11669</v>
      </c>
      <c r="R29" s="385">
        <f t="shared" si="13"/>
        <v>-816570</v>
      </c>
      <c r="S29" s="388">
        <f t="shared" si="13"/>
        <v>0</v>
      </c>
      <c r="T29" s="757"/>
      <c r="U29" s="597">
        <f t="shared" si="9"/>
        <v>0</v>
      </c>
    </row>
    <row r="30" spans="1:32" ht="12.75" thickBot="1">
      <c r="A30" s="384" t="s">
        <v>32</v>
      </c>
      <c r="B30" s="373" t="s">
        <v>539</v>
      </c>
      <c r="C30" s="385">
        <f>+C29</f>
        <v>0</v>
      </c>
      <c r="D30" s="385">
        <f>+D29</f>
        <v>0</v>
      </c>
      <c r="E30" s="385">
        <f>+E29</f>
        <v>0</v>
      </c>
      <c r="F30" s="386">
        <f>+F29</f>
        <v>0</v>
      </c>
      <c r="G30" s="387">
        <f>+G29</f>
        <v>3307647</v>
      </c>
      <c r="H30" s="387">
        <f>+G30+H29</f>
        <v>3291878</v>
      </c>
      <c r="I30" s="387">
        <f t="shared" ref="I30:R30" si="14">+H30+I29</f>
        <v>2519399</v>
      </c>
      <c r="J30" s="387">
        <f t="shared" si="14"/>
        <v>2503630</v>
      </c>
      <c r="K30" s="387">
        <f t="shared" si="14"/>
        <v>2505461</v>
      </c>
      <c r="L30" s="387">
        <f t="shared" si="14"/>
        <v>1660365</v>
      </c>
      <c r="M30" s="387">
        <f t="shared" si="14"/>
        <v>1644671</v>
      </c>
      <c r="N30" s="387">
        <f t="shared" si="14"/>
        <v>1628902</v>
      </c>
      <c r="O30" s="387">
        <f t="shared" si="14"/>
        <v>844008</v>
      </c>
      <c r="P30" s="387">
        <f t="shared" si="14"/>
        <v>828239</v>
      </c>
      <c r="Q30" s="387">
        <f t="shared" si="14"/>
        <v>816570</v>
      </c>
      <c r="R30" s="385">
        <f t="shared" si="14"/>
        <v>0</v>
      </c>
      <c r="S30" s="388">
        <f>+S29</f>
        <v>0</v>
      </c>
      <c r="T30" s="757"/>
      <c r="U30" s="597">
        <f t="shared" si="9"/>
        <v>0</v>
      </c>
    </row>
    <row r="31" spans="1:32">
      <c r="A31" s="142"/>
      <c r="B31" s="142"/>
      <c r="C31" s="142"/>
      <c r="D31" s="142"/>
      <c r="E31" s="142"/>
      <c r="F31" s="142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142"/>
      <c r="T31" s="142"/>
    </row>
    <row r="32" spans="1:3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390"/>
      <c r="O32" s="390"/>
      <c r="P32" s="142"/>
      <c r="Q32" s="142"/>
      <c r="R32" s="142"/>
      <c r="S32" s="142"/>
      <c r="T32" s="142"/>
    </row>
    <row r="33" spans="1:20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390"/>
      <c r="O33" s="390"/>
      <c r="P33" s="142"/>
      <c r="Q33" s="142"/>
      <c r="R33" s="142"/>
      <c r="S33" s="142"/>
      <c r="T33" s="142"/>
    </row>
    <row r="34" spans="1:20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390"/>
      <c r="O34" s="390"/>
      <c r="P34" s="142"/>
      <c r="Q34" s="142"/>
      <c r="R34" s="142"/>
      <c r="S34" s="142"/>
      <c r="T34" s="142"/>
    </row>
    <row r="35" spans="1:20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390"/>
      <c r="O35" s="390"/>
      <c r="P35" s="142"/>
      <c r="Q35" s="142"/>
      <c r="R35" s="142"/>
      <c r="S35" s="142"/>
      <c r="T35" s="142"/>
    </row>
    <row r="36" spans="1:20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390"/>
      <c r="O36" s="390"/>
      <c r="P36" s="142"/>
      <c r="Q36" s="142"/>
      <c r="R36" s="142"/>
      <c r="S36" s="142"/>
      <c r="T36" s="142"/>
    </row>
    <row r="37" spans="1:20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390"/>
      <c r="O37" s="390"/>
      <c r="P37" s="142"/>
      <c r="Q37" s="142"/>
      <c r="R37" s="142"/>
      <c r="S37" s="142"/>
      <c r="T37" s="142"/>
    </row>
    <row r="38" spans="1:20">
      <c r="G38" s="142"/>
      <c r="H38" s="142"/>
      <c r="I38" s="142"/>
      <c r="J38" s="142"/>
      <c r="K38" s="142"/>
      <c r="L38" s="142"/>
      <c r="M38" s="142"/>
      <c r="N38" s="390"/>
      <c r="O38" s="390"/>
    </row>
    <row r="39" spans="1:20">
      <c r="G39" s="389"/>
      <c r="H39" s="389"/>
      <c r="I39" s="389"/>
      <c r="J39" s="389"/>
      <c r="K39" s="389"/>
      <c r="L39" s="389"/>
      <c r="M39" s="389"/>
      <c r="N39" s="390"/>
      <c r="O39" s="390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8" width="9.28515625" style="4" customWidth="1"/>
    <col min="9" max="9" width="9.140625" style="4"/>
    <col min="10" max="12" width="9.140625" style="4" customWidth="1"/>
    <col min="13" max="16384" width="9.140625" style="4"/>
  </cols>
  <sheetData>
    <row r="1" spans="1:31" s="50" customFormat="1" ht="15.75">
      <c r="E1" s="51"/>
      <c r="F1" s="51"/>
      <c r="G1" s="51"/>
      <c r="H1" s="51" t="s">
        <v>428</v>
      </c>
    </row>
    <row r="2" spans="1:31" s="50" customFormat="1" ht="15.75"/>
    <row r="3" spans="1:31" s="52" customFormat="1" ht="15.75">
      <c r="A3" s="1448" t="s">
        <v>330</v>
      </c>
      <c r="B3" s="1448"/>
      <c r="C3" s="1448"/>
      <c r="D3" s="1448"/>
      <c r="E3" s="1448"/>
      <c r="F3" s="1448"/>
      <c r="G3" s="1448"/>
      <c r="H3" s="1448"/>
    </row>
    <row r="4" spans="1:31" s="52" customFormat="1" ht="15.75">
      <c r="A4" s="1448" t="s">
        <v>1428</v>
      </c>
      <c r="B4" s="1448"/>
      <c r="C4" s="1448"/>
      <c r="D4" s="1448"/>
      <c r="E4" s="1448"/>
      <c r="F4" s="1448"/>
      <c r="G4" s="1448"/>
      <c r="H4" s="1448"/>
    </row>
    <row r="5" spans="1:31" s="50" customFormat="1" ht="15.75">
      <c r="A5" s="1526" t="s">
        <v>540</v>
      </c>
      <c r="B5" s="1526"/>
      <c r="C5" s="1526"/>
      <c r="D5" s="1526"/>
      <c r="E5" s="1526"/>
      <c r="F5" s="1526"/>
      <c r="G5" s="1526"/>
      <c r="H5" s="1526"/>
      <c r="I5" s="406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</row>
    <row r="6" spans="1:3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</row>
    <row r="7" spans="1:31" s="36" customFormat="1" ht="12.75" thickBot="1">
      <c r="A7" s="38" t="s">
        <v>279</v>
      </c>
      <c r="E7" s="37"/>
      <c r="F7" s="37"/>
      <c r="G7" s="37"/>
      <c r="H7" s="37" t="s">
        <v>280</v>
      </c>
    </row>
    <row r="8" spans="1:31" s="8" customFormat="1" ht="54" customHeight="1" thickBot="1">
      <c r="A8" s="79" t="s">
        <v>17</v>
      </c>
      <c r="B8" s="80" t="s">
        <v>327</v>
      </c>
      <c r="C8" s="405" t="s">
        <v>1444</v>
      </c>
      <c r="D8" s="7" t="s">
        <v>1443</v>
      </c>
      <c r="E8" s="1165" t="s">
        <v>1586</v>
      </c>
      <c r="F8" s="6" t="s">
        <v>1587</v>
      </c>
      <c r="G8" s="6" t="s">
        <v>1658</v>
      </c>
      <c r="H8" s="7" t="s">
        <v>1659</v>
      </c>
    </row>
    <row r="9" spans="1:31" s="3" customFormat="1" ht="13.5" customHeight="1" thickBot="1">
      <c r="A9" s="83" t="s">
        <v>252</v>
      </c>
      <c r="B9" s="859" t="s">
        <v>253</v>
      </c>
      <c r="C9" s="970" t="s">
        <v>254</v>
      </c>
      <c r="D9" s="969" t="s">
        <v>360</v>
      </c>
      <c r="E9" s="1450" t="s">
        <v>361</v>
      </c>
      <c r="F9" s="1451"/>
      <c r="G9" s="1451"/>
      <c r="H9" s="1452"/>
    </row>
    <row r="10" spans="1:31" s="3" customFormat="1" ht="12.75" thickBot="1">
      <c r="A10" s="95" t="s">
        <v>4</v>
      </c>
      <c r="B10" s="63" t="s">
        <v>296</v>
      </c>
      <c r="C10" s="407">
        <f t="shared" ref="C10:H10" si="0">+C11+C25+C32+C44</f>
        <v>2076943</v>
      </c>
      <c r="D10" s="130">
        <f t="shared" si="0"/>
        <v>2037974</v>
      </c>
      <c r="E10" s="30">
        <f t="shared" si="0"/>
        <v>1593199</v>
      </c>
      <c r="F10" s="1369">
        <f t="shared" si="0"/>
        <v>1743148</v>
      </c>
      <c r="G10" s="1369">
        <f t="shared" si="0"/>
        <v>20604</v>
      </c>
      <c r="H10" s="33">
        <f t="shared" si="0"/>
        <v>1763752</v>
      </c>
    </row>
    <row r="11" spans="1:31" s="3" customFormat="1" ht="12.75" customHeight="1" thickBot="1">
      <c r="A11" s="83" t="s">
        <v>5</v>
      </c>
      <c r="B11" s="64" t="s">
        <v>297</v>
      </c>
      <c r="C11" s="129">
        <f t="shared" ref="C11:H11" si="1">+C12+C19+C20+C21+C22+C23</f>
        <v>1592229</v>
      </c>
      <c r="D11" s="29">
        <f t="shared" si="1"/>
        <v>1466167</v>
      </c>
      <c r="E11" s="1358">
        <f t="shared" si="1"/>
        <v>992226</v>
      </c>
      <c r="F11" s="1171">
        <f t="shared" si="1"/>
        <v>1185285</v>
      </c>
      <c r="G11" s="1171">
        <f t="shared" si="1"/>
        <v>20604</v>
      </c>
      <c r="H11" s="29">
        <f t="shared" si="1"/>
        <v>1205889</v>
      </c>
    </row>
    <row r="12" spans="1:31" s="3" customFormat="1">
      <c r="A12" s="84" t="s">
        <v>54</v>
      </c>
      <c r="B12" s="65" t="s">
        <v>298</v>
      </c>
      <c r="C12" s="404">
        <f t="shared" ref="C12:H12" si="2">+C13+C14+C15+C16+C17+C18</f>
        <v>789695</v>
      </c>
      <c r="D12" s="35">
        <f t="shared" si="2"/>
        <v>907273</v>
      </c>
      <c r="E12" s="1359">
        <f t="shared" si="2"/>
        <v>917056</v>
      </c>
      <c r="F12" s="1172">
        <f t="shared" si="2"/>
        <v>985221</v>
      </c>
      <c r="G12" s="1172">
        <f t="shared" si="2"/>
        <v>19935</v>
      </c>
      <c r="H12" s="35">
        <f t="shared" si="2"/>
        <v>1005156</v>
      </c>
    </row>
    <row r="13" spans="1:31" s="13" customFormat="1">
      <c r="A13" s="86" t="s">
        <v>189</v>
      </c>
      <c r="B13" s="66" t="s">
        <v>93</v>
      </c>
      <c r="C13" s="400">
        <v>231822</v>
      </c>
      <c r="D13" s="15">
        <v>226970</v>
      </c>
      <c r="E13" s="1360">
        <f>+'1.mell._Össz_Mérleg2020'!C13</f>
        <v>221585</v>
      </c>
      <c r="F13" s="1173">
        <f>+'1.mell._Össz_Mérleg2020'!D13</f>
        <v>222376</v>
      </c>
      <c r="G13" s="1173">
        <f>+'1.mell._Össz_Mérleg2020'!E13</f>
        <v>0</v>
      </c>
      <c r="H13" s="15">
        <f>+'1.mell._Össz_Mérleg2020'!F13</f>
        <v>222376</v>
      </c>
      <c r="I13" s="3"/>
      <c r="J13" s="3"/>
    </row>
    <row r="14" spans="1:31" s="13" customFormat="1">
      <c r="A14" s="86" t="s">
        <v>190</v>
      </c>
      <c r="B14" s="66" t="s">
        <v>94</v>
      </c>
      <c r="C14" s="400">
        <v>223149</v>
      </c>
      <c r="D14" s="15">
        <v>236248</v>
      </c>
      <c r="E14" s="1360">
        <f>+'1.mell._Össz_Mérleg2020'!C14</f>
        <v>238516</v>
      </c>
      <c r="F14" s="1173">
        <f>+'1.mell._Össz_Mérleg2020'!D14</f>
        <v>256541</v>
      </c>
      <c r="G14" s="1173">
        <f>+'1.mell._Össz_Mérleg2020'!E14</f>
        <v>2585</v>
      </c>
      <c r="H14" s="15">
        <f>+'1.mell._Össz_Mérleg2020'!F14</f>
        <v>259126</v>
      </c>
      <c r="I14" s="3"/>
      <c r="J14" s="3"/>
    </row>
    <row r="15" spans="1:31" s="13" customFormat="1">
      <c r="A15" s="86" t="s">
        <v>191</v>
      </c>
      <c r="B15" s="66" t="s">
        <v>95</v>
      </c>
      <c r="C15" s="400">
        <v>254533</v>
      </c>
      <c r="D15" s="15">
        <v>297362</v>
      </c>
      <c r="E15" s="1360">
        <f>+'1.mell._Össz_Mérleg2020'!C15</f>
        <v>287846</v>
      </c>
      <c r="F15" s="1173">
        <f>+'1.mell._Össz_Mérleg2020'!D15</f>
        <v>297828</v>
      </c>
      <c r="G15" s="1173">
        <f>+'1.mell._Össz_Mérleg2020'!E15</f>
        <v>11695</v>
      </c>
      <c r="H15" s="15">
        <f>+'1.mell._Össz_Mérleg2020'!F15</f>
        <v>309523</v>
      </c>
      <c r="I15" s="3"/>
      <c r="J15" s="3"/>
    </row>
    <row r="16" spans="1:31" s="13" customFormat="1">
      <c r="A16" s="86" t="s">
        <v>192</v>
      </c>
      <c r="B16" s="66" t="s">
        <v>96</v>
      </c>
      <c r="C16" s="400">
        <v>21839</v>
      </c>
      <c r="D16" s="15">
        <v>22593</v>
      </c>
      <c r="E16" s="1360">
        <f>+'1.mell._Össz_Mérleg2020'!C16</f>
        <v>13207</v>
      </c>
      <c r="F16" s="1173">
        <f>+'1.mell._Össz_Mérleg2020'!D16</f>
        <v>17747</v>
      </c>
      <c r="G16" s="1173">
        <f>+'1.mell._Össz_Mérleg2020'!E16</f>
        <v>0</v>
      </c>
      <c r="H16" s="15">
        <f>+'1.mell._Össz_Mérleg2020'!F16</f>
        <v>17747</v>
      </c>
      <c r="I16" s="3"/>
      <c r="J16" s="3"/>
    </row>
    <row r="17" spans="1:10" s="13" customFormat="1">
      <c r="A17" s="86" t="s">
        <v>193</v>
      </c>
      <c r="B17" s="66" t="s">
        <v>895</v>
      </c>
      <c r="C17" s="400">
        <v>58352</v>
      </c>
      <c r="D17" s="15">
        <f>124099+1</f>
        <v>124100</v>
      </c>
      <c r="E17" s="1360">
        <f>+'1.mell._Össz_Mérleg2020'!C17</f>
        <v>155902</v>
      </c>
      <c r="F17" s="1173">
        <f>+'1.mell._Össz_Mérleg2020'!D17</f>
        <v>190729</v>
      </c>
      <c r="G17" s="1173">
        <f>+'1.mell._Össz_Mérleg2020'!E17</f>
        <v>5655</v>
      </c>
      <c r="H17" s="15">
        <f>+'1.mell._Össz_Mérleg2020'!F17</f>
        <v>196384</v>
      </c>
      <c r="I17" s="3"/>
      <c r="J17" s="3"/>
    </row>
    <row r="18" spans="1:10" s="13" customFormat="1">
      <c r="A18" s="86" t="s">
        <v>194</v>
      </c>
      <c r="B18" s="66" t="s">
        <v>896</v>
      </c>
      <c r="C18" s="400"/>
      <c r="D18" s="15"/>
      <c r="E18" s="1360">
        <f>+'1.mell._Össz_Mérleg2020'!C18</f>
        <v>0</v>
      </c>
      <c r="F18" s="1173">
        <f>+'1.mell._Össz_Mérleg2020'!D18</f>
        <v>0</v>
      </c>
      <c r="G18" s="1173">
        <f>+'1.mell._Össz_Mérleg2020'!E18</f>
        <v>0</v>
      </c>
      <c r="H18" s="15">
        <f>+'1.mell._Össz_Mérleg2020'!F18</f>
        <v>0</v>
      </c>
      <c r="I18" s="3"/>
      <c r="J18" s="3"/>
    </row>
    <row r="19" spans="1:10">
      <c r="A19" s="85" t="s">
        <v>55</v>
      </c>
      <c r="B19" s="67" t="s">
        <v>97</v>
      </c>
      <c r="C19" s="402">
        <v>1543</v>
      </c>
      <c r="D19" s="16">
        <v>3007</v>
      </c>
      <c r="E19" s="1361">
        <f>+'1.mell._Össz_Mérleg2020'!C19</f>
        <v>8014</v>
      </c>
      <c r="F19" s="1174">
        <f>+'1.mell._Össz_Mérleg2020'!D19</f>
        <v>32148</v>
      </c>
      <c r="G19" s="1174">
        <f>+'1.mell._Össz_Mérleg2020'!E19</f>
        <v>0</v>
      </c>
      <c r="H19" s="16">
        <f>+'1.mell._Össz_Mérleg2020'!F19</f>
        <v>32148</v>
      </c>
      <c r="I19" s="3"/>
      <c r="J19" s="3"/>
    </row>
    <row r="20" spans="1:10">
      <c r="A20" s="85" t="s">
        <v>83</v>
      </c>
      <c r="B20" s="67" t="s">
        <v>98</v>
      </c>
      <c r="C20" s="402"/>
      <c r="D20" s="16"/>
      <c r="E20" s="1361">
        <f>+'1.mell._Össz_Mérleg2020'!C20</f>
        <v>0</v>
      </c>
      <c r="F20" s="1174">
        <f>+'1.mell._Össz_Mérleg2020'!D20</f>
        <v>0</v>
      </c>
      <c r="G20" s="1174">
        <f>+'1.mell._Össz_Mérleg2020'!E20</f>
        <v>0</v>
      </c>
      <c r="H20" s="16">
        <f>+'1.mell._Össz_Mérleg2020'!F20</f>
        <v>0</v>
      </c>
      <c r="I20" s="3"/>
      <c r="J20" s="3"/>
    </row>
    <row r="21" spans="1:10">
      <c r="A21" s="85" t="s">
        <v>84</v>
      </c>
      <c r="B21" s="67" t="s">
        <v>99</v>
      </c>
      <c r="C21" s="402"/>
      <c r="D21" s="16"/>
      <c r="E21" s="1361">
        <f>+'1.mell._Össz_Mérleg2020'!C21</f>
        <v>0</v>
      </c>
      <c r="F21" s="1174">
        <f>+'1.mell._Össz_Mérleg2020'!D21</f>
        <v>0</v>
      </c>
      <c r="G21" s="1174">
        <f>+'1.mell._Össz_Mérleg2020'!E21</f>
        <v>0</v>
      </c>
      <c r="H21" s="16">
        <f>+'1.mell._Össz_Mérleg2020'!F21</f>
        <v>0</v>
      </c>
      <c r="I21" s="3"/>
      <c r="J21" s="3"/>
    </row>
    <row r="22" spans="1:10">
      <c r="A22" s="85" t="s">
        <v>85</v>
      </c>
      <c r="B22" s="67" t="s">
        <v>100</v>
      </c>
      <c r="C22" s="402"/>
      <c r="D22" s="16"/>
      <c r="E22" s="1361">
        <f>+'1.mell._Össz_Mérleg2020'!C22</f>
        <v>0</v>
      </c>
      <c r="F22" s="1174">
        <f>+'1.mell._Össz_Mérleg2020'!D22</f>
        <v>0</v>
      </c>
      <c r="G22" s="1174">
        <f>+'1.mell._Össz_Mérleg2020'!E22</f>
        <v>0</v>
      </c>
      <c r="H22" s="16">
        <f>+'1.mell._Össz_Mérleg2020'!F22</f>
        <v>0</v>
      </c>
      <c r="I22" s="3"/>
      <c r="J22" s="3"/>
    </row>
    <row r="23" spans="1:10">
      <c r="A23" s="78" t="s">
        <v>86</v>
      </c>
      <c r="B23" s="68" t="s">
        <v>101</v>
      </c>
      <c r="C23" s="403">
        <v>800991</v>
      </c>
      <c r="D23" s="23">
        <v>555887</v>
      </c>
      <c r="E23" s="1362">
        <f>+'1.mell._Össz_Mérleg2020'!C23</f>
        <v>67156</v>
      </c>
      <c r="F23" s="1175">
        <f>+'1.mell._Össz_Mérleg2020'!D23</f>
        <v>167916</v>
      </c>
      <c r="G23" s="1175">
        <f>+'1.mell._Össz_Mérleg2020'!E23</f>
        <v>669</v>
      </c>
      <c r="H23" s="23">
        <f>+'1.mell._Össz_Mérleg2020'!F23</f>
        <v>168585</v>
      </c>
      <c r="I23" s="3"/>
      <c r="J23" s="3"/>
    </row>
    <row r="24" spans="1:10" s="13" customFormat="1" ht="12.75" thickBot="1">
      <c r="A24" s="89" t="s">
        <v>331</v>
      </c>
      <c r="B24" s="787" t="s">
        <v>332</v>
      </c>
      <c r="C24" s="1038">
        <v>564550</v>
      </c>
      <c r="D24" s="1039"/>
      <c r="E24" s="1363">
        <f>+'1.mell._Össz_Mérleg2020'!C24</f>
        <v>0</v>
      </c>
      <c r="F24" s="1176">
        <f>+'1.mell._Össz_Mérleg2020'!D24</f>
        <v>0</v>
      </c>
      <c r="G24" s="1176">
        <f>+'1.mell._Össz_Mérleg2020'!E24</f>
        <v>0</v>
      </c>
      <c r="H24" s="44">
        <f>+'1.mell._Össz_Mérleg2020'!F24</f>
        <v>0</v>
      </c>
      <c r="I24" s="3"/>
      <c r="J24" s="3"/>
    </row>
    <row r="25" spans="1:10" s="3" customFormat="1" ht="12.75" customHeight="1" thickBot="1">
      <c r="A25" s="83" t="s">
        <v>6</v>
      </c>
      <c r="B25" s="64" t="s">
        <v>778</v>
      </c>
      <c r="C25" s="407">
        <f t="shared" ref="C25:H25" si="3">+C26+C27+C28+C29+C30+C31</f>
        <v>356668</v>
      </c>
      <c r="D25" s="130">
        <f t="shared" si="3"/>
        <v>394432</v>
      </c>
      <c r="E25" s="1364">
        <f t="shared" si="3"/>
        <v>414105</v>
      </c>
      <c r="F25" s="1170">
        <f t="shared" si="3"/>
        <v>365505</v>
      </c>
      <c r="G25" s="1170">
        <f t="shared" si="3"/>
        <v>0</v>
      </c>
      <c r="H25" s="130">
        <f t="shared" si="3"/>
        <v>365505</v>
      </c>
    </row>
    <row r="26" spans="1:10" ht="12.75" customHeight="1">
      <c r="A26" s="84" t="s">
        <v>58</v>
      </c>
      <c r="B26" s="65" t="s">
        <v>102</v>
      </c>
      <c r="C26" s="1040">
        <v>62</v>
      </c>
      <c r="D26" s="48">
        <v>58</v>
      </c>
      <c r="E26" s="1365">
        <f>+'1.mell._Össz_Mérleg2020'!C26</f>
        <v>50</v>
      </c>
      <c r="F26" s="1283">
        <f>+'1.mell._Össz_Mérleg2020'!D26</f>
        <v>50</v>
      </c>
      <c r="G26" s="1283">
        <f>+'1.mell._Össz_Mérleg2020'!E26</f>
        <v>0</v>
      </c>
      <c r="H26" s="48">
        <f>+'1.mell._Össz_Mérleg2020'!F26</f>
        <v>50</v>
      </c>
      <c r="I26" s="3"/>
      <c r="J26" s="3"/>
    </row>
    <row r="27" spans="1:10" ht="12.75" customHeight="1">
      <c r="A27" s="85" t="s">
        <v>59</v>
      </c>
      <c r="B27" s="67" t="s">
        <v>103</v>
      </c>
      <c r="C27" s="402"/>
      <c r="D27" s="16"/>
      <c r="E27" s="1361">
        <f>+'1.mell._Össz_Mérleg2020'!C27</f>
        <v>0</v>
      </c>
      <c r="F27" s="1174">
        <f>+'1.mell._Össz_Mérleg2020'!D27</f>
        <v>0</v>
      </c>
      <c r="G27" s="1174">
        <f>+'1.mell._Össz_Mérleg2020'!E27</f>
        <v>0</v>
      </c>
      <c r="H27" s="16">
        <f>+'1.mell._Össz_Mérleg2020'!F27</f>
        <v>0</v>
      </c>
      <c r="I27" s="3"/>
      <c r="J27" s="3"/>
    </row>
    <row r="28" spans="1:10" ht="12.75" customHeight="1">
      <c r="A28" s="85" t="s">
        <v>60</v>
      </c>
      <c r="B28" s="67" t="s">
        <v>104</v>
      </c>
      <c r="C28" s="402"/>
      <c r="D28" s="16"/>
      <c r="E28" s="1361">
        <f>+'1.mell._Össz_Mérleg2020'!C28</f>
        <v>0</v>
      </c>
      <c r="F28" s="1174">
        <f>+'1.mell._Össz_Mérleg2020'!D28</f>
        <v>0</v>
      </c>
      <c r="G28" s="1174">
        <f>+'1.mell._Össz_Mérleg2020'!E28</f>
        <v>0</v>
      </c>
      <c r="H28" s="16">
        <f>+'1.mell._Össz_Mérleg2020'!F28</f>
        <v>0</v>
      </c>
      <c r="I28" s="3"/>
      <c r="J28" s="3"/>
    </row>
    <row r="29" spans="1:10" ht="12.75" customHeight="1">
      <c r="A29" s="85" t="s">
        <v>179</v>
      </c>
      <c r="B29" s="67" t="s">
        <v>105</v>
      </c>
      <c r="C29" s="402">
        <v>60575</v>
      </c>
      <c r="D29" s="16">
        <v>63970</v>
      </c>
      <c r="E29" s="1361">
        <f>+'1.mell._Össz_Mérleg2020'!C29</f>
        <v>66952</v>
      </c>
      <c r="F29" s="1174">
        <f>+'1.mell._Össz_Mérleg2020'!D29</f>
        <v>65852</v>
      </c>
      <c r="G29" s="1174">
        <f>+'1.mell._Össz_Mérleg2020'!E29</f>
        <v>0</v>
      </c>
      <c r="H29" s="16">
        <f>+'1.mell._Össz_Mérleg2020'!F29</f>
        <v>65852</v>
      </c>
      <c r="I29" s="3"/>
      <c r="J29" s="3"/>
    </row>
    <row r="30" spans="1:10" ht="12.75" customHeight="1">
      <c r="A30" s="78" t="s">
        <v>180</v>
      </c>
      <c r="B30" s="68" t="s">
        <v>106</v>
      </c>
      <c r="C30" s="402">
        <v>290084</v>
      </c>
      <c r="D30" s="16">
        <v>326696</v>
      </c>
      <c r="E30" s="1361">
        <f>+'1.mell._Össz_Mérleg2020'!C30</f>
        <v>328350</v>
      </c>
      <c r="F30" s="1174">
        <f>+'1.mell._Össz_Mérleg2020'!D30</f>
        <v>280850</v>
      </c>
      <c r="G30" s="1174">
        <f>+'1.mell._Össz_Mérleg2020'!E30</f>
        <v>0</v>
      </c>
      <c r="H30" s="16">
        <f>+'1.mell._Össz_Mérleg2020'!F30</f>
        <v>280850</v>
      </c>
      <c r="I30" s="3"/>
      <c r="J30" s="3"/>
    </row>
    <row r="31" spans="1:10" ht="12.75" customHeight="1" thickBot="1">
      <c r="A31" s="78" t="s">
        <v>777</v>
      </c>
      <c r="B31" s="68" t="s">
        <v>779</v>
      </c>
      <c r="C31" s="403">
        <v>5947</v>
      </c>
      <c r="D31" s="23">
        <v>3708</v>
      </c>
      <c r="E31" s="1362">
        <f>+'1.mell._Össz_Mérleg2020'!C31</f>
        <v>18753</v>
      </c>
      <c r="F31" s="1175">
        <f>+'1.mell._Össz_Mérleg2020'!D31</f>
        <v>18753</v>
      </c>
      <c r="G31" s="1175">
        <f>+'1.mell._Össz_Mérleg2020'!E31</f>
        <v>0</v>
      </c>
      <c r="H31" s="23">
        <f>+'1.mell._Össz_Mérleg2020'!F31</f>
        <v>18753</v>
      </c>
      <c r="I31" s="3"/>
      <c r="J31" s="3"/>
    </row>
    <row r="32" spans="1:10" s="3" customFormat="1" ht="12.75" customHeight="1" thickBot="1">
      <c r="A32" s="83" t="s">
        <v>3</v>
      </c>
      <c r="B32" s="64" t="s">
        <v>968</v>
      </c>
      <c r="C32" s="129">
        <f t="shared" ref="C32:H32" si="4">+C33+C34+C35+C36+C37+C38+C39+C40+C41+C42+C43</f>
        <v>124554</v>
      </c>
      <c r="D32" s="29">
        <f t="shared" si="4"/>
        <v>129585</v>
      </c>
      <c r="E32" s="1358">
        <f t="shared" si="4"/>
        <v>186868</v>
      </c>
      <c r="F32" s="1171">
        <f t="shared" si="4"/>
        <v>186868</v>
      </c>
      <c r="G32" s="1171">
        <f t="shared" si="4"/>
        <v>0</v>
      </c>
      <c r="H32" s="29">
        <f t="shared" si="4"/>
        <v>186868</v>
      </c>
    </row>
    <row r="33" spans="1:10" ht="12.75" customHeight="1">
      <c r="A33" s="84" t="s">
        <v>61</v>
      </c>
      <c r="B33" s="65" t="s">
        <v>1554</v>
      </c>
      <c r="C33" s="404">
        <v>8714</v>
      </c>
      <c r="D33" s="35">
        <v>9464</v>
      </c>
      <c r="E33" s="1359">
        <f>+'1.mell._Össz_Mérleg2020'!C33</f>
        <v>8000</v>
      </c>
      <c r="F33" s="1172">
        <f>+'1.mell._Össz_Mérleg2020'!D33</f>
        <v>8000</v>
      </c>
      <c r="G33" s="1172">
        <f>+'1.mell._Össz_Mérleg2020'!E33</f>
        <v>0</v>
      </c>
      <c r="H33" s="35">
        <f>+'1.mell._Össz_Mérleg2020'!F33</f>
        <v>8000</v>
      </c>
      <c r="I33" s="478"/>
      <c r="J33" s="3"/>
    </row>
    <row r="34" spans="1:10" ht="12.75" customHeight="1">
      <c r="A34" s="85" t="s">
        <v>62</v>
      </c>
      <c r="B34" s="67" t="s">
        <v>107</v>
      </c>
      <c r="C34" s="402">
        <v>54287</v>
      </c>
      <c r="D34" s="16">
        <v>48454</v>
      </c>
      <c r="E34" s="1361">
        <f>+'1.mell._Össz_Mérleg2020'!C34</f>
        <v>65858</v>
      </c>
      <c r="F34" s="1174">
        <f>+'1.mell._Össz_Mérleg2020'!D34</f>
        <v>65858</v>
      </c>
      <c r="G34" s="1174">
        <f>+'1.mell._Össz_Mérleg2020'!E34</f>
        <v>0</v>
      </c>
      <c r="H34" s="16">
        <f>+'1.mell._Össz_Mérleg2020'!F34</f>
        <v>65858</v>
      </c>
      <c r="J34" s="3"/>
    </row>
    <row r="35" spans="1:10" ht="12.75" customHeight="1">
      <c r="A35" s="85" t="s">
        <v>63</v>
      </c>
      <c r="B35" s="67" t="s">
        <v>108</v>
      </c>
      <c r="C35" s="402">
        <v>16417</v>
      </c>
      <c r="D35" s="16">
        <v>19649</v>
      </c>
      <c r="E35" s="1361">
        <f>+'1.mell._Össz_Mérleg2020'!C35</f>
        <v>8541</v>
      </c>
      <c r="F35" s="1174">
        <f>+'1.mell._Össz_Mérleg2020'!D35</f>
        <v>8541</v>
      </c>
      <c r="G35" s="1174">
        <f>+'1.mell._Össz_Mérleg2020'!E35</f>
        <v>0</v>
      </c>
      <c r="H35" s="16">
        <f>+'1.mell._Össz_Mérleg2020'!F35</f>
        <v>8541</v>
      </c>
      <c r="J35" s="3"/>
    </row>
    <row r="36" spans="1:10" ht="12.75" customHeight="1">
      <c r="A36" s="85" t="s">
        <v>64</v>
      </c>
      <c r="B36" s="67" t="s">
        <v>109</v>
      </c>
      <c r="C36" s="402">
        <v>236</v>
      </c>
      <c r="D36" s="16">
        <v>472</v>
      </c>
      <c r="E36" s="1361">
        <f>+'1.mell._Össz_Mérleg2020'!C36</f>
        <v>236</v>
      </c>
      <c r="F36" s="1174">
        <f>+'1.mell._Össz_Mérleg2020'!D36</f>
        <v>236</v>
      </c>
      <c r="G36" s="1174">
        <f>+'1.mell._Össz_Mérleg2020'!E36</f>
        <v>0</v>
      </c>
      <c r="H36" s="16">
        <f>+'1.mell._Össz_Mérleg2020'!F36</f>
        <v>236</v>
      </c>
      <c r="J36" s="3"/>
    </row>
    <row r="37" spans="1:10" ht="12.75" customHeight="1">
      <c r="A37" s="85" t="s">
        <v>65</v>
      </c>
      <c r="B37" s="67" t="s">
        <v>110</v>
      </c>
      <c r="C37" s="402">
        <v>8465</v>
      </c>
      <c r="D37" s="16">
        <v>8469</v>
      </c>
      <c r="E37" s="1361">
        <f>+'1.mell._Össz_Mérleg2020'!C37</f>
        <v>9645</v>
      </c>
      <c r="F37" s="1174">
        <f>+'1.mell._Össz_Mérleg2020'!D37</f>
        <v>9645</v>
      </c>
      <c r="G37" s="1174">
        <f>+'1.mell._Össz_Mérleg2020'!E37</f>
        <v>0</v>
      </c>
      <c r="H37" s="16">
        <f>+'1.mell._Össz_Mérleg2020'!F37</f>
        <v>9645</v>
      </c>
      <c r="J37" s="3"/>
    </row>
    <row r="38" spans="1:10" ht="12.75" customHeight="1">
      <c r="A38" s="85" t="s">
        <v>221</v>
      </c>
      <c r="B38" s="67" t="s">
        <v>111</v>
      </c>
      <c r="C38" s="402">
        <v>21996</v>
      </c>
      <c r="D38" s="16">
        <v>21284</v>
      </c>
      <c r="E38" s="1361">
        <f>+'1.mell._Össz_Mérleg2020'!C38</f>
        <v>22311</v>
      </c>
      <c r="F38" s="1174">
        <f>+'1.mell._Össz_Mérleg2020'!D38</f>
        <v>22311</v>
      </c>
      <c r="G38" s="1174">
        <f>+'1.mell._Össz_Mérleg2020'!E38</f>
        <v>0</v>
      </c>
      <c r="H38" s="16">
        <f>+'1.mell._Össz_Mérleg2020'!F38</f>
        <v>22311</v>
      </c>
      <c r="J38" s="3"/>
    </row>
    <row r="39" spans="1:10" ht="12.75" customHeight="1">
      <c r="A39" s="85" t="s">
        <v>222</v>
      </c>
      <c r="B39" s="67" t="s">
        <v>112</v>
      </c>
      <c r="C39" s="402">
        <v>6293</v>
      </c>
      <c r="D39" s="16">
        <v>19220</v>
      </c>
      <c r="E39" s="1361">
        <f>+'1.mell._Össz_Mérleg2020'!C39</f>
        <v>10634</v>
      </c>
      <c r="F39" s="1174">
        <f>+'1.mell._Össz_Mérleg2020'!D39</f>
        <v>10634</v>
      </c>
      <c r="G39" s="1174">
        <f>+'1.mell._Össz_Mérleg2020'!E39</f>
        <v>0</v>
      </c>
      <c r="H39" s="16">
        <f>+'1.mell._Össz_Mérleg2020'!F39</f>
        <v>10634</v>
      </c>
      <c r="J39" s="3"/>
    </row>
    <row r="40" spans="1:10" ht="12.75" customHeight="1">
      <c r="A40" s="85" t="s">
        <v>223</v>
      </c>
      <c r="B40" s="67" t="s">
        <v>978</v>
      </c>
      <c r="C40" s="402">
        <v>1</v>
      </c>
      <c r="D40" s="16"/>
      <c r="E40" s="1361">
        <f>+'1.mell._Össz_Mérleg2020'!C40</f>
        <v>0</v>
      </c>
      <c r="F40" s="1174">
        <f>+'1.mell._Össz_Mérleg2020'!D40</f>
        <v>0</v>
      </c>
      <c r="G40" s="1174">
        <f>+'1.mell._Össz_Mérleg2020'!E40</f>
        <v>0</v>
      </c>
      <c r="H40" s="16">
        <f>+'1.mell._Össz_Mérleg2020'!F40</f>
        <v>0</v>
      </c>
      <c r="J40" s="3"/>
    </row>
    <row r="41" spans="1:10" ht="12.75" customHeight="1">
      <c r="A41" s="85" t="s">
        <v>224</v>
      </c>
      <c r="B41" s="67" t="s">
        <v>113</v>
      </c>
      <c r="C41" s="402">
        <v>3880</v>
      </c>
      <c r="D41" s="16"/>
      <c r="E41" s="1361">
        <f>+'1.mell._Össz_Mérleg2020'!C41</f>
        <v>0</v>
      </c>
      <c r="F41" s="1174">
        <f>+'1.mell._Össz_Mérleg2020'!D41</f>
        <v>0</v>
      </c>
      <c r="G41" s="1174">
        <f>+'1.mell._Össz_Mérleg2020'!E41</f>
        <v>0</v>
      </c>
      <c r="H41" s="16">
        <f>+'1.mell._Össz_Mérleg2020'!F41</f>
        <v>0</v>
      </c>
      <c r="J41" s="3"/>
    </row>
    <row r="42" spans="1:10" ht="12.75" customHeight="1">
      <c r="A42" s="78" t="s">
        <v>225</v>
      </c>
      <c r="B42" s="68" t="s">
        <v>898</v>
      </c>
      <c r="C42" s="402">
        <v>786</v>
      </c>
      <c r="D42" s="16">
        <v>482</v>
      </c>
      <c r="E42" s="1361">
        <f>+'1.mell._Össz_Mérleg2020'!C42</f>
        <v>0</v>
      </c>
      <c r="F42" s="1174">
        <f>+'1.mell._Össz_Mérleg2020'!D42</f>
        <v>0</v>
      </c>
      <c r="G42" s="1174">
        <f>+'1.mell._Össz_Mérleg2020'!E42</f>
        <v>0</v>
      </c>
      <c r="H42" s="16">
        <f>+'1.mell._Össz_Mérleg2020'!F42</f>
        <v>0</v>
      </c>
      <c r="J42" s="3"/>
    </row>
    <row r="43" spans="1:10" ht="12.75" customHeight="1" thickBot="1">
      <c r="A43" s="78" t="s">
        <v>897</v>
      </c>
      <c r="B43" s="68" t="s">
        <v>899</v>
      </c>
      <c r="C43" s="403">
        <v>3479</v>
      </c>
      <c r="D43" s="23">
        <v>2091</v>
      </c>
      <c r="E43" s="1362">
        <f>+'1.mell._Össz_Mérleg2020'!C43</f>
        <v>61643</v>
      </c>
      <c r="F43" s="1175">
        <f>+'1.mell._Össz_Mérleg2020'!D43</f>
        <v>61643</v>
      </c>
      <c r="G43" s="1175">
        <f>+'1.mell._Össz_Mérleg2020'!E43</f>
        <v>0</v>
      </c>
      <c r="H43" s="23">
        <f>+'1.mell._Össz_Mérleg2020'!F43</f>
        <v>61643</v>
      </c>
      <c r="J43" s="3"/>
    </row>
    <row r="44" spans="1:10" s="3" customFormat="1" ht="12.75" thickBot="1">
      <c r="A44" s="83" t="s">
        <v>16</v>
      </c>
      <c r="B44" s="64" t="s">
        <v>969</v>
      </c>
      <c r="C44" s="129">
        <f t="shared" ref="C44:H44" si="5">+C45+C46+C47+C48+C49</f>
        <v>3492</v>
      </c>
      <c r="D44" s="29">
        <f t="shared" si="5"/>
        <v>47790</v>
      </c>
      <c r="E44" s="1358">
        <f t="shared" si="5"/>
        <v>0</v>
      </c>
      <c r="F44" s="1171">
        <f t="shared" si="5"/>
        <v>5490</v>
      </c>
      <c r="G44" s="1171">
        <f t="shared" si="5"/>
        <v>0</v>
      </c>
      <c r="H44" s="29">
        <f t="shared" si="5"/>
        <v>5490</v>
      </c>
    </row>
    <row r="45" spans="1:10" ht="12.75" customHeight="1">
      <c r="A45" s="84" t="s">
        <v>226</v>
      </c>
      <c r="B45" s="65" t="s">
        <v>114</v>
      </c>
      <c r="C45" s="404"/>
      <c r="D45" s="35"/>
      <c r="E45" s="1359">
        <f>+'1.mell._Össz_Mérleg2020'!C45</f>
        <v>0</v>
      </c>
      <c r="F45" s="1172">
        <f>+'1.mell._Össz_Mérleg2020'!D45</f>
        <v>0</v>
      </c>
      <c r="G45" s="1172">
        <f>+'1.mell._Össz_Mérleg2020'!E45</f>
        <v>0</v>
      </c>
      <c r="H45" s="35">
        <f>+'1.mell._Össz_Mérleg2020'!F45</f>
        <v>0</v>
      </c>
      <c r="J45" s="3"/>
    </row>
    <row r="46" spans="1:10" ht="12.75" customHeight="1">
      <c r="A46" s="84" t="s">
        <v>227</v>
      </c>
      <c r="B46" s="65" t="s">
        <v>900</v>
      </c>
      <c r="C46" s="404"/>
      <c r="D46" s="35"/>
      <c r="E46" s="1359">
        <f>+'1.mell._Össz_Mérleg2020'!C46</f>
        <v>0</v>
      </c>
      <c r="F46" s="1172">
        <f>+'1.mell._Össz_Mérleg2020'!D46</f>
        <v>0</v>
      </c>
      <c r="G46" s="1172">
        <f>+'1.mell._Össz_Mérleg2020'!E46</f>
        <v>0</v>
      </c>
      <c r="H46" s="35">
        <f>+'1.mell._Össz_Mérleg2020'!F46</f>
        <v>0</v>
      </c>
      <c r="J46" s="3"/>
    </row>
    <row r="47" spans="1:10" ht="12.75" customHeight="1">
      <c r="A47" s="84" t="s">
        <v>228</v>
      </c>
      <c r="B47" s="65" t="s">
        <v>901</v>
      </c>
      <c r="C47" s="404"/>
      <c r="D47" s="35"/>
      <c r="E47" s="1359">
        <f>+'1.mell._Össz_Mérleg2020'!C47</f>
        <v>0</v>
      </c>
      <c r="F47" s="1172">
        <f>+'1.mell._Össz_Mérleg2020'!D47</f>
        <v>0</v>
      </c>
      <c r="G47" s="1172">
        <f>+'1.mell._Össz_Mérleg2020'!E47</f>
        <v>0</v>
      </c>
      <c r="H47" s="35">
        <f>+'1.mell._Össz_Mérleg2020'!F47</f>
        <v>0</v>
      </c>
      <c r="J47" s="3"/>
    </row>
    <row r="48" spans="1:10" ht="12.75" customHeight="1">
      <c r="A48" s="85" t="s">
        <v>256</v>
      </c>
      <c r="B48" s="67" t="s">
        <v>902</v>
      </c>
      <c r="C48" s="402">
        <v>3280</v>
      </c>
      <c r="D48" s="16">
        <v>44870</v>
      </c>
      <c r="E48" s="1361">
        <f>+'1.mell._Össz_Mérleg2020'!C48</f>
        <v>0</v>
      </c>
      <c r="F48" s="1174">
        <f>+'1.mell._Össz_Mérleg2020'!D48</f>
        <v>4100</v>
      </c>
      <c r="G48" s="1174">
        <f>+'1.mell._Össz_Mérleg2020'!E48</f>
        <v>0</v>
      </c>
      <c r="H48" s="16">
        <f>+'1.mell._Össz_Mérleg2020'!F48</f>
        <v>4100</v>
      </c>
      <c r="J48" s="3"/>
    </row>
    <row r="49" spans="1:10" ht="12.75" customHeight="1" thickBot="1">
      <c r="A49" s="78" t="s">
        <v>257</v>
      </c>
      <c r="B49" s="68" t="s">
        <v>903</v>
      </c>
      <c r="C49" s="403">
        <v>212</v>
      </c>
      <c r="D49" s="23">
        <v>2920</v>
      </c>
      <c r="E49" s="1362">
        <f>+'1.mell._Össz_Mérleg2020'!C49</f>
        <v>0</v>
      </c>
      <c r="F49" s="1175">
        <f>+'1.mell._Össz_Mérleg2020'!D49</f>
        <v>1390</v>
      </c>
      <c r="G49" s="1175">
        <f>+'1.mell._Össz_Mérleg2020'!E49</f>
        <v>0</v>
      </c>
      <c r="H49" s="23">
        <f>+'1.mell._Össz_Mérleg2020'!F49</f>
        <v>1390</v>
      </c>
      <c r="J49" s="3"/>
    </row>
    <row r="50" spans="1:10" s="3" customFormat="1" ht="12.75" thickBot="1">
      <c r="A50" s="83" t="s">
        <v>15</v>
      </c>
      <c r="B50" s="69" t="s">
        <v>299</v>
      </c>
      <c r="C50" s="129">
        <f t="shared" ref="C50:H50" si="6">+C51+C58+C64</f>
        <v>1341037</v>
      </c>
      <c r="D50" s="29">
        <f t="shared" si="6"/>
        <v>1220568</v>
      </c>
      <c r="E50" s="1358">
        <f t="shared" si="6"/>
        <v>73726</v>
      </c>
      <c r="F50" s="1171">
        <f t="shared" si="6"/>
        <v>73726</v>
      </c>
      <c r="G50" s="1171">
        <f t="shared" si="6"/>
        <v>0</v>
      </c>
      <c r="H50" s="29">
        <f t="shared" si="6"/>
        <v>73726</v>
      </c>
    </row>
    <row r="51" spans="1:10" s="3" customFormat="1" ht="12.75" customHeight="1" thickBot="1">
      <c r="A51" s="83" t="s">
        <v>14</v>
      </c>
      <c r="B51" s="64" t="s">
        <v>300</v>
      </c>
      <c r="C51" s="129">
        <f t="shared" ref="C51:H51" si="7">+C52+C53+C54+C55+C56</f>
        <v>1331164</v>
      </c>
      <c r="D51" s="29">
        <f t="shared" si="7"/>
        <v>1215708</v>
      </c>
      <c r="E51" s="1358">
        <f t="shared" si="7"/>
        <v>32276</v>
      </c>
      <c r="F51" s="1171">
        <f t="shared" si="7"/>
        <v>32276</v>
      </c>
      <c r="G51" s="1171">
        <f t="shared" si="7"/>
        <v>0</v>
      </c>
      <c r="H51" s="29">
        <f t="shared" si="7"/>
        <v>32276</v>
      </c>
    </row>
    <row r="52" spans="1:10">
      <c r="A52" s="84" t="s">
        <v>184</v>
      </c>
      <c r="B52" s="113" t="s">
        <v>115</v>
      </c>
      <c r="C52" s="404">
        <v>22708</v>
      </c>
      <c r="D52" s="35">
        <v>382626</v>
      </c>
      <c r="E52" s="1359">
        <f>+'1.mell._Össz_Mérleg2020'!C52</f>
        <v>0</v>
      </c>
      <c r="F52" s="1172">
        <f>+'1.mell._Össz_Mérleg2020'!D52</f>
        <v>0</v>
      </c>
      <c r="G52" s="1172">
        <f>+'1.mell._Össz_Mérleg2020'!E52</f>
        <v>0</v>
      </c>
      <c r="H52" s="35">
        <f>+'1.mell._Össz_Mérleg2020'!F52</f>
        <v>0</v>
      </c>
      <c r="J52" s="3"/>
    </row>
    <row r="53" spans="1:10">
      <c r="A53" s="85" t="s">
        <v>185</v>
      </c>
      <c r="B53" s="67" t="s">
        <v>116</v>
      </c>
      <c r="C53" s="402"/>
      <c r="D53" s="16"/>
      <c r="E53" s="1361">
        <f>+'1.mell._Össz_Mérleg2020'!C53</f>
        <v>0</v>
      </c>
      <c r="F53" s="1174">
        <f>+'1.mell._Össz_Mérleg2020'!D53</f>
        <v>0</v>
      </c>
      <c r="G53" s="1174">
        <f>+'1.mell._Össz_Mérleg2020'!E53</f>
        <v>0</v>
      </c>
      <c r="H53" s="16">
        <f>+'1.mell._Össz_Mérleg2020'!F53</f>
        <v>0</v>
      </c>
      <c r="J53" s="3"/>
    </row>
    <row r="54" spans="1:10">
      <c r="A54" s="85" t="s">
        <v>186</v>
      </c>
      <c r="B54" s="67" t="s">
        <v>117</v>
      </c>
      <c r="C54" s="402"/>
      <c r="D54" s="16"/>
      <c r="E54" s="1361">
        <f>+'1.mell._Össz_Mérleg2020'!C54</f>
        <v>0</v>
      </c>
      <c r="F54" s="1174">
        <f>+'1.mell._Össz_Mérleg2020'!D54</f>
        <v>0</v>
      </c>
      <c r="G54" s="1174">
        <f>+'1.mell._Össz_Mérleg2020'!E54</f>
        <v>0</v>
      </c>
      <c r="H54" s="16">
        <f>+'1.mell._Össz_Mérleg2020'!F54</f>
        <v>0</v>
      </c>
      <c r="J54" s="3"/>
    </row>
    <row r="55" spans="1:10">
      <c r="A55" s="85" t="s">
        <v>187</v>
      </c>
      <c r="B55" s="67" t="s">
        <v>118</v>
      </c>
      <c r="C55" s="402"/>
      <c r="D55" s="16"/>
      <c r="E55" s="1361">
        <f>+'1.mell._Össz_Mérleg2020'!C55</f>
        <v>0</v>
      </c>
      <c r="F55" s="1174">
        <f>+'1.mell._Össz_Mérleg2020'!D55</f>
        <v>0</v>
      </c>
      <c r="G55" s="1174">
        <f>+'1.mell._Össz_Mérleg2020'!E55</f>
        <v>0</v>
      </c>
      <c r="H55" s="16">
        <f>+'1.mell._Össz_Mérleg2020'!F55</f>
        <v>0</v>
      </c>
      <c r="J55" s="3"/>
    </row>
    <row r="56" spans="1:10">
      <c r="A56" s="78" t="s">
        <v>188</v>
      </c>
      <c r="B56" s="68" t="s">
        <v>119</v>
      </c>
      <c r="C56" s="403">
        <v>1308456</v>
      </c>
      <c r="D56" s="23">
        <v>833082</v>
      </c>
      <c r="E56" s="1362">
        <f>+'1.mell._Össz_Mérleg2020'!C56</f>
        <v>32276</v>
      </c>
      <c r="F56" s="1175">
        <f>+'1.mell._Össz_Mérleg2020'!D56</f>
        <v>32276</v>
      </c>
      <c r="G56" s="1175">
        <f>+'1.mell._Össz_Mérleg2020'!E56</f>
        <v>0</v>
      </c>
      <c r="H56" s="23">
        <f>+'1.mell._Össz_Mérleg2020'!F56</f>
        <v>32276</v>
      </c>
      <c r="J56" s="3"/>
    </row>
    <row r="57" spans="1:10" s="13" customFormat="1" ht="12.75" thickBot="1">
      <c r="A57" s="89" t="s">
        <v>333</v>
      </c>
      <c r="B57" s="787" t="s">
        <v>337</v>
      </c>
      <c r="C57" s="1038">
        <v>1289663</v>
      </c>
      <c r="D57" s="1039"/>
      <c r="E57" s="1363">
        <f>+'1.mell._Össz_Mérleg2020'!C57</f>
        <v>0</v>
      </c>
      <c r="F57" s="1176">
        <f>+'1.mell._Össz_Mérleg2020'!D57</f>
        <v>0</v>
      </c>
      <c r="G57" s="1176">
        <f>+'1.mell._Össz_Mérleg2020'!E57</f>
        <v>0</v>
      </c>
      <c r="H57" s="44">
        <f>+'1.mell._Össz_Mérleg2020'!F57</f>
        <v>0</v>
      </c>
      <c r="J57" s="3"/>
    </row>
    <row r="58" spans="1:10" s="3" customFormat="1" ht="12.75" customHeight="1" thickBot="1">
      <c r="A58" s="83" t="s">
        <v>13</v>
      </c>
      <c r="B58" s="64" t="s">
        <v>301</v>
      </c>
      <c r="C58" s="129">
        <f t="shared" ref="C58:H58" si="8">+C59+C60+C61+C62+C63</f>
        <v>6864</v>
      </c>
      <c r="D58" s="29">
        <f t="shared" si="8"/>
        <v>4022</v>
      </c>
      <c r="E58" s="1358">
        <f t="shared" si="8"/>
        <v>40350</v>
      </c>
      <c r="F58" s="1171">
        <f t="shared" si="8"/>
        <v>40350</v>
      </c>
      <c r="G58" s="1171">
        <f t="shared" si="8"/>
        <v>0</v>
      </c>
      <c r="H58" s="29">
        <f t="shared" si="8"/>
        <v>40350</v>
      </c>
    </row>
    <row r="59" spans="1:10" ht="12.75" customHeight="1">
      <c r="A59" s="84" t="s">
        <v>66</v>
      </c>
      <c r="B59" s="65" t="s">
        <v>120</v>
      </c>
      <c r="C59" s="404"/>
      <c r="D59" s="35"/>
      <c r="E59" s="1359">
        <f>+'1.mell._Össz_Mérleg2020'!C59</f>
        <v>0</v>
      </c>
      <c r="F59" s="1172">
        <f>+'1.mell._Össz_Mérleg2020'!D59</f>
        <v>0</v>
      </c>
      <c r="G59" s="1172">
        <f>+'1.mell._Össz_Mérleg2020'!E59</f>
        <v>0</v>
      </c>
      <c r="H59" s="35">
        <f>+'1.mell._Össz_Mérleg2020'!F59</f>
        <v>0</v>
      </c>
      <c r="J59" s="3"/>
    </row>
    <row r="60" spans="1:10" ht="12.75" customHeight="1">
      <c r="A60" s="85" t="s">
        <v>67</v>
      </c>
      <c r="B60" s="67" t="s">
        <v>121</v>
      </c>
      <c r="C60" s="402">
        <v>5264</v>
      </c>
      <c r="D60" s="16">
        <v>3607</v>
      </c>
      <c r="E60" s="1361">
        <f>+'1.mell._Össz_Mérleg2020'!C60</f>
        <v>40350</v>
      </c>
      <c r="F60" s="1174">
        <f>+'1.mell._Össz_Mérleg2020'!D60</f>
        <v>40350</v>
      </c>
      <c r="G60" s="1174">
        <f>+'1.mell._Össz_Mérleg2020'!E60</f>
        <v>0</v>
      </c>
      <c r="H60" s="16">
        <f>+'1.mell._Össz_Mérleg2020'!F60</f>
        <v>40350</v>
      </c>
      <c r="J60" s="3"/>
    </row>
    <row r="61" spans="1:10" ht="12.75" customHeight="1">
      <c r="A61" s="85" t="s">
        <v>68</v>
      </c>
      <c r="B61" s="67" t="s">
        <v>122</v>
      </c>
      <c r="C61" s="402">
        <v>1600</v>
      </c>
      <c r="D61" s="16">
        <v>415</v>
      </c>
      <c r="E61" s="1361">
        <f>+'1.mell._Össz_Mérleg2020'!C61</f>
        <v>0</v>
      </c>
      <c r="F61" s="1174">
        <f>+'1.mell._Össz_Mérleg2020'!D61</f>
        <v>0</v>
      </c>
      <c r="G61" s="1174">
        <f>+'1.mell._Össz_Mérleg2020'!E61</f>
        <v>0</v>
      </c>
      <c r="H61" s="16">
        <f>+'1.mell._Össz_Mérleg2020'!F61</f>
        <v>0</v>
      </c>
      <c r="J61" s="3"/>
    </row>
    <row r="62" spans="1:10" ht="12.75" customHeight="1">
      <c r="A62" s="85" t="s">
        <v>229</v>
      </c>
      <c r="B62" s="67" t="s">
        <v>123</v>
      </c>
      <c r="C62" s="402"/>
      <c r="D62" s="16"/>
      <c r="E62" s="1361">
        <f>+'1.mell._Össz_Mérleg2020'!C62</f>
        <v>0</v>
      </c>
      <c r="F62" s="1174">
        <f>+'1.mell._Össz_Mérleg2020'!D62</f>
        <v>0</v>
      </c>
      <c r="G62" s="1174">
        <f>+'1.mell._Össz_Mérleg2020'!E62</f>
        <v>0</v>
      </c>
      <c r="H62" s="16">
        <f>+'1.mell._Össz_Mérleg2020'!F62</f>
        <v>0</v>
      </c>
      <c r="J62" s="3"/>
    </row>
    <row r="63" spans="1:10" ht="12.75" customHeight="1" thickBot="1">
      <c r="A63" s="78" t="s">
        <v>230</v>
      </c>
      <c r="B63" s="68" t="s">
        <v>124</v>
      </c>
      <c r="C63" s="403"/>
      <c r="D63" s="23"/>
      <c r="E63" s="1362">
        <f>+'1.mell._Össz_Mérleg2020'!C63</f>
        <v>0</v>
      </c>
      <c r="F63" s="1175">
        <f>+'1.mell._Össz_Mérleg2020'!D63</f>
        <v>0</v>
      </c>
      <c r="G63" s="1175">
        <f>+'1.mell._Össz_Mérleg2020'!E63</f>
        <v>0</v>
      </c>
      <c r="H63" s="23">
        <f>+'1.mell._Össz_Mérleg2020'!F63</f>
        <v>0</v>
      </c>
      <c r="J63" s="3"/>
    </row>
    <row r="64" spans="1:10" s="3" customFormat="1" ht="12.75" thickBot="1">
      <c r="A64" s="83" t="s">
        <v>12</v>
      </c>
      <c r="B64" s="64" t="s">
        <v>907</v>
      </c>
      <c r="C64" s="129">
        <f t="shared" ref="C64:H64" si="9">+C65+C66+C67+C68+C69</f>
        <v>3009</v>
      </c>
      <c r="D64" s="29">
        <f t="shared" si="9"/>
        <v>838</v>
      </c>
      <c r="E64" s="1358">
        <f t="shared" si="9"/>
        <v>1100</v>
      </c>
      <c r="F64" s="1171">
        <f t="shared" si="9"/>
        <v>1100</v>
      </c>
      <c r="G64" s="1171">
        <f t="shared" si="9"/>
        <v>0</v>
      </c>
      <c r="H64" s="29">
        <f t="shared" si="9"/>
        <v>1100</v>
      </c>
    </row>
    <row r="65" spans="1:10">
      <c r="A65" s="84" t="s">
        <v>69</v>
      </c>
      <c r="B65" s="65" t="s">
        <v>125</v>
      </c>
      <c r="C65" s="404"/>
      <c r="D65" s="35"/>
      <c r="E65" s="1359">
        <f>+'1.mell._Össz_Mérleg2020'!C65</f>
        <v>0</v>
      </c>
      <c r="F65" s="1172">
        <f>+'1.mell._Össz_Mérleg2020'!D65</f>
        <v>0</v>
      </c>
      <c r="G65" s="1172">
        <f>+'1.mell._Össz_Mérleg2020'!E65</f>
        <v>0</v>
      </c>
      <c r="H65" s="35">
        <f>+'1.mell._Össz_Mérleg2020'!F65</f>
        <v>0</v>
      </c>
      <c r="J65" s="3"/>
    </row>
    <row r="66" spans="1:10">
      <c r="A66" s="84" t="s">
        <v>70</v>
      </c>
      <c r="B66" s="65" t="s">
        <v>908</v>
      </c>
      <c r="C66" s="404"/>
      <c r="D66" s="35"/>
      <c r="E66" s="1359">
        <f>+'1.mell._Össz_Mérleg2020'!C66</f>
        <v>0</v>
      </c>
      <c r="F66" s="1172">
        <f>+'1.mell._Össz_Mérleg2020'!D66</f>
        <v>0</v>
      </c>
      <c r="G66" s="1172">
        <f>+'1.mell._Össz_Mérleg2020'!E66</f>
        <v>0</v>
      </c>
      <c r="H66" s="35">
        <f>+'1.mell._Össz_Mérleg2020'!F66</f>
        <v>0</v>
      </c>
      <c r="J66" s="3"/>
    </row>
    <row r="67" spans="1:10">
      <c r="A67" s="84" t="s">
        <v>71</v>
      </c>
      <c r="B67" s="65" t="s">
        <v>909</v>
      </c>
      <c r="C67" s="404"/>
      <c r="D67" s="35"/>
      <c r="E67" s="1359">
        <f>+'1.mell._Össz_Mérleg2020'!C67</f>
        <v>0</v>
      </c>
      <c r="F67" s="1172">
        <f>+'1.mell._Össz_Mérleg2020'!D67</f>
        <v>0</v>
      </c>
      <c r="G67" s="1172">
        <f>+'1.mell._Össz_Mérleg2020'!E67</f>
        <v>0</v>
      </c>
      <c r="H67" s="35">
        <f>+'1.mell._Össz_Mérleg2020'!F67</f>
        <v>0</v>
      </c>
      <c r="J67" s="3"/>
    </row>
    <row r="68" spans="1:10">
      <c r="A68" s="85" t="s">
        <v>72</v>
      </c>
      <c r="B68" s="67" t="s">
        <v>905</v>
      </c>
      <c r="C68" s="402">
        <v>1009</v>
      </c>
      <c r="D68" s="16">
        <v>838</v>
      </c>
      <c r="E68" s="1361">
        <f>+'1.mell._Össz_Mérleg2020'!C68</f>
        <v>1100</v>
      </c>
      <c r="F68" s="1174">
        <f>+'1.mell._Össz_Mérleg2020'!D68</f>
        <v>1100</v>
      </c>
      <c r="G68" s="1174">
        <f>+'1.mell._Össz_Mérleg2020'!E68</f>
        <v>0</v>
      </c>
      <c r="H68" s="16">
        <f>+'1.mell._Össz_Mérleg2020'!F68</f>
        <v>1100</v>
      </c>
      <c r="J68" s="3"/>
    </row>
    <row r="69" spans="1:10" ht="12.75" thickBot="1">
      <c r="A69" s="78" t="s">
        <v>904</v>
      </c>
      <c r="B69" s="68" t="s">
        <v>906</v>
      </c>
      <c r="C69" s="1041">
        <v>2000</v>
      </c>
      <c r="D69" s="988"/>
      <c r="E69" s="1362">
        <f>+'1.mell._Össz_Mérleg2020'!C69</f>
        <v>0</v>
      </c>
      <c r="F69" s="1175">
        <f>+'1.mell._Össz_Mérleg2020'!D69</f>
        <v>0</v>
      </c>
      <c r="G69" s="1175">
        <f>+'1.mell._Össz_Mérleg2020'!E69</f>
        <v>0</v>
      </c>
      <c r="H69" s="23">
        <f>+'1.mell._Össz_Mérleg2020'!F69</f>
        <v>0</v>
      </c>
      <c r="J69" s="3"/>
    </row>
    <row r="70" spans="1:10" s="3" customFormat="1" ht="12.75" thickBot="1">
      <c r="A70" s="83" t="s">
        <v>11</v>
      </c>
      <c r="B70" s="69" t="s">
        <v>302</v>
      </c>
      <c r="C70" s="129">
        <f t="shared" ref="C70:H70" si="10">+C10+C50</f>
        <v>3417980</v>
      </c>
      <c r="D70" s="29">
        <f t="shared" si="10"/>
        <v>3258542</v>
      </c>
      <c r="E70" s="1358">
        <f t="shared" si="10"/>
        <v>1666925</v>
      </c>
      <c r="F70" s="1171">
        <f t="shared" si="10"/>
        <v>1816874</v>
      </c>
      <c r="G70" s="1171">
        <f t="shared" si="10"/>
        <v>20604</v>
      </c>
      <c r="H70" s="29">
        <f t="shared" si="10"/>
        <v>1837478</v>
      </c>
    </row>
    <row r="71" spans="1:10" s="3" customFormat="1" ht="12.75" thickBot="1">
      <c r="A71" s="83" t="s">
        <v>10</v>
      </c>
      <c r="B71" s="70" t="s">
        <v>303</v>
      </c>
      <c r="C71" s="129">
        <f t="shared" ref="C71:H71" si="11">+C72</f>
        <v>449560</v>
      </c>
      <c r="D71" s="29">
        <f t="shared" si="11"/>
        <v>3196604</v>
      </c>
      <c r="E71" s="1358">
        <f t="shared" si="11"/>
        <v>2876249</v>
      </c>
      <c r="F71" s="1171">
        <f t="shared" si="11"/>
        <v>709830</v>
      </c>
      <c r="G71" s="1171">
        <f t="shared" si="11"/>
        <v>0</v>
      </c>
      <c r="H71" s="29">
        <f t="shared" si="11"/>
        <v>709830</v>
      </c>
    </row>
    <row r="72" spans="1:10" s="3" customFormat="1" ht="12.75" thickBot="1">
      <c r="A72" s="83" t="s">
        <v>9</v>
      </c>
      <c r="B72" s="64" t="s">
        <v>916</v>
      </c>
      <c r="C72" s="129">
        <f t="shared" ref="C72:H72" si="12">+C73+C83+C84+C85</f>
        <v>449560</v>
      </c>
      <c r="D72" s="29">
        <f t="shared" si="12"/>
        <v>3196604</v>
      </c>
      <c r="E72" s="1358">
        <f t="shared" si="12"/>
        <v>2876249</v>
      </c>
      <c r="F72" s="1171">
        <f t="shared" si="12"/>
        <v>709830</v>
      </c>
      <c r="G72" s="1171">
        <f t="shared" si="12"/>
        <v>0</v>
      </c>
      <c r="H72" s="29">
        <f t="shared" si="12"/>
        <v>709830</v>
      </c>
    </row>
    <row r="73" spans="1:10">
      <c r="A73" s="84" t="s">
        <v>73</v>
      </c>
      <c r="B73" s="65" t="s">
        <v>911</v>
      </c>
      <c r="C73" s="404">
        <f t="shared" ref="C73:H73" si="13">+C74+C75+C76+C77+C78+C79+C80+C81+C82</f>
        <v>449560</v>
      </c>
      <c r="D73" s="35">
        <f t="shared" si="13"/>
        <v>3196604</v>
      </c>
      <c r="E73" s="1359">
        <f t="shared" si="13"/>
        <v>2876249</v>
      </c>
      <c r="F73" s="1172">
        <f t="shared" si="13"/>
        <v>709830</v>
      </c>
      <c r="G73" s="1172">
        <f t="shared" si="13"/>
        <v>0</v>
      </c>
      <c r="H73" s="35">
        <f t="shared" si="13"/>
        <v>709830</v>
      </c>
      <c r="J73" s="3"/>
    </row>
    <row r="74" spans="1:10" s="13" customFormat="1">
      <c r="A74" s="86" t="s">
        <v>195</v>
      </c>
      <c r="B74" s="66" t="s">
        <v>910</v>
      </c>
      <c r="C74" s="400">
        <v>85565</v>
      </c>
      <c r="D74" s="15">
        <v>65277</v>
      </c>
      <c r="E74" s="1360">
        <f>+'1.mell._Össz_Mérleg2020'!C74</f>
        <v>0</v>
      </c>
      <c r="F74" s="1173">
        <f>+'1.mell._Össz_Mérleg2020'!D74</f>
        <v>0</v>
      </c>
      <c r="G74" s="1173">
        <f>+'1.mell._Össz_Mérleg2020'!E74</f>
        <v>0</v>
      </c>
      <c r="H74" s="15">
        <f>+'1.mell._Össz_Mérleg2020'!F74</f>
        <v>0</v>
      </c>
      <c r="J74" s="3"/>
    </row>
    <row r="75" spans="1:10" s="13" customFormat="1">
      <c r="A75" s="86" t="s">
        <v>196</v>
      </c>
      <c r="B75" s="66" t="s">
        <v>246</v>
      </c>
      <c r="C75" s="400"/>
      <c r="D75" s="15"/>
      <c r="E75" s="1360">
        <f>+'1.mell._Össz_Mérleg2020'!C75</f>
        <v>0</v>
      </c>
      <c r="F75" s="1173">
        <f>+'1.mell._Össz_Mérleg2020'!D75</f>
        <v>0</v>
      </c>
      <c r="G75" s="1173">
        <f>+'1.mell._Össz_Mérleg2020'!E75</f>
        <v>0</v>
      </c>
      <c r="H75" s="15">
        <f>+'1.mell._Össz_Mérleg2020'!F75</f>
        <v>0</v>
      </c>
      <c r="J75" s="3"/>
    </row>
    <row r="76" spans="1:10" s="13" customFormat="1">
      <c r="A76" s="86" t="s">
        <v>197</v>
      </c>
      <c r="B76" s="66" t="s">
        <v>247</v>
      </c>
      <c r="C76" s="400">
        <v>337324</v>
      </c>
      <c r="D76" s="15">
        <v>3100881</v>
      </c>
      <c r="E76" s="1360">
        <f>+'1.mell._Össz_Mérleg2020'!C76</f>
        <v>2876249</v>
      </c>
      <c r="F76" s="1173">
        <f>+'1.mell._Össz_Mérleg2020'!D76</f>
        <v>709830</v>
      </c>
      <c r="G76" s="1173">
        <f>+'1.mell._Össz_Mérleg2020'!E76</f>
        <v>0</v>
      </c>
      <c r="H76" s="15">
        <f>+'1.mell._Össz_Mérleg2020'!F76</f>
        <v>709830</v>
      </c>
      <c r="J76" s="3"/>
    </row>
    <row r="77" spans="1:10" s="13" customFormat="1">
      <c r="A77" s="86" t="s">
        <v>198</v>
      </c>
      <c r="B77" s="66" t="s">
        <v>248</v>
      </c>
      <c r="C77" s="400">
        <v>26671</v>
      </c>
      <c r="D77" s="15">
        <v>30446</v>
      </c>
      <c r="E77" s="1360">
        <f>+'1.mell._Össz_Mérleg2020'!C77</f>
        <v>0</v>
      </c>
      <c r="F77" s="1173">
        <f>+'1.mell._Össz_Mérleg2020'!D77</f>
        <v>0</v>
      </c>
      <c r="G77" s="1173">
        <f>+'1.mell._Össz_Mérleg2020'!E77</f>
        <v>0</v>
      </c>
      <c r="H77" s="15">
        <f>+'1.mell._Össz_Mérleg2020'!F77</f>
        <v>0</v>
      </c>
      <c r="J77" s="3"/>
    </row>
    <row r="78" spans="1:10" s="13" customFormat="1">
      <c r="A78" s="86" t="s">
        <v>199</v>
      </c>
      <c r="B78" s="66" t="s">
        <v>249</v>
      </c>
      <c r="C78" s="400"/>
      <c r="D78" s="15"/>
      <c r="E78" s="1360">
        <f>+'1.mell._Össz_Mérleg2020'!C78</f>
        <v>0</v>
      </c>
      <c r="F78" s="1173">
        <f>+'1.mell._Össz_Mérleg2020'!D78</f>
        <v>0</v>
      </c>
      <c r="G78" s="1173">
        <f>+'1.mell._Össz_Mérleg2020'!E78</f>
        <v>0</v>
      </c>
      <c r="H78" s="15">
        <f>+'1.mell._Össz_Mérleg2020'!F78</f>
        <v>0</v>
      </c>
      <c r="J78" s="3"/>
    </row>
    <row r="79" spans="1:10" s="13" customFormat="1">
      <c r="A79" s="103" t="s">
        <v>200</v>
      </c>
      <c r="B79" s="104" t="s">
        <v>250</v>
      </c>
      <c r="C79" s="399"/>
      <c r="D79" s="107"/>
      <c r="E79" s="1366">
        <f>+'1.mell._Össz_Mérleg2020'!C79</f>
        <v>0</v>
      </c>
      <c r="F79" s="1282">
        <f>+'1.mell._Össz_Mérleg2020'!D79</f>
        <v>0</v>
      </c>
      <c r="G79" s="1282">
        <f>+'1.mell._Össz_Mérleg2020'!E79</f>
        <v>0</v>
      </c>
      <c r="H79" s="107">
        <f>+'1.mell._Össz_Mérleg2020'!F79</f>
        <v>0</v>
      </c>
      <c r="J79" s="3"/>
    </row>
    <row r="80" spans="1:10" s="13" customFormat="1">
      <c r="A80" s="86" t="s">
        <v>203</v>
      </c>
      <c r="B80" s="66" t="s">
        <v>251</v>
      </c>
      <c r="C80" s="400"/>
      <c r="D80" s="15"/>
      <c r="E80" s="1360">
        <f>+'1.mell._Össz_Mérleg2020'!C80</f>
        <v>0</v>
      </c>
      <c r="F80" s="1173">
        <f>+'1.mell._Össz_Mérleg2020'!D80</f>
        <v>0</v>
      </c>
      <c r="G80" s="1173">
        <f>+'1.mell._Össz_Mérleg2020'!E80</f>
        <v>0</v>
      </c>
      <c r="H80" s="15">
        <f>+'1.mell._Össz_Mérleg2020'!F80</f>
        <v>0</v>
      </c>
      <c r="J80" s="3"/>
    </row>
    <row r="81" spans="1:10" s="13" customFormat="1">
      <c r="A81" s="86" t="s">
        <v>201</v>
      </c>
      <c r="B81" s="66" t="s">
        <v>244</v>
      </c>
      <c r="C81" s="400"/>
      <c r="D81" s="15"/>
      <c r="E81" s="1360">
        <f>+'1.mell._Össz_Mérleg2020'!C81</f>
        <v>0</v>
      </c>
      <c r="F81" s="1173">
        <f>+'1.mell._Össz_Mérleg2020'!D81</f>
        <v>0</v>
      </c>
      <c r="G81" s="1173">
        <f>+'1.mell._Össz_Mérleg2020'!E81</f>
        <v>0</v>
      </c>
      <c r="H81" s="15">
        <f>+'1.mell._Össz_Mérleg2020'!F81</f>
        <v>0</v>
      </c>
      <c r="J81" s="3"/>
    </row>
    <row r="82" spans="1:10" s="13" customFormat="1">
      <c r="A82" s="86" t="s">
        <v>912</v>
      </c>
      <c r="B82" s="66" t="s">
        <v>913</v>
      </c>
      <c r="C82" s="400"/>
      <c r="D82" s="15"/>
      <c r="E82" s="1360">
        <f>+'1.mell._Össz_Mérleg2020'!C82</f>
        <v>0</v>
      </c>
      <c r="F82" s="1173">
        <f>+'1.mell._Össz_Mérleg2020'!D82</f>
        <v>0</v>
      </c>
      <c r="G82" s="1173">
        <f>+'1.mell._Össz_Mérleg2020'!E82</f>
        <v>0</v>
      </c>
      <c r="H82" s="15">
        <f>+'1.mell._Össz_Mérleg2020'!F82</f>
        <v>0</v>
      </c>
      <c r="J82" s="3"/>
    </row>
    <row r="83" spans="1:10">
      <c r="A83" s="85" t="s">
        <v>74</v>
      </c>
      <c r="B83" s="67" t="s">
        <v>242</v>
      </c>
      <c r="C83" s="402"/>
      <c r="D83" s="16"/>
      <c r="E83" s="1361">
        <f>+'1.mell._Össz_Mérleg2020'!C83</f>
        <v>0</v>
      </c>
      <c r="F83" s="1174">
        <f>+'1.mell._Össz_Mérleg2020'!D83</f>
        <v>0</v>
      </c>
      <c r="G83" s="1174">
        <f>+'1.mell._Össz_Mérleg2020'!E83</f>
        <v>0</v>
      </c>
      <c r="H83" s="16">
        <f>+'1.mell._Össz_Mérleg2020'!F83</f>
        <v>0</v>
      </c>
      <c r="J83" s="3"/>
    </row>
    <row r="84" spans="1:10">
      <c r="A84" s="78" t="s">
        <v>202</v>
      </c>
      <c r="B84" s="68" t="s">
        <v>243</v>
      </c>
      <c r="C84" s="403"/>
      <c r="D84" s="23"/>
      <c r="E84" s="1362">
        <f>+'1.mell._Össz_Mérleg2020'!C84</f>
        <v>0</v>
      </c>
      <c r="F84" s="1175">
        <f>+'1.mell._Össz_Mérleg2020'!D84</f>
        <v>0</v>
      </c>
      <c r="G84" s="1175">
        <f>+'1.mell._Össz_Mérleg2020'!E84</f>
        <v>0</v>
      </c>
      <c r="H84" s="23">
        <f>+'1.mell._Össz_Mérleg2020'!F84</f>
        <v>0</v>
      </c>
      <c r="J84" s="3"/>
    </row>
    <row r="85" spans="1:10" ht="12.75" thickBot="1">
      <c r="A85" s="78" t="s">
        <v>914</v>
      </c>
      <c r="B85" s="68" t="s">
        <v>915</v>
      </c>
      <c r="C85" s="403"/>
      <c r="D85" s="23"/>
      <c r="E85" s="1362">
        <f>+'1.mell._Össz_Mérleg2020'!C85</f>
        <v>0</v>
      </c>
      <c r="F85" s="1175">
        <f>+'1.mell._Össz_Mérleg2020'!D85</f>
        <v>0</v>
      </c>
      <c r="G85" s="1175">
        <f>+'1.mell._Össz_Mérleg2020'!E85</f>
        <v>0</v>
      </c>
      <c r="H85" s="23">
        <f>+'1.mell._Össz_Mérleg2020'!F85</f>
        <v>0</v>
      </c>
      <c r="J85" s="3"/>
    </row>
    <row r="86" spans="1:10" s="3" customFormat="1" ht="12.75" thickBot="1">
      <c r="A86" s="83" t="s">
        <v>45</v>
      </c>
      <c r="B86" s="70" t="s">
        <v>304</v>
      </c>
      <c r="C86" s="129">
        <f t="shared" ref="C86:H86" si="14">+C87</f>
        <v>1857788</v>
      </c>
      <c r="D86" s="29">
        <f t="shared" si="14"/>
        <v>0</v>
      </c>
      <c r="E86" s="1358">
        <f t="shared" si="14"/>
        <v>10000</v>
      </c>
      <c r="F86" s="1171">
        <f t="shared" si="14"/>
        <v>2654032</v>
      </c>
      <c r="G86" s="1171">
        <f t="shared" si="14"/>
        <v>0</v>
      </c>
      <c r="H86" s="29">
        <f t="shared" si="14"/>
        <v>2654032</v>
      </c>
    </row>
    <row r="87" spans="1:10" s="3" customFormat="1" ht="12.75" thickBot="1">
      <c r="A87" s="83" t="s">
        <v>44</v>
      </c>
      <c r="B87" s="64" t="s">
        <v>918</v>
      </c>
      <c r="C87" s="129">
        <f t="shared" ref="C87:H87" si="15">+C88+C98+C99+C100</f>
        <v>1857788</v>
      </c>
      <c r="D87" s="29">
        <f t="shared" si="15"/>
        <v>0</v>
      </c>
      <c r="E87" s="1358">
        <f t="shared" si="15"/>
        <v>10000</v>
      </c>
      <c r="F87" s="1171">
        <f t="shared" si="15"/>
        <v>2654032</v>
      </c>
      <c r="G87" s="1171">
        <f t="shared" si="15"/>
        <v>0</v>
      </c>
      <c r="H87" s="29">
        <f t="shared" si="15"/>
        <v>2654032</v>
      </c>
    </row>
    <row r="88" spans="1:10">
      <c r="A88" s="84" t="s">
        <v>231</v>
      </c>
      <c r="B88" s="65" t="s">
        <v>970</v>
      </c>
      <c r="C88" s="404">
        <f t="shared" ref="C88:H88" si="16">+C89+C90+C91+C92+C93+C94+C95+C96+C97</f>
        <v>1857788</v>
      </c>
      <c r="D88" s="35">
        <f t="shared" si="16"/>
        <v>0</v>
      </c>
      <c r="E88" s="1359">
        <f t="shared" si="16"/>
        <v>10000</v>
      </c>
      <c r="F88" s="1172">
        <f t="shared" si="16"/>
        <v>2654032</v>
      </c>
      <c r="G88" s="1172">
        <f t="shared" si="16"/>
        <v>0</v>
      </c>
      <c r="H88" s="35">
        <f t="shared" si="16"/>
        <v>2654032</v>
      </c>
      <c r="J88" s="3"/>
    </row>
    <row r="89" spans="1:10" s="13" customFormat="1">
      <c r="A89" s="86" t="s">
        <v>232</v>
      </c>
      <c r="B89" s="66" t="s">
        <v>910</v>
      </c>
      <c r="C89" s="400"/>
      <c r="D89" s="15"/>
      <c r="E89" s="1360">
        <f>+'1.mell._Össz_Mérleg2020'!C89</f>
        <v>10000</v>
      </c>
      <c r="F89" s="1173">
        <f>+'1.mell._Össz_Mérleg2020'!D89</f>
        <v>10000</v>
      </c>
      <c r="G89" s="1173">
        <f>+'1.mell._Össz_Mérleg2020'!E89</f>
        <v>0</v>
      </c>
      <c r="H89" s="15">
        <f>+'1.mell._Össz_Mérleg2020'!F89</f>
        <v>10000</v>
      </c>
      <c r="J89" s="3"/>
    </row>
    <row r="90" spans="1:10" s="13" customFormat="1">
      <c r="A90" s="86" t="s">
        <v>233</v>
      </c>
      <c r="B90" s="66" t="s">
        <v>246</v>
      </c>
      <c r="C90" s="400"/>
      <c r="D90" s="15"/>
      <c r="E90" s="1360">
        <f>+'1.mell._Össz_Mérleg2020'!C90</f>
        <v>0</v>
      </c>
      <c r="F90" s="1173">
        <f>+'1.mell._Össz_Mérleg2020'!D90</f>
        <v>0</v>
      </c>
      <c r="G90" s="1173">
        <f>+'1.mell._Össz_Mérleg2020'!E90</f>
        <v>0</v>
      </c>
      <c r="H90" s="15">
        <f>+'1.mell._Össz_Mérleg2020'!F90</f>
        <v>0</v>
      </c>
      <c r="J90" s="3"/>
    </row>
    <row r="91" spans="1:10" s="13" customFormat="1">
      <c r="A91" s="86" t="s">
        <v>234</v>
      </c>
      <c r="B91" s="66" t="s">
        <v>247</v>
      </c>
      <c r="C91" s="400">
        <v>1857788</v>
      </c>
      <c r="D91" s="15"/>
      <c r="E91" s="1360">
        <f>+'1.mell._Össz_Mérleg2020'!C91</f>
        <v>0</v>
      </c>
      <c r="F91" s="1173">
        <f>+'1.mell._Össz_Mérleg2020'!D91</f>
        <v>2644032</v>
      </c>
      <c r="G91" s="1173">
        <f>+'1.mell._Össz_Mérleg2020'!E91</f>
        <v>0</v>
      </c>
      <c r="H91" s="15">
        <f>+'1.mell._Össz_Mérleg2020'!F91</f>
        <v>2644032</v>
      </c>
      <c r="J91" s="3"/>
    </row>
    <row r="92" spans="1:10" s="13" customFormat="1">
      <c r="A92" s="86" t="s">
        <v>235</v>
      </c>
      <c r="B92" s="66" t="s">
        <v>248</v>
      </c>
      <c r="C92" s="400"/>
      <c r="D92" s="15"/>
      <c r="E92" s="1360">
        <f>+'1.mell._Össz_Mérleg2020'!C92</f>
        <v>0</v>
      </c>
      <c r="F92" s="1173">
        <f>+'1.mell._Össz_Mérleg2020'!D92</f>
        <v>0</v>
      </c>
      <c r="G92" s="1173">
        <f>+'1.mell._Össz_Mérleg2020'!E92</f>
        <v>0</v>
      </c>
      <c r="H92" s="15">
        <f>+'1.mell._Össz_Mérleg2020'!F92</f>
        <v>0</v>
      </c>
      <c r="J92" s="3"/>
    </row>
    <row r="93" spans="1:10" s="13" customFormat="1">
      <c r="A93" s="86" t="s">
        <v>236</v>
      </c>
      <c r="B93" s="66" t="s">
        <v>249</v>
      </c>
      <c r="C93" s="400"/>
      <c r="D93" s="15"/>
      <c r="E93" s="1360">
        <f>+'1.mell._Össz_Mérleg2020'!C93</f>
        <v>0</v>
      </c>
      <c r="F93" s="1173">
        <f>+'1.mell._Össz_Mérleg2020'!D93</f>
        <v>0</v>
      </c>
      <c r="G93" s="1173">
        <f>+'1.mell._Össz_Mérleg2020'!E93</f>
        <v>0</v>
      </c>
      <c r="H93" s="15">
        <f>+'1.mell._Össz_Mérleg2020'!F93</f>
        <v>0</v>
      </c>
      <c r="J93" s="3"/>
    </row>
    <row r="94" spans="1:10" s="13" customFormat="1">
      <c r="A94" s="103" t="s">
        <v>237</v>
      </c>
      <c r="B94" s="104" t="s">
        <v>250</v>
      </c>
      <c r="C94" s="399"/>
      <c r="D94" s="107"/>
      <c r="E94" s="1366">
        <f>+'1.mell._Össz_Mérleg2020'!C94</f>
        <v>0</v>
      </c>
      <c r="F94" s="1282">
        <f>+'1.mell._Össz_Mérleg2020'!D94</f>
        <v>0</v>
      </c>
      <c r="G94" s="1282">
        <f>+'1.mell._Össz_Mérleg2020'!E94</f>
        <v>0</v>
      </c>
      <c r="H94" s="107">
        <f>+'1.mell._Össz_Mérleg2020'!F94</f>
        <v>0</v>
      </c>
      <c r="J94" s="3"/>
    </row>
    <row r="95" spans="1:10" s="13" customFormat="1">
      <c r="A95" s="86" t="s">
        <v>238</v>
      </c>
      <c r="B95" s="66" t="s">
        <v>251</v>
      </c>
      <c r="C95" s="400"/>
      <c r="D95" s="15"/>
      <c r="E95" s="1360">
        <f>+'1.mell._Össz_Mérleg2020'!C95</f>
        <v>0</v>
      </c>
      <c r="F95" s="1173">
        <f>+'1.mell._Össz_Mérleg2020'!D95</f>
        <v>0</v>
      </c>
      <c r="G95" s="1173">
        <f>+'1.mell._Össz_Mérleg2020'!E95</f>
        <v>0</v>
      </c>
      <c r="H95" s="15">
        <f>+'1.mell._Össz_Mérleg2020'!F95</f>
        <v>0</v>
      </c>
      <c r="J95" s="3"/>
    </row>
    <row r="96" spans="1:10" s="13" customFormat="1">
      <c r="A96" s="86" t="s">
        <v>239</v>
      </c>
      <c r="B96" s="66" t="s">
        <v>244</v>
      </c>
      <c r="C96" s="400"/>
      <c r="D96" s="15"/>
      <c r="E96" s="1360">
        <f>+'1.mell._Össz_Mérleg2020'!C96</f>
        <v>0</v>
      </c>
      <c r="F96" s="1173">
        <f>+'1.mell._Össz_Mérleg2020'!D96</f>
        <v>0</v>
      </c>
      <c r="G96" s="1173">
        <f>+'1.mell._Össz_Mérleg2020'!E96</f>
        <v>0</v>
      </c>
      <c r="H96" s="15">
        <f>+'1.mell._Össz_Mérleg2020'!F96</f>
        <v>0</v>
      </c>
      <c r="J96" s="3"/>
    </row>
    <row r="97" spans="1:12" s="13" customFormat="1">
      <c r="A97" s="86" t="s">
        <v>917</v>
      </c>
      <c r="B97" s="66" t="s">
        <v>913</v>
      </c>
      <c r="C97" s="400"/>
      <c r="D97" s="15"/>
      <c r="E97" s="1360">
        <f>+'1.mell._Össz_Mérleg2020'!C97</f>
        <v>0</v>
      </c>
      <c r="F97" s="1173">
        <f>+'1.mell._Össz_Mérleg2020'!D97</f>
        <v>0</v>
      </c>
      <c r="G97" s="1173">
        <f>+'1.mell._Össz_Mérleg2020'!E97</f>
        <v>0</v>
      </c>
      <c r="H97" s="15">
        <f>+'1.mell._Össz_Mérleg2020'!F97</f>
        <v>0</v>
      </c>
      <c r="J97" s="3"/>
    </row>
    <row r="98" spans="1:12">
      <c r="A98" s="85" t="s">
        <v>240</v>
      </c>
      <c r="B98" s="67" t="s">
        <v>242</v>
      </c>
      <c r="C98" s="402"/>
      <c r="D98" s="16"/>
      <c r="E98" s="1361">
        <f>+'1.mell._Össz_Mérleg2020'!C98</f>
        <v>0</v>
      </c>
      <c r="F98" s="1174">
        <f>+'1.mell._Össz_Mérleg2020'!D98</f>
        <v>0</v>
      </c>
      <c r="G98" s="1174">
        <f>+'1.mell._Össz_Mérleg2020'!E98</f>
        <v>0</v>
      </c>
      <c r="H98" s="16">
        <f>+'1.mell._Össz_Mérleg2020'!F98</f>
        <v>0</v>
      </c>
      <c r="J98" s="3"/>
    </row>
    <row r="99" spans="1:12">
      <c r="A99" s="78" t="s">
        <v>241</v>
      </c>
      <c r="B99" s="68" t="s">
        <v>243</v>
      </c>
      <c r="C99" s="403"/>
      <c r="D99" s="23"/>
      <c r="E99" s="1362">
        <f>+'1.mell._Össz_Mérleg2020'!C99</f>
        <v>0</v>
      </c>
      <c r="F99" s="1175">
        <f>+'1.mell._Össz_Mérleg2020'!D99</f>
        <v>0</v>
      </c>
      <c r="G99" s="1175">
        <f>+'1.mell._Össz_Mérleg2020'!E99</f>
        <v>0</v>
      </c>
      <c r="H99" s="23">
        <f>+'1.mell._Össz_Mérleg2020'!F99</f>
        <v>0</v>
      </c>
      <c r="J99" s="3"/>
    </row>
    <row r="100" spans="1:12" ht="12.75" thickBot="1">
      <c r="A100" s="78" t="s">
        <v>919</v>
      </c>
      <c r="B100" s="68" t="s">
        <v>915</v>
      </c>
      <c r="C100" s="403"/>
      <c r="D100" s="23"/>
      <c r="E100" s="1362">
        <f>+'1.mell._Össz_Mérleg2020'!C100</f>
        <v>0</v>
      </c>
      <c r="F100" s="1175">
        <f>+'1.mell._Össz_Mérleg2020'!D100</f>
        <v>0</v>
      </c>
      <c r="G100" s="1175">
        <f>+'1.mell._Össz_Mérleg2020'!E100</f>
        <v>0</v>
      </c>
      <c r="H100" s="23">
        <f>+'1.mell._Össz_Mérleg2020'!F100</f>
        <v>0</v>
      </c>
      <c r="J100" s="3"/>
    </row>
    <row r="101" spans="1:12" s="3" customFormat="1" ht="12.75" thickBot="1">
      <c r="A101" s="83" t="s">
        <v>43</v>
      </c>
      <c r="B101" s="69" t="s">
        <v>305</v>
      </c>
      <c r="C101" s="129">
        <f t="shared" ref="C101:H101" si="17">+C71+C86</f>
        <v>2307348</v>
      </c>
      <c r="D101" s="29">
        <f t="shared" si="17"/>
        <v>3196604</v>
      </c>
      <c r="E101" s="1358">
        <f t="shared" si="17"/>
        <v>2886249</v>
      </c>
      <c r="F101" s="1171">
        <f t="shared" si="17"/>
        <v>3363862</v>
      </c>
      <c r="G101" s="1171">
        <f t="shared" si="17"/>
        <v>0</v>
      </c>
      <c r="H101" s="29">
        <f t="shared" si="17"/>
        <v>3363862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:H102" si="18">+C70+C101</f>
        <v>5725328</v>
      </c>
      <c r="D102" s="26">
        <f t="shared" si="18"/>
        <v>6455146</v>
      </c>
      <c r="E102" s="1367">
        <f t="shared" si="18"/>
        <v>4553174</v>
      </c>
      <c r="F102" s="1182">
        <f t="shared" si="18"/>
        <v>5180736</v>
      </c>
      <c r="G102" s="1182">
        <f t="shared" si="18"/>
        <v>20604</v>
      </c>
      <c r="H102" s="26">
        <f t="shared" si="18"/>
        <v>5201340</v>
      </c>
    </row>
    <row r="103" spans="1:12" s="13" customFormat="1">
      <c r="A103" s="691"/>
      <c r="B103" s="690"/>
      <c r="J103" s="690">
        <f>+C102-C208</f>
        <v>3100881</v>
      </c>
      <c r="K103" s="690">
        <f>+D102-D208</f>
        <v>3330713</v>
      </c>
      <c r="L103" s="690">
        <f>+H102-H208</f>
        <v>0</v>
      </c>
    </row>
    <row r="104" spans="1:12" s="36" customFormat="1">
      <c r="A104" s="692"/>
      <c r="B104" s="479"/>
      <c r="C104" s="479"/>
      <c r="D104" s="479"/>
      <c r="E104" s="479"/>
      <c r="F104" s="479"/>
      <c r="G104" s="479"/>
      <c r="H104" s="479"/>
      <c r="J104" s="3"/>
      <c r="K104" s="13">
        <f>+H76-K103</f>
        <v>-2620883</v>
      </c>
    </row>
    <row r="105" spans="1:12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J105" s="3"/>
    </row>
    <row r="106" spans="1:12" s="36" customFormat="1" ht="12.75" thickBot="1">
      <c r="A106" s="38" t="s">
        <v>278</v>
      </c>
      <c r="E106" s="37"/>
      <c r="F106" s="37"/>
      <c r="G106" s="37"/>
      <c r="H106" s="37" t="s">
        <v>280</v>
      </c>
      <c r="J106" s="3"/>
    </row>
    <row r="107" spans="1:12" s="3" customFormat="1" ht="48.75" thickBot="1">
      <c r="A107" s="79" t="s">
        <v>17</v>
      </c>
      <c r="B107" s="80" t="s">
        <v>328</v>
      </c>
      <c r="C107" s="405" t="s">
        <v>1444</v>
      </c>
      <c r="D107" s="7" t="s">
        <v>1443</v>
      </c>
      <c r="E107" s="1165" t="s">
        <v>1586</v>
      </c>
      <c r="F107" s="6" t="s">
        <v>1587</v>
      </c>
      <c r="G107" s="6" t="s">
        <v>1658</v>
      </c>
      <c r="H107" s="7" t="s">
        <v>1659</v>
      </c>
    </row>
    <row r="108" spans="1:12" s="3" customFormat="1" ht="12.75" thickBot="1">
      <c r="A108" s="81" t="s">
        <v>252</v>
      </c>
      <c r="B108" s="82" t="s">
        <v>253</v>
      </c>
      <c r="C108" s="970" t="s">
        <v>254</v>
      </c>
      <c r="D108" s="969" t="s">
        <v>360</v>
      </c>
      <c r="E108" s="1450" t="s">
        <v>361</v>
      </c>
      <c r="F108" s="1451"/>
      <c r="G108" s="1451"/>
      <c r="H108" s="1452"/>
    </row>
    <row r="109" spans="1:12" s="3" customFormat="1" ht="12.75" thickBot="1">
      <c r="A109" s="83" t="s">
        <v>4</v>
      </c>
      <c r="B109" s="69" t="s">
        <v>307</v>
      </c>
      <c r="C109" s="129">
        <f t="shared" ref="C109:H109" si="19">+C110+C114+C116+C123+C132</f>
        <v>1807005</v>
      </c>
      <c r="D109" s="29">
        <f t="shared" si="19"/>
        <v>1963656</v>
      </c>
      <c r="E109" s="1358">
        <f t="shared" si="19"/>
        <v>4018748</v>
      </c>
      <c r="F109" s="1171">
        <f t="shared" si="19"/>
        <v>4625310</v>
      </c>
      <c r="G109" s="1171">
        <f t="shared" si="19"/>
        <v>-15096</v>
      </c>
      <c r="H109" s="29">
        <f t="shared" si="19"/>
        <v>4610214</v>
      </c>
    </row>
    <row r="110" spans="1:12" s="3" customFormat="1" ht="12.75" thickBot="1">
      <c r="A110" s="83" t="s">
        <v>5</v>
      </c>
      <c r="B110" s="64" t="s">
        <v>308</v>
      </c>
      <c r="C110" s="129">
        <f t="shared" ref="C110:H110" si="20">+C112+C113</f>
        <v>839058</v>
      </c>
      <c r="D110" s="29">
        <f t="shared" si="20"/>
        <v>915906</v>
      </c>
      <c r="E110" s="1358">
        <f t="shared" si="20"/>
        <v>715534</v>
      </c>
      <c r="F110" s="1171">
        <f t="shared" si="20"/>
        <v>821897</v>
      </c>
      <c r="G110" s="1171">
        <f t="shared" si="20"/>
        <v>5506</v>
      </c>
      <c r="H110" s="29">
        <f t="shared" si="20"/>
        <v>827403</v>
      </c>
    </row>
    <row r="111" spans="1:12" s="36" customFormat="1">
      <c r="A111" s="788" t="s">
        <v>348</v>
      </c>
      <c r="B111" s="789" t="s">
        <v>349</v>
      </c>
      <c r="C111" s="1042">
        <v>96862</v>
      </c>
      <c r="D111" s="1043"/>
      <c r="E111" s="1370">
        <f>+'1.mell._Össz_Mérleg2020'!C111</f>
        <v>0</v>
      </c>
      <c r="F111" s="1184">
        <f>+'1.mell._Össz_Mérleg2020'!D111</f>
        <v>0</v>
      </c>
      <c r="G111" s="1184">
        <f>+'1.mell._Össz_Mérleg2020'!E111</f>
        <v>0</v>
      </c>
      <c r="H111" s="98">
        <f>+'1.mell._Össz_Mérleg2020'!F111</f>
        <v>0</v>
      </c>
      <c r="J111" s="3"/>
    </row>
    <row r="112" spans="1:12">
      <c r="A112" s="84" t="s">
        <v>54</v>
      </c>
      <c r="B112" s="65" t="s">
        <v>126</v>
      </c>
      <c r="C112" s="404">
        <v>746559</v>
      </c>
      <c r="D112" s="35">
        <v>817739</v>
      </c>
      <c r="E112" s="1359">
        <f>+'1.mell._Össz_Mérleg2020'!C112</f>
        <v>670542</v>
      </c>
      <c r="F112" s="1172">
        <f>+'1.mell._Össz_Mérleg2020'!D112</f>
        <v>776905</v>
      </c>
      <c r="G112" s="1172">
        <f>+'1.mell._Össz_Mérleg2020'!E112</f>
        <v>5506</v>
      </c>
      <c r="H112" s="35">
        <f>+'1.mell._Össz_Mérleg2020'!F112</f>
        <v>782411</v>
      </c>
      <c r="J112" s="3"/>
    </row>
    <row r="113" spans="1:10" ht="12.75" thickBot="1">
      <c r="A113" s="78" t="s">
        <v>55</v>
      </c>
      <c r="B113" s="68" t="s">
        <v>127</v>
      </c>
      <c r="C113" s="403">
        <v>92499</v>
      </c>
      <c r="D113" s="23">
        <v>98167</v>
      </c>
      <c r="E113" s="1362">
        <f>+'1.mell._Össz_Mérleg2020'!C113</f>
        <v>44991.999999999993</v>
      </c>
      <c r="F113" s="1175">
        <f>+'1.mell._Össz_Mérleg2020'!D113</f>
        <v>44991.999999999993</v>
      </c>
      <c r="G113" s="1175">
        <f>+'1.mell._Össz_Mérleg2020'!E113</f>
        <v>0</v>
      </c>
      <c r="H113" s="23">
        <f>+'1.mell._Össz_Mérleg2020'!F113</f>
        <v>44991.999999999993</v>
      </c>
      <c r="J113" s="3"/>
    </row>
    <row r="114" spans="1:10" s="3" customFormat="1" ht="12.75" thickBot="1">
      <c r="A114" s="83" t="s">
        <v>6</v>
      </c>
      <c r="B114" s="64" t="s">
        <v>255</v>
      </c>
      <c r="C114" s="129">
        <v>153994</v>
      </c>
      <c r="D114" s="29">
        <v>169542</v>
      </c>
      <c r="E114" s="1358">
        <f>+'1.mell._Össz_Mérleg2020'!C114</f>
        <v>130817</v>
      </c>
      <c r="F114" s="1171">
        <f>+'1.mell._Össz_Mérleg2020'!D114</f>
        <v>142723</v>
      </c>
      <c r="G114" s="1171">
        <f>+'1.mell._Össz_Mérleg2020'!E114</f>
        <v>818</v>
      </c>
      <c r="H114" s="29">
        <f>+'1.mell._Össz_Mérleg2020'!F114</f>
        <v>143541</v>
      </c>
    </row>
    <row r="115" spans="1:10" s="36" customFormat="1" ht="12.75" thickBot="1">
      <c r="A115" s="788" t="s">
        <v>345</v>
      </c>
      <c r="B115" s="789" t="s">
        <v>346</v>
      </c>
      <c r="C115" s="1042">
        <v>16944</v>
      </c>
      <c r="D115" s="1043"/>
      <c r="E115" s="1370">
        <f>+'1.mell._Össz_Mérleg2020'!C115</f>
        <v>0</v>
      </c>
      <c r="F115" s="1184">
        <f>+'1.mell._Össz_Mérleg2020'!D115</f>
        <v>0</v>
      </c>
      <c r="G115" s="1184">
        <f>+'1.mell._Össz_Mérleg2020'!E115</f>
        <v>0</v>
      </c>
      <c r="H115" s="98">
        <f>+'1.mell._Össz_Mérleg2020'!F115</f>
        <v>0</v>
      </c>
      <c r="J115" s="3"/>
    </row>
    <row r="116" spans="1:10" s="3" customFormat="1" ht="12.75" thickBot="1">
      <c r="A116" s="83" t="s">
        <v>3</v>
      </c>
      <c r="B116" s="64" t="s">
        <v>342</v>
      </c>
      <c r="C116" s="129">
        <f t="shared" ref="C116:H116" si="21">+C118+C119+C120+C121+C122</f>
        <v>690773</v>
      </c>
      <c r="D116" s="29">
        <f t="shared" si="21"/>
        <v>745688</v>
      </c>
      <c r="E116" s="1358">
        <f t="shared" si="21"/>
        <v>401997</v>
      </c>
      <c r="F116" s="1171">
        <f t="shared" si="21"/>
        <v>394387</v>
      </c>
      <c r="G116" s="1171">
        <f t="shared" si="21"/>
        <v>13320</v>
      </c>
      <c r="H116" s="29">
        <f t="shared" si="21"/>
        <v>407707</v>
      </c>
    </row>
    <row r="117" spans="1:10" s="36" customFormat="1">
      <c r="A117" s="788" t="s">
        <v>340</v>
      </c>
      <c r="B117" s="789" t="s">
        <v>347</v>
      </c>
      <c r="C117" s="1042">
        <v>271494</v>
      </c>
      <c r="D117" s="1043"/>
      <c r="E117" s="1370">
        <f>+'1.mell._Össz_Mérleg2020'!C117</f>
        <v>0</v>
      </c>
      <c r="F117" s="1184">
        <f>+'1.mell._Össz_Mérleg2020'!D117</f>
        <v>0</v>
      </c>
      <c r="G117" s="1184">
        <f>+'1.mell._Össz_Mérleg2020'!E117</f>
        <v>0</v>
      </c>
      <c r="H117" s="98">
        <f>+'1.mell._Össz_Mérleg2020'!F117</f>
        <v>0</v>
      </c>
      <c r="J117" s="3"/>
    </row>
    <row r="118" spans="1:10">
      <c r="A118" s="84" t="s">
        <v>61</v>
      </c>
      <c r="B118" s="65" t="s">
        <v>128</v>
      </c>
      <c r="C118" s="404">
        <v>70377</v>
      </c>
      <c r="D118" s="35">
        <v>76493</v>
      </c>
      <c r="E118" s="1359">
        <f>+'1.mell._Össz_Mérleg2020'!C118</f>
        <v>37355</v>
      </c>
      <c r="F118" s="1172">
        <f>+'1.mell._Össz_Mérleg2020'!D118</f>
        <v>37355</v>
      </c>
      <c r="G118" s="1172">
        <f>+'1.mell._Össz_Mérleg2020'!E118</f>
        <v>0</v>
      </c>
      <c r="H118" s="35">
        <f>+'1.mell._Össz_Mérleg2020'!F118</f>
        <v>37355</v>
      </c>
      <c r="J118" s="3"/>
    </row>
    <row r="119" spans="1:10">
      <c r="A119" s="85" t="s">
        <v>62</v>
      </c>
      <c r="B119" s="67" t="s">
        <v>129</v>
      </c>
      <c r="C119" s="402">
        <v>24473</v>
      </c>
      <c r="D119" s="16">
        <v>25044</v>
      </c>
      <c r="E119" s="1361">
        <f>+'1.mell._Össz_Mérleg2020'!C119</f>
        <v>27387</v>
      </c>
      <c r="F119" s="1174">
        <f>+'1.mell._Össz_Mérleg2020'!D119</f>
        <v>27387</v>
      </c>
      <c r="G119" s="1174">
        <f>+'1.mell._Össz_Mérleg2020'!E119</f>
        <v>0</v>
      </c>
      <c r="H119" s="16">
        <f>+'1.mell._Össz_Mérleg2020'!F119</f>
        <v>27387</v>
      </c>
      <c r="J119" s="3"/>
    </row>
    <row r="120" spans="1:10">
      <c r="A120" s="85" t="s">
        <v>63</v>
      </c>
      <c r="B120" s="67" t="s">
        <v>130</v>
      </c>
      <c r="C120" s="402">
        <v>437818</v>
      </c>
      <c r="D120" s="16">
        <v>430284</v>
      </c>
      <c r="E120" s="1361">
        <f>+'1.mell._Össz_Mérleg2020'!C120</f>
        <v>225919</v>
      </c>
      <c r="F120" s="1174">
        <f>+'1.mell._Össz_Mérleg2020'!D120</f>
        <v>220352</v>
      </c>
      <c r="G120" s="1174">
        <f>+'1.mell._Össz_Mérleg2020'!E120</f>
        <v>10488</v>
      </c>
      <c r="H120" s="16">
        <f>+'1.mell._Össz_Mérleg2020'!F120</f>
        <v>230840</v>
      </c>
      <c r="J120" s="3"/>
    </row>
    <row r="121" spans="1:10">
      <c r="A121" s="85" t="s">
        <v>64</v>
      </c>
      <c r="B121" s="67" t="s">
        <v>131</v>
      </c>
      <c r="C121" s="402">
        <v>3099</v>
      </c>
      <c r="D121" s="16">
        <v>6254</v>
      </c>
      <c r="E121" s="1361">
        <f>+'1.mell._Össz_Mérleg2020'!C121</f>
        <v>2380</v>
      </c>
      <c r="F121" s="1174">
        <f>+'1.mell._Össz_Mérleg2020'!D121</f>
        <v>2380</v>
      </c>
      <c r="G121" s="1174">
        <f>+'1.mell._Össz_Mérleg2020'!E121</f>
        <v>0</v>
      </c>
      <c r="H121" s="16">
        <f>+'1.mell._Össz_Mérleg2020'!F121</f>
        <v>2380</v>
      </c>
      <c r="J121" s="3"/>
    </row>
    <row r="122" spans="1:10" ht="12.75" thickBot="1">
      <c r="A122" s="78" t="s">
        <v>65</v>
      </c>
      <c r="B122" s="68" t="s">
        <v>132</v>
      </c>
      <c r="C122" s="403">
        <v>155006</v>
      </c>
      <c r="D122" s="23">
        <f>207612+1</f>
        <v>207613</v>
      </c>
      <c r="E122" s="1362">
        <f>+'1.mell._Össz_Mérleg2020'!C122</f>
        <v>108956</v>
      </c>
      <c r="F122" s="1175">
        <f>+'1.mell._Össz_Mérleg2020'!D122</f>
        <v>106913</v>
      </c>
      <c r="G122" s="1175">
        <f>+'1.mell._Össz_Mérleg2020'!E122</f>
        <v>2832</v>
      </c>
      <c r="H122" s="23">
        <f>+'1.mell._Össz_Mérleg2020'!F122</f>
        <v>109745</v>
      </c>
      <c r="J122" s="3"/>
    </row>
    <row r="123" spans="1:10" s="3" customFormat="1" ht="12.75" thickBot="1">
      <c r="A123" s="83" t="s">
        <v>16</v>
      </c>
      <c r="B123" s="64" t="s">
        <v>309</v>
      </c>
      <c r="C123" s="129">
        <f t="shared" ref="C123:H123" si="22">+C124+C125+C126+C127+C128+C129+C130+C131</f>
        <v>54350</v>
      </c>
      <c r="D123" s="29">
        <f t="shared" si="22"/>
        <v>43161</v>
      </c>
      <c r="E123" s="1358">
        <f t="shared" si="22"/>
        <v>52779</v>
      </c>
      <c r="F123" s="1171">
        <f t="shared" si="22"/>
        <v>52779</v>
      </c>
      <c r="G123" s="1171">
        <f t="shared" si="22"/>
        <v>0</v>
      </c>
      <c r="H123" s="29">
        <f t="shared" si="22"/>
        <v>52779</v>
      </c>
    </row>
    <row r="124" spans="1:10">
      <c r="A124" s="84" t="s">
        <v>226</v>
      </c>
      <c r="B124" s="65" t="s">
        <v>133</v>
      </c>
      <c r="C124" s="404"/>
      <c r="D124" s="35"/>
      <c r="E124" s="1359">
        <f>+'1.mell._Össz_Mérleg2020'!C124</f>
        <v>0</v>
      </c>
      <c r="F124" s="1172">
        <f>+'1.mell._Össz_Mérleg2020'!D124</f>
        <v>0</v>
      </c>
      <c r="G124" s="1172">
        <f>+'1.mell._Össz_Mérleg2020'!E124</f>
        <v>0</v>
      </c>
      <c r="H124" s="35">
        <f>+'1.mell._Össz_Mérleg2020'!F124</f>
        <v>0</v>
      </c>
      <c r="J124" s="3"/>
    </row>
    <row r="125" spans="1:10">
      <c r="A125" s="85" t="s">
        <v>227</v>
      </c>
      <c r="B125" s="67" t="s">
        <v>134</v>
      </c>
      <c r="C125" s="402">
        <v>12775</v>
      </c>
      <c r="D125" s="16"/>
      <c r="E125" s="1361">
        <f>+'1.mell._Össz_Mérleg2020'!C125</f>
        <v>0</v>
      </c>
      <c r="F125" s="1174">
        <f>+'1.mell._Össz_Mérleg2020'!D125</f>
        <v>0</v>
      </c>
      <c r="G125" s="1174">
        <f>+'1.mell._Össz_Mérleg2020'!E125</f>
        <v>0</v>
      </c>
      <c r="H125" s="16">
        <f>+'1.mell._Össz_Mérleg2020'!F125</f>
        <v>0</v>
      </c>
      <c r="J125" s="3"/>
    </row>
    <row r="126" spans="1:10">
      <c r="A126" s="85" t="s">
        <v>228</v>
      </c>
      <c r="B126" s="67" t="s">
        <v>135</v>
      </c>
      <c r="C126" s="402"/>
      <c r="D126" s="16"/>
      <c r="E126" s="1361">
        <f>+'1.mell._Össz_Mérleg2020'!C126</f>
        <v>0</v>
      </c>
      <c r="F126" s="1174">
        <f>+'1.mell._Össz_Mérleg2020'!D126</f>
        <v>0</v>
      </c>
      <c r="G126" s="1174">
        <f>+'1.mell._Össz_Mérleg2020'!E126</f>
        <v>0</v>
      </c>
      <c r="H126" s="16">
        <f>+'1.mell._Össz_Mérleg2020'!F126</f>
        <v>0</v>
      </c>
      <c r="J126" s="3"/>
    </row>
    <row r="127" spans="1:10">
      <c r="A127" s="85" t="s">
        <v>256</v>
      </c>
      <c r="B127" s="67" t="s">
        <v>136</v>
      </c>
      <c r="C127" s="402"/>
      <c r="D127" s="16"/>
      <c r="E127" s="1361">
        <f>+'1.mell._Össz_Mérleg2020'!C127</f>
        <v>2400</v>
      </c>
      <c r="F127" s="1174">
        <f>+'1.mell._Össz_Mérleg2020'!D127</f>
        <v>2400</v>
      </c>
      <c r="G127" s="1174">
        <f>+'1.mell._Össz_Mérleg2020'!E127</f>
        <v>0</v>
      </c>
      <c r="H127" s="16">
        <f>+'1.mell._Össz_Mérleg2020'!F127</f>
        <v>2400</v>
      </c>
      <c r="J127" s="3"/>
    </row>
    <row r="128" spans="1:10">
      <c r="A128" s="85" t="s">
        <v>257</v>
      </c>
      <c r="B128" s="67" t="s">
        <v>137</v>
      </c>
      <c r="C128" s="402"/>
      <c r="D128" s="16"/>
      <c r="E128" s="1361">
        <f>+'1.mell._Össz_Mérleg2020'!C128</f>
        <v>0</v>
      </c>
      <c r="F128" s="1174">
        <f>+'1.mell._Össz_Mérleg2020'!D128</f>
        <v>0</v>
      </c>
      <c r="G128" s="1174">
        <f>+'1.mell._Össz_Mérleg2020'!E128</f>
        <v>0</v>
      </c>
      <c r="H128" s="16">
        <f>+'1.mell._Össz_Mérleg2020'!F128</f>
        <v>0</v>
      </c>
      <c r="J128" s="3"/>
    </row>
    <row r="129" spans="1:10">
      <c r="A129" s="85" t="s">
        <v>258</v>
      </c>
      <c r="B129" s="67" t="s">
        <v>138</v>
      </c>
      <c r="C129" s="402"/>
      <c r="D129" s="16">
        <v>2461</v>
      </c>
      <c r="E129" s="1361">
        <f>+'1.mell._Össz_Mérleg2020'!C129</f>
        <v>19200</v>
      </c>
      <c r="F129" s="1174">
        <f>+'1.mell._Össz_Mérleg2020'!D129</f>
        <v>19200</v>
      </c>
      <c r="G129" s="1174">
        <f>+'1.mell._Össz_Mérleg2020'!E129</f>
        <v>0</v>
      </c>
      <c r="H129" s="16">
        <f>+'1.mell._Össz_Mérleg2020'!F129</f>
        <v>19200</v>
      </c>
      <c r="J129" s="3"/>
    </row>
    <row r="130" spans="1:10">
      <c r="A130" s="85" t="s">
        <v>259</v>
      </c>
      <c r="B130" s="67" t="s">
        <v>139</v>
      </c>
      <c r="C130" s="402">
        <v>2300</v>
      </c>
      <c r="D130" s="16"/>
      <c r="E130" s="1361">
        <f>+'1.mell._Össz_Mérleg2020'!C130</f>
        <v>8299</v>
      </c>
      <c r="F130" s="1174">
        <f>+'1.mell._Össz_Mérleg2020'!D130</f>
        <v>8299</v>
      </c>
      <c r="G130" s="1174">
        <f>+'1.mell._Össz_Mérleg2020'!E130</f>
        <v>0</v>
      </c>
      <c r="H130" s="16">
        <f>+'1.mell._Össz_Mérleg2020'!F130</f>
        <v>8299</v>
      </c>
      <c r="J130" s="3"/>
    </row>
    <row r="131" spans="1:10" ht="12.75" thickBot="1">
      <c r="A131" s="78" t="s">
        <v>260</v>
      </c>
      <c r="B131" s="68" t="s">
        <v>140</v>
      </c>
      <c r="C131" s="403">
        <v>39275</v>
      </c>
      <c r="D131" s="23">
        <v>40700</v>
      </c>
      <c r="E131" s="1362">
        <f>+'1.mell._Össz_Mérleg2020'!C131</f>
        <v>22880</v>
      </c>
      <c r="F131" s="1175">
        <f>+'1.mell._Össz_Mérleg2020'!D131</f>
        <v>22880</v>
      </c>
      <c r="G131" s="1175">
        <f>+'1.mell._Össz_Mérleg2020'!E131</f>
        <v>0</v>
      </c>
      <c r="H131" s="23">
        <f>+'1.mell._Össz_Mérleg2020'!F131</f>
        <v>22880</v>
      </c>
      <c r="J131" s="3"/>
    </row>
    <row r="132" spans="1:10" s="3" customFormat="1" ht="12.75" thickBot="1">
      <c r="A132" s="83" t="s">
        <v>15</v>
      </c>
      <c r="B132" s="64" t="s">
        <v>923</v>
      </c>
      <c r="C132" s="129">
        <f t="shared" ref="C132:H132" si="23">+C133+C134+C135+C136+C137+C138+C140+C141+C142+C143+C144+C145+C146</f>
        <v>68830</v>
      </c>
      <c r="D132" s="29">
        <f t="shared" si="23"/>
        <v>89359</v>
      </c>
      <c r="E132" s="1358">
        <f t="shared" si="23"/>
        <v>2717621</v>
      </c>
      <c r="F132" s="1171">
        <f t="shared" si="23"/>
        <v>3213524</v>
      </c>
      <c r="G132" s="1171">
        <f t="shared" si="23"/>
        <v>-34740</v>
      </c>
      <c r="H132" s="29">
        <f t="shared" si="23"/>
        <v>3178784</v>
      </c>
    </row>
    <row r="133" spans="1:10">
      <c r="A133" s="84" t="s">
        <v>87</v>
      </c>
      <c r="B133" s="65" t="s">
        <v>141</v>
      </c>
      <c r="C133" s="404"/>
      <c r="D133" s="35"/>
      <c r="E133" s="1359">
        <f>+'1.mell._Össz_Mérleg2020'!C133</f>
        <v>0</v>
      </c>
      <c r="F133" s="1172">
        <f>+'1.mell._Össz_Mérleg2020'!D133</f>
        <v>0</v>
      </c>
      <c r="G133" s="1172">
        <f>+'1.mell._Össz_Mérleg2020'!E133</f>
        <v>0</v>
      </c>
      <c r="H133" s="35">
        <f>+'1.mell._Össz_Mérleg2020'!F133</f>
        <v>0</v>
      </c>
      <c r="J133" s="3"/>
    </row>
    <row r="134" spans="1:10">
      <c r="A134" s="85" t="s">
        <v>88</v>
      </c>
      <c r="B134" s="67" t="s">
        <v>142</v>
      </c>
      <c r="C134" s="402">
        <v>4931</v>
      </c>
      <c r="D134" s="16">
        <f>10258-1</f>
        <v>10257</v>
      </c>
      <c r="E134" s="1361">
        <f>+'1.mell._Össz_Mérleg2020'!C134</f>
        <v>9014</v>
      </c>
      <c r="F134" s="1174">
        <f>+'1.mell._Össz_Mérleg2020'!D134</f>
        <v>33148</v>
      </c>
      <c r="G134" s="1174">
        <f>+'1.mell._Össz_Mérleg2020'!E134</f>
        <v>0</v>
      </c>
      <c r="H134" s="16">
        <f>+'1.mell._Össz_Mérleg2020'!F134</f>
        <v>33148</v>
      </c>
      <c r="J134" s="3"/>
    </row>
    <row r="135" spans="1:10">
      <c r="A135" s="85" t="s">
        <v>181</v>
      </c>
      <c r="B135" s="67" t="s">
        <v>143</v>
      </c>
      <c r="C135" s="402"/>
      <c r="D135" s="16"/>
      <c r="E135" s="1361">
        <f>+'1.mell._Össz_Mérleg2020'!C135</f>
        <v>0</v>
      </c>
      <c r="F135" s="1174">
        <f>+'1.mell._Össz_Mérleg2020'!D135</f>
        <v>0</v>
      </c>
      <c r="G135" s="1174">
        <f>+'1.mell._Össz_Mérleg2020'!E135</f>
        <v>0</v>
      </c>
      <c r="H135" s="16">
        <f>+'1.mell._Össz_Mérleg2020'!F135</f>
        <v>0</v>
      </c>
      <c r="J135" s="3"/>
    </row>
    <row r="136" spans="1:10">
      <c r="A136" s="85" t="s">
        <v>182</v>
      </c>
      <c r="B136" s="67" t="s">
        <v>144</v>
      </c>
      <c r="C136" s="402"/>
      <c r="D136" s="16"/>
      <c r="E136" s="1361">
        <f>+'1.mell._Össz_Mérleg2020'!C136</f>
        <v>0</v>
      </c>
      <c r="F136" s="1174">
        <f>+'1.mell._Össz_Mérleg2020'!D136</f>
        <v>0</v>
      </c>
      <c r="G136" s="1174">
        <f>+'1.mell._Össz_Mérleg2020'!E136</f>
        <v>0</v>
      </c>
      <c r="H136" s="16">
        <f>+'1.mell._Össz_Mérleg2020'!F136</f>
        <v>0</v>
      </c>
      <c r="J136" s="3"/>
    </row>
    <row r="137" spans="1:10">
      <c r="A137" s="85" t="s">
        <v>183</v>
      </c>
      <c r="B137" s="67" t="s">
        <v>145</v>
      </c>
      <c r="C137" s="402"/>
      <c r="D137" s="16"/>
      <c r="E137" s="1361">
        <f>+'1.mell._Össz_Mérleg2020'!C137</f>
        <v>0</v>
      </c>
      <c r="F137" s="1174">
        <f>+'1.mell._Össz_Mérleg2020'!D137</f>
        <v>0</v>
      </c>
      <c r="G137" s="1174">
        <f>+'1.mell._Össz_Mérleg2020'!E137</f>
        <v>0</v>
      </c>
      <c r="H137" s="16">
        <f>+'1.mell._Össz_Mérleg2020'!F137</f>
        <v>0</v>
      </c>
      <c r="J137" s="3"/>
    </row>
    <row r="138" spans="1:10">
      <c r="A138" s="85" t="s">
        <v>261</v>
      </c>
      <c r="B138" s="67" t="s">
        <v>146</v>
      </c>
      <c r="C138" s="402">
        <v>10526</v>
      </c>
      <c r="D138" s="16">
        <v>17991</v>
      </c>
      <c r="E138" s="1361">
        <f>+'1.mell._Össz_Mérleg2020'!C138</f>
        <v>9332</v>
      </c>
      <c r="F138" s="1174">
        <f>+'1.mell._Össz_Mérleg2020'!D138</f>
        <v>9332</v>
      </c>
      <c r="G138" s="1174">
        <f>+'1.mell._Össz_Mérleg2020'!E138</f>
        <v>0</v>
      </c>
      <c r="H138" s="16">
        <f>+'1.mell._Össz_Mérleg2020'!F138</f>
        <v>9332</v>
      </c>
      <c r="J138" s="3"/>
    </row>
    <row r="139" spans="1:10" s="13" customFormat="1">
      <c r="A139" s="89" t="s">
        <v>335</v>
      </c>
      <c r="B139" s="787" t="s">
        <v>929</v>
      </c>
      <c r="C139" s="1038">
        <v>2720</v>
      </c>
      <c r="D139" s="1039"/>
      <c r="E139" s="1363">
        <f>+'1.mell._Össz_Mérleg2020'!C139</f>
        <v>0</v>
      </c>
      <c r="F139" s="1176">
        <f>+'1.mell._Össz_Mérleg2020'!D139</f>
        <v>0</v>
      </c>
      <c r="G139" s="1176">
        <f>+'1.mell._Össz_Mérleg2020'!E139</f>
        <v>0</v>
      </c>
      <c r="H139" s="44">
        <f>+'1.mell._Össz_Mérleg2020'!F139</f>
        <v>0</v>
      </c>
      <c r="J139" s="3"/>
    </row>
    <row r="140" spans="1:10">
      <c r="A140" s="85" t="s">
        <v>262</v>
      </c>
      <c r="B140" s="67" t="s">
        <v>147</v>
      </c>
      <c r="C140" s="402"/>
      <c r="D140" s="16"/>
      <c r="E140" s="1361">
        <f>+'1.mell._Össz_Mérleg2020'!C140</f>
        <v>0</v>
      </c>
      <c r="F140" s="1174">
        <f>+'1.mell._Össz_Mérleg2020'!D140</f>
        <v>0</v>
      </c>
      <c r="G140" s="1174">
        <f>+'1.mell._Össz_Mérleg2020'!E140</f>
        <v>0</v>
      </c>
      <c r="H140" s="16">
        <f>+'1.mell._Össz_Mérleg2020'!F140</f>
        <v>0</v>
      </c>
      <c r="J140" s="3"/>
    </row>
    <row r="141" spans="1:10">
      <c r="A141" s="85" t="s">
        <v>263</v>
      </c>
      <c r="B141" s="67" t="s">
        <v>148</v>
      </c>
      <c r="C141" s="402">
        <v>9401</v>
      </c>
      <c r="D141" s="16">
        <v>8814</v>
      </c>
      <c r="E141" s="1361">
        <f>+'1.mell._Össz_Mérleg2020'!C141</f>
        <v>0</v>
      </c>
      <c r="F141" s="1174">
        <f>+'1.mell._Össz_Mérleg2020'!D141</f>
        <v>4600</v>
      </c>
      <c r="G141" s="1174">
        <f>+'1.mell._Össz_Mérleg2020'!E141</f>
        <v>0</v>
      </c>
      <c r="H141" s="16">
        <f>+'1.mell._Össz_Mérleg2020'!F141</f>
        <v>4600</v>
      </c>
      <c r="J141" s="3"/>
    </row>
    <row r="142" spans="1:10">
      <c r="A142" s="85" t="s">
        <v>264</v>
      </c>
      <c r="B142" s="67" t="s">
        <v>149</v>
      </c>
      <c r="C142" s="402"/>
      <c r="D142" s="16"/>
      <c r="E142" s="1361">
        <f>+'1.mell._Össz_Mérleg2020'!C142</f>
        <v>0</v>
      </c>
      <c r="F142" s="1174">
        <f>+'1.mell._Össz_Mérleg2020'!D142</f>
        <v>0</v>
      </c>
      <c r="G142" s="1174">
        <f>+'1.mell._Össz_Mérleg2020'!E142</f>
        <v>0</v>
      </c>
      <c r="H142" s="16">
        <f>+'1.mell._Össz_Mérleg2020'!F142</f>
        <v>0</v>
      </c>
      <c r="J142" s="3"/>
    </row>
    <row r="143" spans="1:10">
      <c r="A143" s="85" t="s">
        <v>265</v>
      </c>
      <c r="B143" s="67" t="s">
        <v>150</v>
      </c>
      <c r="C143" s="402"/>
      <c r="D143" s="16"/>
      <c r="E143" s="1361">
        <f>+'1.mell._Össz_Mérleg2020'!C143</f>
        <v>0</v>
      </c>
      <c r="F143" s="1174">
        <f>+'1.mell._Össz_Mérleg2020'!D143</f>
        <v>0</v>
      </c>
      <c r="G143" s="1174">
        <f>+'1.mell._Össz_Mérleg2020'!E143</f>
        <v>0</v>
      </c>
      <c r="H143" s="16">
        <f>+'1.mell._Össz_Mérleg2020'!F143</f>
        <v>0</v>
      </c>
      <c r="J143" s="3"/>
    </row>
    <row r="144" spans="1:10">
      <c r="A144" s="85" t="s">
        <v>266</v>
      </c>
      <c r="B144" s="67" t="s">
        <v>924</v>
      </c>
      <c r="C144" s="402"/>
      <c r="D144" s="16"/>
      <c r="E144" s="1361">
        <f>+'1.mell._Össz_Mérleg2020'!C144</f>
        <v>0</v>
      </c>
      <c r="F144" s="1174">
        <f>+'1.mell._Össz_Mérleg2020'!D144</f>
        <v>0</v>
      </c>
      <c r="G144" s="1174">
        <f>+'1.mell._Össz_Mérleg2020'!E144</f>
        <v>0</v>
      </c>
      <c r="H144" s="16">
        <f>+'1.mell._Össz_Mérleg2020'!F144</f>
        <v>0</v>
      </c>
      <c r="J144" s="3"/>
    </row>
    <row r="145" spans="1:10">
      <c r="A145" s="85" t="s">
        <v>267</v>
      </c>
      <c r="B145" s="67" t="s">
        <v>925</v>
      </c>
      <c r="C145" s="402">
        <v>43972</v>
      </c>
      <c r="D145" s="16">
        <v>52297</v>
      </c>
      <c r="E145" s="1361">
        <f>+'1.mell._Össz_Mérleg2020'!C145</f>
        <v>51350</v>
      </c>
      <c r="F145" s="1174">
        <f>+'1.mell._Össz_Mérleg2020'!D145</f>
        <v>52156</v>
      </c>
      <c r="G145" s="1174">
        <f>+'1.mell._Össz_Mérleg2020'!E145</f>
        <v>0</v>
      </c>
      <c r="H145" s="16">
        <f>+'1.mell._Össz_Mérleg2020'!F145</f>
        <v>52156</v>
      </c>
      <c r="J145" s="3"/>
    </row>
    <row r="146" spans="1:10">
      <c r="A146" s="78" t="s">
        <v>920</v>
      </c>
      <c r="B146" s="68" t="s">
        <v>926</v>
      </c>
      <c r="C146" s="403">
        <f t="shared" ref="C146:H146" si="24">+C147+C148</f>
        <v>0</v>
      </c>
      <c r="D146" s="23">
        <f t="shared" si="24"/>
        <v>0</v>
      </c>
      <c r="E146" s="1362">
        <f t="shared" si="24"/>
        <v>2647925</v>
      </c>
      <c r="F146" s="1175">
        <f t="shared" si="24"/>
        <v>3114288</v>
      </c>
      <c r="G146" s="1175">
        <f t="shared" si="24"/>
        <v>-34740</v>
      </c>
      <c r="H146" s="23">
        <f t="shared" si="24"/>
        <v>3079548</v>
      </c>
      <c r="J146" s="3"/>
    </row>
    <row r="147" spans="1:10" s="13" customFormat="1">
      <c r="A147" s="89" t="s">
        <v>921</v>
      </c>
      <c r="B147" s="74" t="s">
        <v>927</v>
      </c>
      <c r="C147" s="401"/>
      <c r="D147" s="44"/>
      <c r="E147" s="1363">
        <f>+'1.mell._Össz_Mérleg2020'!C147</f>
        <v>15000</v>
      </c>
      <c r="F147" s="1176">
        <f>+'1.mell._Össz_Mérleg2020'!D147</f>
        <v>7901</v>
      </c>
      <c r="G147" s="1176">
        <f>+'1.mell._Össz_Mérleg2020'!E147</f>
        <v>-5203</v>
      </c>
      <c r="H147" s="44">
        <f>+'1.mell._Össz_Mérleg2020'!F147</f>
        <v>2698</v>
      </c>
      <c r="J147" s="3"/>
    </row>
    <row r="148" spans="1:10" s="13" customFormat="1" ht="12.75" thickBot="1">
      <c r="A148" s="89" t="s">
        <v>922</v>
      </c>
      <c r="B148" s="74" t="s">
        <v>928</v>
      </c>
      <c r="C148" s="401"/>
      <c r="D148" s="44"/>
      <c r="E148" s="1363">
        <f>+'1.mell._Össz_Mérleg2020'!C148</f>
        <v>2632925</v>
      </c>
      <c r="F148" s="1176">
        <f>+'1.mell._Össz_Mérleg2020'!D148</f>
        <v>3106387</v>
      </c>
      <c r="G148" s="1176">
        <f>+'1.mell._Össz_Mérleg2020'!E148</f>
        <v>-29537</v>
      </c>
      <c r="H148" s="44">
        <f>+'1.mell._Össz_Mérleg2020'!F148</f>
        <v>3076850</v>
      </c>
      <c r="J148" s="3"/>
    </row>
    <row r="149" spans="1:10" s="3" customFormat="1" ht="12.75" thickBot="1">
      <c r="A149" s="83" t="s">
        <v>14</v>
      </c>
      <c r="B149" s="69" t="s">
        <v>310</v>
      </c>
      <c r="C149" s="129">
        <f t="shared" ref="C149:H149" si="25">+C150+C159+C165</f>
        <v>706531</v>
      </c>
      <c r="D149" s="29">
        <f t="shared" si="25"/>
        <v>1068829</v>
      </c>
      <c r="E149" s="1358">
        <f t="shared" si="25"/>
        <v>503980</v>
      </c>
      <c r="F149" s="1171">
        <f t="shared" si="25"/>
        <v>524980</v>
      </c>
      <c r="G149" s="1171">
        <f t="shared" si="25"/>
        <v>35700</v>
      </c>
      <c r="H149" s="29">
        <f t="shared" si="25"/>
        <v>560680</v>
      </c>
    </row>
    <row r="150" spans="1:10" s="3" customFormat="1" ht="12.75" thickBot="1">
      <c r="A150" s="83" t="s">
        <v>13</v>
      </c>
      <c r="B150" s="64" t="s">
        <v>311</v>
      </c>
      <c r="C150" s="129">
        <f t="shared" ref="C150:H150" si="26">+C152+C153+C154+C155+C156+C157+C158</f>
        <v>476531</v>
      </c>
      <c r="D150" s="29">
        <f t="shared" si="26"/>
        <v>815877</v>
      </c>
      <c r="E150" s="1358">
        <f t="shared" si="26"/>
        <v>436722</v>
      </c>
      <c r="F150" s="1171">
        <f t="shared" si="26"/>
        <v>463722</v>
      </c>
      <c r="G150" s="1171">
        <f t="shared" si="26"/>
        <v>16538</v>
      </c>
      <c r="H150" s="29">
        <f t="shared" si="26"/>
        <v>480260</v>
      </c>
    </row>
    <row r="151" spans="1:10" s="36" customFormat="1">
      <c r="A151" s="788" t="s">
        <v>930</v>
      </c>
      <c r="B151" s="789" t="s">
        <v>341</v>
      </c>
      <c r="C151" s="1042">
        <v>377145</v>
      </c>
      <c r="D151" s="1043"/>
      <c r="E151" s="1370">
        <f>+'1.mell._Össz_Mérleg2020'!C151</f>
        <v>0</v>
      </c>
      <c r="F151" s="1184">
        <f>+'1.mell._Össz_Mérleg2020'!D151</f>
        <v>0</v>
      </c>
      <c r="G151" s="1184">
        <f>+'1.mell._Össz_Mérleg2020'!E151</f>
        <v>0</v>
      </c>
      <c r="H151" s="98">
        <f>+'1.mell._Össz_Mérleg2020'!F151</f>
        <v>0</v>
      </c>
      <c r="J151" s="3"/>
    </row>
    <row r="152" spans="1:10">
      <c r="A152" s="84" t="s">
        <v>66</v>
      </c>
      <c r="B152" s="65" t="s">
        <v>151</v>
      </c>
      <c r="C152" s="404">
        <v>1102</v>
      </c>
      <c r="D152" s="35">
        <v>265</v>
      </c>
      <c r="E152" s="1359">
        <f>+'1.mell._Össz_Mérleg2020'!C152</f>
        <v>11811</v>
      </c>
      <c r="F152" s="1172">
        <f>+'1.mell._Össz_Mérleg2020'!D152</f>
        <v>30811</v>
      </c>
      <c r="G152" s="1172">
        <f>+'1.mell._Össz_Mérleg2020'!E152</f>
        <v>0</v>
      </c>
      <c r="H152" s="35">
        <f>+'1.mell._Össz_Mérleg2020'!F152</f>
        <v>30811</v>
      </c>
      <c r="J152" s="3"/>
    </row>
    <row r="153" spans="1:10">
      <c r="A153" s="85" t="s">
        <v>67</v>
      </c>
      <c r="B153" s="67" t="s">
        <v>152</v>
      </c>
      <c r="C153" s="402">
        <v>312152</v>
      </c>
      <c r="D153" s="16">
        <v>753110</v>
      </c>
      <c r="E153" s="1361">
        <f>+'1.mell._Össz_Mérleg2020'!C153</f>
        <v>328543</v>
      </c>
      <c r="F153" s="1174">
        <f>+'1.mell._Össz_Mérleg2020'!D153</f>
        <v>333043</v>
      </c>
      <c r="G153" s="1174">
        <f>+'1.mell._Össz_Mérleg2020'!E153</f>
        <v>3940</v>
      </c>
      <c r="H153" s="16">
        <f>+'1.mell._Össz_Mérleg2020'!F153</f>
        <v>336983</v>
      </c>
      <c r="J153" s="3"/>
    </row>
    <row r="154" spans="1:10">
      <c r="A154" s="85" t="s">
        <v>68</v>
      </c>
      <c r="B154" s="67" t="s">
        <v>153</v>
      </c>
      <c r="C154" s="402">
        <v>19415</v>
      </c>
      <c r="D154" s="16">
        <v>3390</v>
      </c>
      <c r="E154" s="1361">
        <f>+'1.mell._Össz_Mérleg2020'!C154</f>
        <v>3700</v>
      </c>
      <c r="F154" s="1174">
        <f>+'1.mell._Össz_Mérleg2020'!D154</f>
        <v>3700</v>
      </c>
      <c r="G154" s="1174">
        <f>+'1.mell._Össz_Mérleg2020'!E154</f>
        <v>0</v>
      </c>
      <c r="H154" s="16">
        <f>+'1.mell._Össz_Mérleg2020'!F154</f>
        <v>3700</v>
      </c>
      <c r="J154" s="3"/>
    </row>
    <row r="155" spans="1:10">
      <c r="A155" s="85" t="s">
        <v>229</v>
      </c>
      <c r="B155" s="67" t="s">
        <v>154</v>
      </c>
      <c r="C155" s="402">
        <v>55680</v>
      </c>
      <c r="D155" s="16">
        <v>40252</v>
      </c>
      <c r="E155" s="1361">
        <f>+'1.mell._Össz_Mérleg2020'!C155</f>
        <v>10449</v>
      </c>
      <c r="F155" s="1174">
        <f>+'1.mell._Össz_Mérleg2020'!D155</f>
        <v>8481</v>
      </c>
      <c r="G155" s="1174">
        <f>+'1.mell._Össz_Mérleg2020'!E155</f>
        <v>9920</v>
      </c>
      <c r="H155" s="16">
        <f>+'1.mell._Össz_Mérleg2020'!F155</f>
        <v>18401</v>
      </c>
      <c r="J155" s="3"/>
    </row>
    <row r="156" spans="1:10">
      <c r="A156" s="85" t="s">
        <v>230</v>
      </c>
      <c r="B156" s="67" t="s">
        <v>155</v>
      </c>
      <c r="C156" s="402">
        <v>5000</v>
      </c>
      <c r="D156" s="16"/>
      <c r="E156" s="1361">
        <f>+'1.mell._Össz_Mérleg2020'!C156</f>
        <v>0</v>
      </c>
      <c r="F156" s="1174">
        <f>+'1.mell._Össz_Mérleg2020'!D156</f>
        <v>6000</v>
      </c>
      <c r="G156" s="1174">
        <f>+'1.mell._Össz_Mérleg2020'!E156</f>
        <v>0</v>
      </c>
      <c r="H156" s="16">
        <f>+'1.mell._Össz_Mérleg2020'!F156</f>
        <v>6000</v>
      </c>
      <c r="J156" s="3"/>
    </row>
    <row r="157" spans="1:10">
      <c r="A157" s="85" t="s">
        <v>268</v>
      </c>
      <c r="B157" s="67" t="s">
        <v>156</v>
      </c>
      <c r="C157" s="402">
        <v>0</v>
      </c>
      <c r="D157" s="16"/>
      <c r="E157" s="1361">
        <f>+'1.mell._Össz_Mérleg2020'!C157</f>
        <v>0</v>
      </c>
      <c r="F157" s="1174">
        <f>+'1.mell._Össz_Mérleg2020'!D157</f>
        <v>0</v>
      </c>
      <c r="G157" s="1174">
        <f>+'1.mell._Össz_Mérleg2020'!E157</f>
        <v>0</v>
      </c>
      <c r="H157" s="16">
        <f>+'1.mell._Össz_Mérleg2020'!F157</f>
        <v>0</v>
      </c>
      <c r="J157" s="3"/>
    </row>
    <row r="158" spans="1:10" ht="12.75" thickBot="1">
      <c r="A158" s="78" t="s">
        <v>269</v>
      </c>
      <c r="B158" s="68" t="s">
        <v>157</v>
      </c>
      <c r="C158" s="403">
        <v>83182</v>
      </c>
      <c r="D158" s="23">
        <v>18860</v>
      </c>
      <c r="E158" s="1362">
        <f>+'1.mell._Össz_Mérleg2020'!C158</f>
        <v>82219</v>
      </c>
      <c r="F158" s="1175">
        <f>+'1.mell._Össz_Mérleg2020'!D158</f>
        <v>81687</v>
      </c>
      <c r="G158" s="1175">
        <f>+'1.mell._Össz_Mérleg2020'!E158</f>
        <v>2678</v>
      </c>
      <c r="H158" s="23">
        <f>+'1.mell._Össz_Mérleg2020'!F158</f>
        <v>84365</v>
      </c>
      <c r="J158" s="3"/>
    </row>
    <row r="159" spans="1:10" s="3" customFormat="1" ht="12.75" thickBot="1">
      <c r="A159" s="83" t="s">
        <v>12</v>
      </c>
      <c r="B159" s="64" t="s">
        <v>312</v>
      </c>
      <c r="C159" s="129">
        <f t="shared" ref="C159:H159" si="27">+C161+C162+C163+C164</f>
        <v>228800</v>
      </c>
      <c r="D159" s="29">
        <f t="shared" si="27"/>
        <v>252934</v>
      </c>
      <c r="E159" s="1358">
        <f t="shared" si="27"/>
        <v>67258</v>
      </c>
      <c r="F159" s="1171">
        <f t="shared" si="27"/>
        <v>61258</v>
      </c>
      <c r="G159" s="1171">
        <f t="shared" si="27"/>
        <v>0</v>
      </c>
      <c r="H159" s="29">
        <f t="shared" si="27"/>
        <v>61258</v>
      </c>
    </row>
    <row r="160" spans="1:10" s="36" customFormat="1">
      <c r="A160" s="788" t="s">
        <v>343</v>
      </c>
      <c r="B160" s="789" t="s">
        <v>344</v>
      </c>
      <c r="C160" s="1042">
        <v>212673</v>
      </c>
      <c r="D160" s="1043"/>
      <c r="E160" s="1370">
        <f>+'1.mell._Össz_Mérleg2020'!C160</f>
        <v>0</v>
      </c>
      <c r="F160" s="1184">
        <f>+'1.mell._Össz_Mérleg2020'!D160</f>
        <v>0</v>
      </c>
      <c r="G160" s="1184">
        <f>+'1.mell._Össz_Mérleg2020'!E160</f>
        <v>0</v>
      </c>
      <c r="H160" s="98">
        <f>+'1.mell._Össz_Mérleg2020'!F160</f>
        <v>0</v>
      </c>
      <c r="J160" s="3"/>
    </row>
    <row r="161" spans="1:10">
      <c r="A161" s="84" t="s">
        <v>69</v>
      </c>
      <c r="B161" s="65" t="s">
        <v>158</v>
      </c>
      <c r="C161" s="404">
        <v>178158</v>
      </c>
      <c r="D161" s="35">
        <v>209003</v>
      </c>
      <c r="E161" s="1359">
        <f>+'1.mell._Össz_Mérleg2020'!C161</f>
        <v>52959</v>
      </c>
      <c r="F161" s="1172">
        <f>+'1.mell._Össz_Mérleg2020'!D161</f>
        <v>48235</v>
      </c>
      <c r="G161" s="1172">
        <f>+'1.mell._Össz_Mérleg2020'!E161</f>
        <v>0</v>
      </c>
      <c r="H161" s="35">
        <f>+'1.mell._Össz_Mérleg2020'!F161</f>
        <v>48235</v>
      </c>
      <c r="J161" s="3"/>
    </row>
    <row r="162" spans="1:10">
      <c r="A162" s="85" t="s">
        <v>70</v>
      </c>
      <c r="B162" s="67" t="s">
        <v>159</v>
      </c>
      <c r="C162" s="402">
        <v>0</v>
      </c>
      <c r="D162" s="16"/>
      <c r="E162" s="1361">
        <f>+'1.mell._Össz_Mérleg2020'!C162</f>
        <v>0</v>
      </c>
      <c r="F162" s="1174">
        <f>+'1.mell._Össz_Mérleg2020'!D162</f>
        <v>0</v>
      </c>
      <c r="G162" s="1174">
        <f>+'1.mell._Össz_Mérleg2020'!E162</f>
        <v>0</v>
      </c>
      <c r="H162" s="16">
        <f>+'1.mell._Össz_Mérleg2020'!F162</f>
        <v>0</v>
      </c>
      <c r="J162" s="3"/>
    </row>
    <row r="163" spans="1:10">
      <c r="A163" s="85" t="s">
        <v>71</v>
      </c>
      <c r="B163" s="67" t="s">
        <v>160</v>
      </c>
      <c r="C163" s="402">
        <v>2109</v>
      </c>
      <c r="D163" s="16"/>
      <c r="E163" s="1361">
        <f>+'1.mell._Össz_Mérleg2020'!C163</f>
        <v>0</v>
      </c>
      <c r="F163" s="1174">
        <f>+'1.mell._Össz_Mérleg2020'!D163</f>
        <v>0</v>
      </c>
      <c r="G163" s="1174">
        <f>+'1.mell._Össz_Mérleg2020'!E163</f>
        <v>0</v>
      </c>
      <c r="H163" s="16">
        <f>+'1.mell._Össz_Mérleg2020'!F163</f>
        <v>0</v>
      </c>
      <c r="J163" s="3"/>
    </row>
    <row r="164" spans="1:10" ht="12.75" thickBot="1">
      <c r="A164" s="78" t="s">
        <v>72</v>
      </c>
      <c r="B164" s="68" t="s">
        <v>161</v>
      </c>
      <c r="C164" s="403">
        <v>48533</v>
      </c>
      <c r="D164" s="23">
        <v>43931</v>
      </c>
      <c r="E164" s="1362">
        <f>+'1.mell._Össz_Mérleg2020'!C164</f>
        <v>14299</v>
      </c>
      <c r="F164" s="1175">
        <f>+'1.mell._Össz_Mérleg2020'!D164</f>
        <v>13023</v>
      </c>
      <c r="G164" s="1175">
        <f>+'1.mell._Össz_Mérleg2020'!E164</f>
        <v>0</v>
      </c>
      <c r="H164" s="23">
        <f>+'1.mell._Össz_Mérleg2020'!F164</f>
        <v>13023</v>
      </c>
      <c r="J164" s="3"/>
    </row>
    <row r="165" spans="1:10" s="3" customFormat="1" ht="12.75" thickBot="1">
      <c r="A165" s="83" t="s">
        <v>11</v>
      </c>
      <c r="B165" s="64" t="s">
        <v>932</v>
      </c>
      <c r="C165" s="129">
        <f t="shared" ref="C165:H165" si="28">+C166+C167+C168+C169+C171+C172+C173+C174+C175</f>
        <v>1200</v>
      </c>
      <c r="D165" s="29">
        <f t="shared" si="28"/>
        <v>18</v>
      </c>
      <c r="E165" s="1358">
        <f t="shared" si="28"/>
        <v>0</v>
      </c>
      <c r="F165" s="1171">
        <f t="shared" si="28"/>
        <v>0</v>
      </c>
      <c r="G165" s="1171">
        <f t="shared" si="28"/>
        <v>19162</v>
      </c>
      <c r="H165" s="29">
        <f t="shared" si="28"/>
        <v>19162</v>
      </c>
    </row>
    <row r="166" spans="1:10">
      <c r="A166" s="84" t="s">
        <v>270</v>
      </c>
      <c r="B166" s="65" t="s">
        <v>162</v>
      </c>
      <c r="C166" s="404"/>
      <c r="D166" s="35"/>
      <c r="E166" s="1359">
        <f>+'1.mell._Össz_Mérleg2020'!C166</f>
        <v>0</v>
      </c>
      <c r="F166" s="1172">
        <f>+'1.mell._Össz_Mérleg2020'!D166</f>
        <v>0</v>
      </c>
      <c r="G166" s="1172">
        <f>+'1.mell._Össz_Mérleg2020'!E166</f>
        <v>0</v>
      </c>
      <c r="H166" s="35">
        <f>+'1.mell._Össz_Mérleg2020'!F166</f>
        <v>0</v>
      </c>
      <c r="J166" s="3"/>
    </row>
    <row r="167" spans="1:10">
      <c r="A167" s="85" t="s">
        <v>271</v>
      </c>
      <c r="B167" s="67" t="s">
        <v>163</v>
      </c>
      <c r="C167" s="402"/>
      <c r="D167" s="16"/>
      <c r="E167" s="1361">
        <f>+'1.mell._Össz_Mérleg2020'!C167</f>
        <v>0</v>
      </c>
      <c r="F167" s="1174">
        <f>+'1.mell._Össz_Mérleg2020'!D167</f>
        <v>0</v>
      </c>
      <c r="G167" s="1174">
        <f>+'1.mell._Össz_Mérleg2020'!E167</f>
        <v>0</v>
      </c>
      <c r="H167" s="16">
        <f>+'1.mell._Össz_Mérleg2020'!F167</f>
        <v>0</v>
      </c>
      <c r="J167" s="3"/>
    </row>
    <row r="168" spans="1:10">
      <c r="A168" s="85" t="s">
        <v>272</v>
      </c>
      <c r="B168" s="67" t="s">
        <v>164</v>
      </c>
      <c r="C168" s="402"/>
      <c r="D168" s="16"/>
      <c r="E168" s="1361">
        <f>+'1.mell._Össz_Mérleg2020'!C168</f>
        <v>0</v>
      </c>
      <c r="F168" s="1174">
        <f>+'1.mell._Össz_Mérleg2020'!D168</f>
        <v>0</v>
      </c>
      <c r="G168" s="1174">
        <f>+'1.mell._Össz_Mérleg2020'!E168</f>
        <v>0</v>
      </c>
      <c r="H168" s="16">
        <f>+'1.mell._Össz_Mérleg2020'!F168</f>
        <v>0</v>
      </c>
      <c r="J168" s="3"/>
    </row>
    <row r="169" spans="1:10">
      <c r="A169" s="85" t="s">
        <v>273</v>
      </c>
      <c r="B169" s="67" t="s">
        <v>165</v>
      </c>
      <c r="C169" s="402">
        <v>1200</v>
      </c>
      <c r="D169" s="16"/>
      <c r="E169" s="1361">
        <f>+'1.mell._Össz_Mérleg2020'!C169</f>
        <v>0</v>
      </c>
      <c r="F169" s="1174">
        <f>+'1.mell._Össz_Mérleg2020'!D169</f>
        <v>0</v>
      </c>
      <c r="G169" s="1174">
        <f>+'1.mell._Össz_Mérleg2020'!E169</f>
        <v>0</v>
      </c>
      <c r="H169" s="16">
        <f>+'1.mell._Össz_Mérleg2020'!F169</f>
        <v>0</v>
      </c>
      <c r="J169" s="3"/>
    </row>
    <row r="170" spans="1:10" s="13" customFormat="1">
      <c r="A170" s="89" t="s">
        <v>338</v>
      </c>
      <c r="B170" s="787" t="s">
        <v>339</v>
      </c>
      <c r="C170" s="401"/>
      <c r="D170" s="44"/>
      <c r="E170" s="1363">
        <f>+'1.mell._Össz_Mérleg2020'!C170</f>
        <v>0</v>
      </c>
      <c r="F170" s="1176">
        <f>+'1.mell._Össz_Mérleg2020'!D170</f>
        <v>0</v>
      </c>
      <c r="G170" s="1176">
        <f>+'1.mell._Össz_Mérleg2020'!E170</f>
        <v>0</v>
      </c>
      <c r="H170" s="44">
        <f>+'1.mell._Össz_Mérleg2020'!F170</f>
        <v>0</v>
      </c>
      <c r="J170" s="3"/>
    </row>
    <row r="171" spans="1:10">
      <c r="A171" s="85" t="s">
        <v>274</v>
      </c>
      <c r="B171" s="67" t="s">
        <v>166</v>
      </c>
      <c r="C171" s="402"/>
      <c r="D171" s="16"/>
      <c r="E171" s="1361">
        <f>+'1.mell._Össz_Mérleg2020'!C171</f>
        <v>0</v>
      </c>
      <c r="F171" s="1174">
        <f>+'1.mell._Össz_Mérleg2020'!D171</f>
        <v>0</v>
      </c>
      <c r="G171" s="1174">
        <f>+'1.mell._Össz_Mérleg2020'!E171</f>
        <v>0</v>
      </c>
      <c r="H171" s="16">
        <f>+'1.mell._Össz_Mérleg2020'!F171</f>
        <v>0</v>
      </c>
      <c r="J171" s="3"/>
    </row>
    <row r="172" spans="1:10">
      <c r="A172" s="85" t="s">
        <v>275</v>
      </c>
      <c r="B172" s="67" t="s">
        <v>167</v>
      </c>
      <c r="C172" s="402"/>
      <c r="D172" s="16"/>
      <c r="E172" s="1361">
        <f>+'1.mell._Össz_Mérleg2020'!C172</f>
        <v>0</v>
      </c>
      <c r="F172" s="1174">
        <f>+'1.mell._Össz_Mérleg2020'!D172</f>
        <v>0</v>
      </c>
      <c r="G172" s="1174">
        <f>+'1.mell._Össz_Mérleg2020'!E172</f>
        <v>0</v>
      </c>
      <c r="H172" s="16">
        <f>+'1.mell._Össz_Mérleg2020'!F172</f>
        <v>0</v>
      </c>
      <c r="J172" s="3"/>
    </row>
    <row r="173" spans="1:10">
      <c r="A173" s="85" t="s">
        <v>276</v>
      </c>
      <c r="B173" s="67" t="s">
        <v>168</v>
      </c>
      <c r="C173" s="402"/>
      <c r="D173" s="16"/>
      <c r="E173" s="1361">
        <f>+'1.mell._Össz_Mérleg2020'!C173</f>
        <v>0</v>
      </c>
      <c r="F173" s="1174">
        <f>+'1.mell._Össz_Mérleg2020'!D173</f>
        <v>0</v>
      </c>
      <c r="G173" s="1174">
        <f>+'1.mell._Össz_Mérleg2020'!E173</f>
        <v>0</v>
      </c>
      <c r="H173" s="16">
        <f>+'1.mell._Össz_Mérleg2020'!F173</f>
        <v>0</v>
      </c>
      <c r="J173" s="3"/>
    </row>
    <row r="174" spans="1:10">
      <c r="A174" s="85" t="s">
        <v>277</v>
      </c>
      <c r="B174" s="67" t="s">
        <v>933</v>
      </c>
      <c r="C174" s="402"/>
      <c r="D174" s="16"/>
      <c r="E174" s="1361">
        <f>+'1.mell._Össz_Mérleg2020'!C174</f>
        <v>0</v>
      </c>
      <c r="F174" s="1174">
        <f>+'1.mell._Össz_Mérleg2020'!D174</f>
        <v>0</v>
      </c>
      <c r="G174" s="1174">
        <f>+'1.mell._Össz_Mérleg2020'!E174</f>
        <v>0</v>
      </c>
      <c r="H174" s="16">
        <f>+'1.mell._Össz_Mérleg2020'!F174</f>
        <v>0</v>
      </c>
      <c r="J174" s="3"/>
    </row>
    <row r="175" spans="1:10" ht="12.75" thickBot="1">
      <c r="A175" s="78" t="s">
        <v>931</v>
      </c>
      <c r="B175" s="68" t="s">
        <v>934</v>
      </c>
      <c r="C175" s="403"/>
      <c r="D175" s="23">
        <v>18</v>
      </c>
      <c r="E175" s="1362">
        <f>+'1.mell._Össz_Mérleg2020'!C175</f>
        <v>0</v>
      </c>
      <c r="F175" s="1175">
        <f>+'1.mell._Össz_Mérleg2020'!D175</f>
        <v>0</v>
      </c>
      <c r="G175" s="1175">
        <f>+'1.mell._Össz_Mérleg2020'!E175</f>
        <v>19162</v>
      </c>
      <c r="H175" s="23">
        <f>+'1.mell._Össz_Mérleg2020'!F175</f>
        <v>19162</v>
      </c>
      <c r="J175" s="3"/>
    </row>
    <row r="176" spans="1:10" s="3" customFormat="1" ht="12.75" thickBot="1">
      <c r="A176" s="83" t="s">
        <v>10</v>
      </c>
      <c r="B176" s="69" t="s">
        <v>313</v>
      </c>
      <c r="C176" s="129">
        <f t="shared" ref="C176:H176" si="29">+C109+C149</f>
        <v>2513536</v>
      </c>
      <c r="D176" s="29">
        <f t="shared" si="29"/>
        <v>3032485</v>
      </c>
      <c r="E176" s="1358">
        <f t="shared" si="29"/>
        <v>4522728</v>
      </c>
      <c r="F176" s="1171">
        <f t="shared" si="29"/>
        <v>5150290</v>
      </c>
      <c r="G176" s="1171">
        <f t="shared" si="29"/>
        <v>20604</v>
      </c>
      <c r="H176" s="29">
        <f t="shared" si="29"/>
        <v>5170894</v>
      </c>
    </row>
    <row r="177" spans="1:10" s="3" customFormat="1" ht="12.75" thickBot="1">
      <c r="A177" s="83" t="s">
        <v>9</v>
      </c>
      <c r="B177" s="70" t="s">
        <v>314</v>
      </c>
      <c r="C177" s="129">
        <f t="shared" ref="C177:H177" si="30">+C178</f>
        <v>110911</v>
      </c>
      <c r="D177" s="29">
        <f t="shared" si="30"/>
        <v>91948</v>
      </c>
      <c r="E177" s="1358">
        <f t="shared" si="30"/>
        <v>30446</v>
      </c>
      <c r="F177" s="1171">
        <f t="shared" si="30"/>
        <v>30446</v>
      </c>
      <c r="G177" s="1171">
        <f t="shared" si="30"/>
        <v>0</v>
      </c>
      <c r="H177" s="29">
        <f t="shared" si="30"/>
        <v>30446</v>
      </c>
    </row>
    <row r="178" spans="1:10" s="3" customFormat="1" ht="12.75" thickBot="1">
      <c r="A178" s="83" t="s">
        <v>45</v>
      </c>
      <c r="B178" s="64" t="s">
        <v>941</v>
      </c>
      <c r="C178" s="129">
        <f t="shared" ref="C178:H178" si="31">+C179+C189+C190+C191</f>
        <v>110911</v>
      </c>
      <c r="D178" s="29">
        <f t="shared" si="31"/>
        <v>91948</v>
      </c>
      <c r="E178" s="1358">
        <f t="shared" si="31"/>
        <v>30446</v>
      </c>
      <c r="F178" s="1171">
        <f t="shared" si="31"/>
        <v>30446</v>
      </c>
      <c r="G178" s="1171">
        <f t="shared" si="31"/>
        <v>0</v>
      </c>
      <c r="H178" s="29">
        <f t="shared" si="31"/>
        <v>30446</v>
      </c>
    </row>
    <row r="179" spans="1:10">
      <c r="A179" s="84" t="s">
        <v>75</v>
      </c>
      <c r="B179" s="65" t="s">
        <v>942</v>
      </c>
      <c r="C179" s="404">
        <f t="shared" ref="C179:H179" si="32">+C180+C181+C182+C183+C184+C185+C186+C187+C188</f>
        <v>110911</v>
      </c>
      <c r="D179" s="35">
        <f t="shared" si="32"/>
        <v>91948</v>
      </c>
      <c r="E179" s="1359">
        <f t="shared" si="32"/>
        <v>30446</v>
      </c>
      <c r="F179" s="1172">
        <f t="shared" si="32"/>
        <v>30446</v>
      </c>
      <c r="G179" s="1172">
        <f t="shared" si="32"/>
        <v>0</v>
      </c>
      <c r="H179" s="35">
        <f t="shared" si="32"/>
        <v>30446</v>
      </c>
      <c r="J179" s="3"/>
    </row>
    <row r="180" spans="1:10" s="13" customFormat="1">
      <c r="A180" s="86" t="s">
        <v>204</v>
      </c>
      <c r="B180" s="66" t="s">
        <v>169</v>
      </c>
      <c r="C180" s="400">
        <v>85565</v>
      </c>
      <c r="D180" s="15">
        <v>65277</v>
      </c>
      <c r="E180" s="1360">
        <f>+'1.mell._Össz_Mérleg2020'!C180</f>
        <v>0</v>
      </c>
      <c r="F180" s="1173">
        <f>+'1.mell._Össz_Mérleg2020'!D180</f>
        <v>0</v>
      </c>
      <c r="G180" s="1173">
        <f>+'1.mell._Össz_Mérleg2020'!E180</f>
        <v>0</v>
      </c>
      <c r="H180" s="15">
        <f>+'1.mell._Össz_Mérleg2020'!F180</f>
        <v>0</v>
      </c>
      <c r="J180" s="3"/>
    </row>
    <row r="181" spans="1:10" s="13" customFormat="1">
      <c r="A181" s="86" t="s">
        <v>205</v>
      </c>
      <c r="B181" s="66" t="s">
        <v>170</v>
      </c>
      <c r="C181" s="400"/>
      <c r="D181" s="15"/>
      <c r="E181" s="1360">
        <f>+'1.mell._Össz_Mérleg2020'!C181</f>
        <v>0</v>
      </c>
      <c r="F181" s="1173">
        <f>+'1.mell._Össz_Mérleg2020'!D181</f>
        <v>0</v>
      </c>
      <c r="G181" s="1173">
        <f>+'1.mell._Össz_Mérleg2020'!E181</f>
        <v>0</v>
      </c>
      <c r="H181" s="15">
        <f>+'1.mell._Össz_Mérleg2020'!F181</f>
        <v>0</v>
      </c>
      <c r="J181" s="3"/>
    </row>
    <row r="182" spans="1:10" s="13" customFormat="1">
      <c r="A182" s="86" t="s">
        <v>206</v>
      </c>
      <c r="B182" s="66" t="s">
        <v>171</v>
      </c>
      <c r="C182" s="400"/>
      <c r="D182" s="15"/>
      <c r="E182" s="1360">
        <f>+'1.mell._Össz_Mérleg2020'!C182</f>
        <v>0</v>
      </c>
      <c r="F182" s="1173">
        <f>+'1.mell._Össz_Mérleg2020'!D182</f>
        <v>0</v>
      </c>
      <c r="G182" s="1173">
        <f>+'1.mell._Össz_Mérleg2020'!E182</f>
        <v>0</v>
      </c>
      <c r="H182" s="15">
        <f>+'1.mell._Össz_Mérleg2020'!F182</f>
        <v>0</v>
      </c>
      <c r="J182" s="3"/>
    </row>
    <row r="183" spans="1:10" s="13" customFormat="1">
      <c r="A183" s="86" t="s">
        <v>207</v>
      </c>
      <c r="B183" s="66" t="s">
        <v>172</v>
      </c>
      <c r="C183" s="400">
        <v>25346</v>
      </c>
      <c r="D183" s="15">
        <v>26671</v>
      </c>
      <c r="E183" s="1360">
        <f>+'1.mell._Össz_Mérleg2020'!C183</f>
        <v>30446</v>
      </c>
      <c r="F183" s="1173">
        <f>+'1.mell._Össz_Mérleg2020'!D183</f>
        <v>30446</v>
      </c>
      <c r="G183" s="1173">
        <f>+'1.mell._Össz_Mérleg2020'!E183</f>
        <v>0</v>
      </c>
      <c r="H183" s="15">
        <f>+'1.mell._Össz_Mérleg2020'!F183</f>
        <v>30446</v>
      </c>
      <c r="J183" s="3"/>
    </row>
    <row r="184" spans="1:10" s="13" customFormat="1">
      <c r="A184" s="103" t="s">
        <v>208</v>
      </c>
      <c r="B184" s="104" t="s">
        <v>173</v>
      </c>
      <c r="C184" s="399"/>
      <c r="D184" s="107"/>
      <c r="E184" s="1366">
        <f>+'1.mell._Össz_Mérleg2020'!C184</f>
        <v>0</v>
      </c>
      <c r="F184" s="1282">
        <f>+'1.mell._Össz_Mérleg2020'!D184</f>
        <v>0</v>
      </c>
      <c r="G184" s="1282">
        <f>+'1.mell._Össz_Mérleg2020'!E184</f>
        <v>0</v>
      </c>
      <c r="H184" s="107">
        <f>+'1.mell._Össz_Mérleg2020'!F184</f>
        <v>0</v>
      </c>
      <c r="J184" s="3"/>
    </row>
    <row r="185" spans="1:10" s="13" customFormat="1">
      <c r="A185" s="86" t="s">
        <v>209</v>
      </c>
      <c r="B185" s="66" t="s">
        <v>178</v>
      </c>
      <c r="C185" s="400"/>
      <c r="D185" s="15"/>
      <c r="E185" s="1360">
        <f>+'1.mell._Össz_Mérleg2020'!C185</f>
        <v>0</v>
      </c>
      <c r="F185" s="1173">
        <f>+'1.mell._Össz_Mérleg2020'!D185</f>
        <v>0</v>
      </c>
      <c r="G185" s="1173">
        <f>+'1.mell._Össz_Mérleg2020'!E185</f>
        <v>0</v>
      </c>
      <c r="H185" s="15">
        <f>+'1.mell._Össz_Mérleg2020'!F185</f>
        <v>0</v>
      </c>
      <c r="J185" s="3"/>
    </row>
    <row r="186" spans="1:10" s="13" customFormat="1">
      <c r="A186" s="86" t="s">
        <v>210</v>
      </c>
      <c r="B186" s="66" t="s">
        <v>174</v>
      </c>
      <c r="C186" s="400"/>
      <c r="D186" s="15"/>
      <c r="E186" s="1360">
        <f>+'1.mell._Össz_Mérleg2020'!C186</f>
        <v>0</v>
      </c>
      <c r="F186" s="1173">
        <f>+'1.mell._Össz_Mérleg2020'!D186</f>
        <v>0</v>
      </c>
      <c r="G186" s="1173">
        <f>+'1.mell._Össz_Mérleg2020'!E186</f>
        <v>0</v>
      </c>
      <c r="H186" s="15">
        <f>+'1.mell._Össz_Mérleg2020'!F186</f>
        <v>0</v>
      </c>
      <c r="J186" s="3"/>
    </row>
    <row r="187" spans="1:10" s="13" customFormat="1">
      <c r="A187" s="86" t="s">
        <v>211</v>
      </c>
      <c r="B187" s="66" t="s">
        <v>175</v>
      </c>
      <c r="C187" s="400"/>
      <c r="D187" s="15"/>
      <c r="E187" s="1360">
        <f>+'1.mell._Össz_Mérleg2020'!C187</f>
        <v>0</v>
      </c>
      <c r="F187" s="1173">
        <f>+'1.mell._Össz_Mérleg2020'!D187</f>
        <v>0</v>
      </c>
      <c r="G187" s="1173">
        <f>+'1.mell._Össz_Mérleg2020'!E187</f>
        <v>0</v>
      </c>
      <c r="H187" s="15">
        <f>+'1.mell._Össz_Mérleg2020'!F187</f>
        <v>0</v>
      </c>
      <c r="J187" s="3"/>
    </row>
    <row r="188" spans="1:10" s="13" customFormat="1">
      <c r="A188" s="86" t="s">
        <v>935</v>
      </c>
      <c r="B188" s="66" t="s">
        <v>937</v>
      </c>
      <c r="C188" s="400"/>
      <c r="D188" s="15"/>
      <c r="E188" s="1360">
        <f>+'1.mell._Össz_Mérleg2020'!C188</f>
        <v>0</v>
      </c>
      <c r="F188" s="1173">
        <f>+'1.mell._Össz_Mérleg2020'!D188</f>
        <v>0</v>
      </c>
      <c r="G188" s="1173">
        <f>+'1.mell._Össz_Mérleg2020'!E188</f>
        <v>0</v>
      </c>
      <c r="H188" s="15">
        <f>+'1.mell._Össz_Mérleg2020'!F188</f>
        <v>0</v>
      </c>
      <c r="J188" s="3"/>
    </row>
    <row r="189" spans="1:10">
      <c r="A189" s="85" t="s">
        <v>76</v>
      </c>
      <c r="B189" s="67" t="s">
        <v>176</v>
      </c>
      <c r="C189" s="402"/>
      <c r="D189" s="16"/>
      <c r="E189" s="1361">
        <f>+'1.mell._Össz_Mérleg2020'!C189</f>
        <v>0</v>
      </c>
      <c r="F189" s="1174">
        <f>+'1.mell._Össz_Mérleg2020'!D189</f>
        <v>0</v>
      </c>
      <c r="G189" s="1174">
        <f>+'1.mell._Össz_Mérleg2020'!E189</f>
        <v>0</v>
      </c>
      <c r="H189" s="16">
        <f>+'1.mell._Össz_Mérleg2020'!F189</f>
        <v>0</v>
      </c>
      <c r="J189" s="3"/>
    </row>
    <row r="190" spans="1:10">
      <c r="A190" s="78" t="s">
        <v>77</v>
      </c>
      <c r="B190" s="68" t="s">
        <v>177</v>
      </c>
      <c r="C190" s="403"/>
      <c r="D190" s="23"/>
      <c r="E190" s="1362">
        <f>+'1.mell._Össz_Mérleg2020'!C190</f>
        <v>0</v>
      </c>
      <c r="F190" s="1175">
        <f>+'1.mell._Össz_Mérleg2020'!D190</f>
        <v>0</v>
      </c>
      <c r="G190" s="1175">
        <f>+'1.mell._Össz_Mérleg2020'!E190</f>
        <v>0</v>
      </c>
      <c r="H190" s="23">
        <f>+'1.mell._Össz_Mérleg2020'!F190</f>
        <v>0</v>
      </c>
      <c r="J190" s="3"/>
    </row>
    <row r="191" spans="1:10" ht="12.75" thickBot="1">
      <c r="A191" s="78" t="s">
        <v>940</v>
      </c>
      <c r="B191" s="68" t="s">
        <v>938</v>
      </c>
      <c r="C191" s="403"/>
      <c r="D191" s="23"/>
      <c r="E191" s="1362">
        <f>+'1.mell._Össz_Mérleg2020'!C191</f>
        <v>0</v>
      </c>
      <c r="F191" s="1175">
        <f>+'1.mell._Össz_Mérleg2020'!D191</f>
        <v>0</v>
      </c>
      <c r="G191" s="1175">
        <f>+'1.mell._Össz_Mérleg2020'!E191</f>
        <v>0</v>
      </c>
      <c r="H191" s="23">
        <f>+'1.mell._Össz_Mérleg2020'!F191</f>
        <v>0</v>
      </c>
      <c r="J191" s="3"/>
    </row>
    <row r="192" spans="1:10" s="3" customFormat="1" ht="12.75" thickBot="1">
      <c r="A192" s="83" t="s">
        <v>44</v>
      </c>
      <c r="B192" s="69" t="s">
        <v>315</v>
      </c>
      <c r="C192" s="129">
        <f t="shared" ref="C192:H192" si="33">+C193</f>
        <v>0</v>
      </c>
      <c r="D192" s="29">
        <f t="shared" si="33"/>
        <v>0</v>
      </c>
      <c r="E192" s="1358">
        <f t="shared" si="33"/>
        <v>0</v>
      </c>
      <c r="F192" s="1171">
        <f t="shared" si="33"/>
        <v>0</v>
      </c>
      <c r="G192" s="1171">
        <f t="shared" si="33"/>
        <v>0</v>
      </c>
      <c r="H192" s="29">
        <f t="shared" si="33"/>
        <v>0</v>
      </c>
    </row>
    <row r="193" spans="1:10" s="3" customFormat="1" ht="12.75" thickBot="1">
      <c r="A193" s="83" t="s">
        <v>43</v>
      </c>
      <c r="B193" s="64" t="s">
        <v>936</v>
      </c>
      <c r="C193" s="129">
        <f t="shared" ref="C193:H193" si="34">+C194+C204+C205+C206</f>
        <v>0</v>
      </c>
      <c r="D193" s="29">
        <f t="shared" si="34"/>
        <v>0</v>
      </c>
      <c r="E193" s="1358">
        <f t="shared" si="34"/>
        <v>0</v>
      </c>
      <c r="F193" s="1171">
        <f t="shared" si="34"/>
        <v>0</v>
      </c>
      <c r="G193" s="1171">
        <f t="shared" si="34"/>
        <v>0</v>
      </c>
      <c r="H193" s="29">
        <f t="shared" si="34"/>
        <v>0</v>
      </c>
    </row>
    <row r="194" spans="1:10">
      <c r="A194" s="84" t="s">
        <v>78</v>
      </c>
      <c r="B194" s="65" t="s">
        <v>971</v>
      </c>
      <c r="C194" s="404">
        <f t="shared" ref="C194:H194" si="35">+C195+C196+C197+C198+C199+C200+C201+C202+C203</f>
        <v>0</v>
      </c>
      <c r="D194" s="35">
        <f t="shared" si="35"/>
        <v>0</v>
      </c>
      <c r="E194" s="1359">
        <f t="shared" si="35"/>
        <v>0</v>
      </c>
      <c r="F194" s="1172">
        <f t="shared" si="35"/>
        <v>0</v>
      </c>
      <c r="G194" s="1172">
        <f t="shared" si="35"/>
        <v>0</v>
      </c>
      <c r="H194" s="35">
        <f t="shared" si="35"/>
        <v>0</v>
      </c>
      <c r="J194" s="3"/>
    </row>
    <row r="195" spans="1:10" s="13" customFormat="1">
      <c r="A195" s="86" t="s">
        <v>212</v>
      </c>
      <c r="B195" s="66" t="s">
        <v>169</v>
      </c>
      <c r="C195" s="400"/>
      <c r="D195" s="15"/>
      <c r="E195" s="1360">
        <f>+'1.mell._Össz_Mérleg2020'!C195</f>
        <v>0</v>
      </c>
      <c r="F195" s="1173">
        <f>+'1.mell._Össz_Mérleg2020'!D195</f>
        <v>0</v>
      </c>
      <c r="G195" s="1173">
        <f>+'1.mell._Össz_Mérleg2020'!E195</f>
        <v>0</v>
      </c>
      <c r="H195" s="15">
        <f>+'1.mell._Össz_Mérleg2020'!F195</f>
        <v>0</v>
      </c>
      <c r="J195" s="3"/>
    </row>
    <row r="196" spans="1:10" s="13" customFormat="1">
      <c r="A196" s="86" t="s">
        <v>213</v>
      </c>
      <c r="B196" s="66" t="s">
        <v>170</v>
      </c>
      <c r="C196" s="400"/>
      <c r="D196" s="15"/>
      <c r="E196" s="1360">
        <f>+'1.mell._Össz_Mérleg2020'!C196</f>
        <v>0</v>
      </c>
      <c r="F196" s="1173">
        <f>+'1.mell._Össz_Mérleg2020'!D196</f>
        <v>0</v>
      </c>
      <c r="G196" s="1173">
        <f>+'1.mell._Össz_Mérleg2020'!E196</f>
        <v>0</v>
      </c>
      <c r="H196" s="15">
        <f>+'1.mell._Össz_Mérleg2020'!F196</f>
        <v>0</v>
      </c>
      <c r="J196" s="3"/>
    </row>
    <row r="197" spans="1:10" s="13" customFormat="1">
      <c r="A197" s="86" t="s">
        <v>214</v>
      </c>
      <c r="B197" s="66" t="s">
        <v>171</v>
      </c>
      <c r="C197" s="400"/>
      <c r="D197" s="15"/>
      <c r="E197" s="1360">
        <f>+'1.mell._Össz_Mérleg2020'!C197</f>
        <v>0</v>
      </c>
      <c r="F197" s="1173">
        <f>+'1.mell._Össz_Mérleg2020'!D197</f>
        <v>0</v>
      </c>
      <c r="G197" s="1173">
        <f>+'1.mell._Össz_Mérleg2020'!E197</f>
        <v>0</v>
      </c>
      <c r="H197" s="15">
        <f>+'1.mell._Össz_Mérleg2020'!F197</f>
        <v>0</v>
      </c>
      <c r="J197" s="3"/>
    </row>
    <row r="198" spans="1:10" s="13" customFormat="1">
      <c r="A198" s="86" t="s">
        <v>215</v>
      </c>
      <c r="B198" s="66" t="s">
        <v>172</v>
      </c>
      <c r="C198" s="400"/>
      <c r="D198" s="15"/>
      <c r="E198" s="1360">
        <f>+'1.mell._Össz_Mérleg2020'!C198</f>
        <v>0</v>
      </c>
      <c r="F198" s="1173">
        <f>+'1.mell._Össz_Mérleg2020'!D198</f>
        <v>0</v>
      </c>
      <c r="G198" s="1173">
        <f>+'1.mell._Össz_Mérleg2020'!E198</f>
        <v>0</v>
      </c>
      <c r="H198" s="15">
        <f>+'1.mell._Össz_Mérleg2020'!F198</f>
        <v>0</v>
      </c>
      <c r="J198" s="3"/>
    </row>
    <row r="199" spans="1:10" s="13" customFormat="1">
      <c r="A199" s="103" t="s">
        <v>216</v>
      </c>
      <c r="B199" s="104" t="s">
        <v>173</v>
      </c>
      <c r="C199" s="399"/>
      <c r="D199" s="107"/>
      <c r="E199" s="1366">
        <f>+'1.mell._Össz_Mérleg2020'!C199</f>
        <v>0</v>
      </c>
      <c r="F199" s="1282">
        <f>+'1.mell._Össz_Mérleg2020'!D199</f>
        <v>0</v>
      </c>
      <c r="G199" s="1282">
        <f>+'1.mell._Össz_Mérleg2020'!E199</f>
        <v>0</v>
      </c>
      <c r="H199" s="107">
        <f>+'1.mell._Össz_Mérleg2020'!F199</f>
        <v>0</v>
      </c>
      <c r="J199" s="3"/>
    </row>
    <row r="200" spans="1:10" s="13" customFormat="1">
      <c r="A200" s="86" t="s">
        <v>217</v>
      </c>
      <c r="B200" s="66" t="s">
        <v>178</v>
      </c>
      <c r="C200" s="400"/>
      <c r="D200" s="15"/>
      <c r="E200" s="1360">
        <f>+'1.mell._Össz_Mérleg2020'!C200</f>
        <v>0</v>
      </c>
      <c r="F200" s="1173">
        <f>+'1.mell._Össz_Mérleg2020'!D200</f>
        <v>0</v>
      </c>
      <c r="G200" s="1173">
        <f>+'1.mell._Össz_Mérleg2020'!E200</f>
        <v>0</v>
      </c>
      <c r="H200" s="15">
        <f>+'1.mell._Össz_Mérleg2020'!F200</f>
        <v>0</v>
      </c>
      <c r="J200" s="3"/>
    </row>
    <row r="201" spans="1:10" s="13" customFormat="1">
      <c r="A201" s="86" t="s">
        <v>218</v>
      </c>
      <c r="B201" s="66" t="s">
        <v>174</v>
      </c>
      <c r="C201" s="400"/>
      <c r="D201" s="15"/>
      <c r="E201" s="1360">
        <f>+'1.mell._Össz_Mérleg2020'!C201</f>
        <v>0</v>
      </c>
      <c r="F201" s="1173">
        <f>+'1.mell._Össz_Mérleg2020'!D201</f>
        <v>0</v>
      </c>
      <c r="G201" s="1173">
        <f>+'1.mell._Össz_Mérleg2020'!E201</f>
        <v>0</v>
      </c>
      <c r="H201" s="15">
        <f>+'1.mell._Össz_Mérleg2020'!F201</f>
        <v>0</v>
      </c>
      <c r="J201" s="3"/>
    </row>
    <row r="202" spans="1:10" s="13" customFormat="1">
      <c r="A202" s="86" t="s">
        <v>219</v>
      </c>
      <c r="B202" s="66" t="s">
        <v>175</v>
      </c>
      <c r="C202" s="400"/>
      <c r="D202" s="15"/>
      <c r="E202" s="1360">
        <f>+'1.mell._Össz_Mérleg2020'!C202</f>
        <v>0</v>
      </c>
      <c r="F202" s="1173">
        <f>+'1.mell._Össz_Mérleg2020'!D202</f>
        <v>0</v>
      </c>
      <c r="G202" s="1173">
        <f>+'1.mell._Össz_Mérleg2020'!E202</f>
        <v>0</v>
      </c>
      <c r="H202" s="15">
        <f>+'1.mell._Össz_Mérleg2020'!F202</f>
        <v>0</v>
      </c>
      <c r="J202" s="3"/>
    </row>
    <row r="203" spans="1:10" s="13" customFormat="1">
      <c r="A203" s="86" t="s">
        <v>935</v>
      </c>
      <c r="B203" s="66" t="s">
        <v>937</v>
      </c>
      <c r="C203" s="400"/>
      <c r="D203" s="15"/>
      <c r="E203" s="1360">
        <f>+'1.mell._Össz_Mérleg2020'!C203</f>
        <v>0</v>
      </c>
      <c r="F203" s="1173">
        <f>+'1.mell._Össz_Mérleg2020'!D203</f>
        <v>0</v>
      </c>
      <c r="G203" s="1173">
        <f>+'1.mell._Össz_Mérleg2020'!E203</f>
        <v>0</v>
      </c>
      <c r="H203" s="15">
        <f>+'1.mell._Össz_Mérleg2020'!F203</f>
        <v>0</v>
      </c>
      <c r="J203" s="3"/>
    </row>
    <row r="204" spans="1:10">
      <c r="A204" s="85" t="s">
        <v>79</v>
      </c>
      <c r="B204" s="67" t="s">
        <v>176</v>
      </c>
      <c r="C204" s="402"/>
      <c r="D204" s="16"/>
      <c r="E204" s="1361">
        <f>+'1.mell._Össz_Mérleg2020'!C204</f>
        <v>0</v>
      </c>
      <c r="F204" s="1174">
        <f>+'1.mell._Össz_Mérleg2020'!D204</f>
        <v>0</v>
      </c>
      <c r="G204" s="1174">
        <f>+'1.mell._Össz_Mérleg2020'!E204</f>
        <v>0</v>
      </c>
      <c r="H204" s="16">
        <f>+'1.mell._Össz_Mérleg2020'!F204</f>
        <v>0</v>
      </c>
      <c r="J204" s="3"/>
    </row>
    <row r="205" spans="1:10">
      <c r="A205" s="78" t="s">
        <v>220</v>
      </c>
      <c r="B205" s="68" t="s">
        <v>177</v>
      </c>
      <c r="C205" s="403"/>
      <c r="D205" s="23"/>
      <c r="E205" s="1362">
        <f>+'1.mell._Össz_Mérleg2020'!C205</f>
        <v>0</v>
      </c>
      <c r="F205" s="1175">
        <f>+'1.mell._Össz_Mérleg2020'!D205</f>
        <v>0</v>
      </c>
      <c r="G205" s="1175">
        <f>+'1.mell._Össz_Mérleg2020'!E205</f>
        <v>0</v>
      </c>
      <c r="H205" s="23">
        <f>+'1.mell._Össz_Mérleg2020'!F205</f>
        <v>0</v>
      </c>
      <c r="J205" s="3"/>
    </row>
    <row r="206" spans="1:10" ht="12.75" thickBot="1">
      <c r="A206" s="78" t="s">
        <v>939</v>
      </c>
      <c r="B206" s="68" t="s">
        <v>938</v>
      </c>
      <c r="C206" s="403"/>
      <c r="D206" s="23"/>
      <c r="E206" s="1362">
        <f>+'1.mell._Össz_Mérleg2020'!C206</f>
        <v>0</v>
      </c>
      <c r="F206" s="1175">
        <f>+'1.mell._Össz_Mérleg2020'!D206</f>
        <v>0</v>
      </c>
      <c r="G206" s="1175">
        <f>+'1.mell._Össz_Mérleg2020'!E206</f>
        <v>0</v>
      </c>
      <c r="H206" s="23">
        <f>+'1.mell._Össz_Mérleg2020'!F206</f>
        <v>0</v>
      </c>
      <c r="J206" s="3"/>
    </row>
    <row r="207" spans="1:10" s="3" customFormat="1" ht="12.75" thickBot="1">
      <c r="A207" s="83" t="s">
        <v>40</v>
      </c>
      <c r="B207" s="69" t="s">
        <v>316</v>
      </c>
      <c r="C207" s="129">
        <f t="shared" ref="C207:H207" si="36">+C177+C192</f>
        <v>110911</v>
      </c>
      <c r="D207" s="29">
        <f t="shared" si="36"/>
        <v>91948</v>
      </c>
      <c r="E207" s="1358">
        <f t="shared" si="36"/>
        <v>30446</v>
      </c>
      <c r="F207" s="1171">
        <f t="shared" si="36"/>
        <v>30446</v>
      </c>
      <c r="G207" s="1171">
        <f t="shared" si="36"/>
        <v>0</v>
      </c>
      <c r="H207" s="29">
        <f t="shared" si="36"/>
        <v>30446</v>
      </c>
    </row>
    <row r="208" spans="1:10" s="3" customFormat="1" ht="12.75" thickBot="1">
      <c r="A208" s="87" t="s">
        <v>39</v>
      </c>
      <c r="B208" s="71" t="s">
        <v>334</v>
      </c>
      <c r="C208" s="398">
        <f t="shared" ref="C208:H208" si="37">+C176+C207</f>
        <v>2624447</v>
      </c>
      <c r="D208" s="26">
        <f t="shared" si="37"/>
        <v>3124433</v>
      </c>
      <c r="E208" s="1367">
        <f t="shared" si="37"/>
        <v>4553174</v>
      </c>
      <c r="F208" s="1182">
        <f t="shared" si="37"/>
        <v>5180736</v>
      </c>
      <c r="G208" s="1182">
        <f t="shared" si="37"/>
        <v>20604</v>
      </c>
      <c r="H208" s="26">
        <f t="shared" si="37"/>
        <v>5201340</v>
      </c>
    </row>
    <row r="209" spans="1:29" s="13" customFormat="1">
      <c r="J209" s="3"/>
    </row>
    <row r="210" spans="1:29" s="36" customFormat="1">
      <c r="J210" s="3"/>
    </row>
    <row r="211" spans="1:29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E212" s="37"/>
      <c r="F212" s="37"/>
      <c r="G212" s="37"/>
      <c r="H212" s="37" t="s">
        <v>280</v>
      </c>
      <c r="J212" s="3"/>
    </row>
    <row r="213" spans="1:29" s="3" customFormat="1" ht="12.75" thickBot="1">
      <c r="A213" s="83" t="s">
        <v>4</v>
      </c>
      <c r="B213" s="69" t="s">
        <v>317</v>
      </c>
      <c r="C213" s="129">
        <f t="shared" ref="C213:H213" si="38">+C214+C215</f>
        <v>904444</v>
      </c>
      <c r="D213" s="29">
        <f t="shared" si="38"/>
        <v>226057</v>
      </c>
      <c r="E213" s="1358">
        <f t="shared" si="38"/>
        <v>-2855803</v>
      </c>
      <c r="F213" s="1171">
        <f t="shared" si="38"/>
        <v>-3333416</v>
      </c>
      <c r="G213" s="1171">
        <f t="shared" si="38"/>
        <v>0</v>
      </c>
      <c r="H213" s="29">
        <f t="shared" si="38"/>
        <v>-3333416</v>
      </c>
    </row>
    <row r="214" spans="1:29">
      <c r="A214" s="84" t="s">
        <v>81</v>
      </c>
      <c r="B214" s="72" t="s">
        <v>318</v>
      </c>
      <c r="C214" s="404">
        <f t="shared" ref="C214:H214" si="39">+C10-C109</f>
        <v>269938</v>
      </c>
      <c r="D214" s="35">
        <f t="shared" si="39"/>
        <v>74318</v>
      </c>
      <c r="E214" s="1359">
        <f t="shared" si="39"/>
        <v>-2425549</v>
      </c>
      <c r="F214" s="1172">
        <f t="shared" si="39"/>
        <v>-2882162</v>
      </c>
      <c r="G214" s="1172">
        <f t="shared" si="39"/>
        <v>35700</v>
      </c>
      <c r="H214" s="35">
        <f t="shared" si="39"/>
        <v>-2846462</v>
      </c>
      <c r="J214" s="3"/>
    </row>
    <row r="215" spans="1:29" ht="12.75" thickBot="1">
      <c r="A215" s="88" t="s">
        <v>82</v>
      </c>
      <c r="B215" s="73" t="s">
        <v>319</v>
      </c>
      <c r="C215" s="397">
        <f t="shared" ref="C215:H215" si="40">+C50-C149</f>
        <v>634506</v>
      </c>
      <c r="D215" s="39">
        <f t="shared" si="40"/>
        <v>151739</v>
      </c>
      <c r="E215" s="1371">
        <f t="shared" si="40"/>
        <v>-430254</v>
      </c>
      <c r="F215" s="1189">
        <f t="shared" si="40"/>
        <v>-451254</v>
      </c>
      <c r="G215" s="1189">
        <f t="shared" si="40"/>
        <v>-35700</v>
      </c>
      <c r="H215" s="39">
        <f t="shared" si="40"/>
        <v>-486954</v>
      </c>
      <c r="J215" s="3"/>
    </row>
    <row r="216" spans="1:29">
      <c r="J216" s="3"/>
    </row>
    <row r="217" spans="1:29">
      <c r="J217" s="3"/>
    </row>
    <row r="218" spans="1:29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E219" s="37"/>
      <c r="F219" s="37"/>
      <c r="G219" s="37"/>
      <c r="H219" s="37" t="s">
        <v>280</v>
      </c>
      <c r="J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H220" si="41">+C221+C228</f>
        <v>2196437</v>
      </c>
      <c r="D220" s="29">
        <f t="shared" si="41"/>
        <v>3104656</v>
      </c>
      <c r="E220" s="1358">
        <f t="shared" si="41"/>
        <v>2855803</v>
      </c>
      <c r="F220" s="1171">
        <f t="shared" si="41"/>
        <v>3333416</v>
      </c>
      <c r="G220" s="1171">
        <f t="shared" si="41"/>
        <v>0</v>
      </c>
      <c r="H220" s="29">
        <f t="shared" si="41"/>
        <v>3333416</v>
      </c>
    </row>
    <row r="221" spans="1:29" s="3" customFormat="1" ht="12.75" thickBot="1">
      <c r="A221" s="83" t="s">
        <v>5</v>
      </c>
      <c r="B221" s="64" t="s">
        <v>321</v>
      </c>
      <c r="C221" s="129">
        <f t="shared" ref="C221:H221" si="42">+C222-C225</f>
        <v>338649</v>
      </c>
      <c r="D221" s="29">
        <f t="shared" si="42"/>
        <v>3104656</v>
      </c>
      <c r="E221" s="1358">
        <f t="shared" si="42"/>
        <v>2845803</v>
      </c>
      <c r="F221" s="1171">
        <f t="shared" si="42"/>
        <v>679384</v>
      </c>
      <c r="G221" s="1171">
        <f t="shared" si="42"/>
        <v>0</v>
      </c>
      <c r="H221" s="29">
        <f t="shared" si="42"/>
        <v>679384</v>
      </c>
    </row>
    <row r="222" spans="1:29">
      <c r="A222" s="84" t="s">
        <v>54</v>
      </c>
      <c r="B222" s="65" t="s">
        <v>322</v>
      </c>
      <c r="C222" s="404">
        <f t="shared" ref="C222:H222" si="43">+C223+C224</f>
        <v>449560</v>
      </c>
      <c r="D222" s="35">
        <f t="shared" si="43"/>
        <v>3196604</v>
      </c>
      <c r="E222" s="1359">
        <f t="shared" si="43"/>
        <v>2876249</v>
      </c>
      <c r="F222" s="1172">
        <f t="shared" si="43"/>
        <v>709830</v>
      </c>
      <c r="G222" s="1172">
        <f t="shared" si="43"/>
        <v>0</v>
      </c>
      <c r="H222" s="35">
        <f t="shared" si="43"/>
        <v>709830</v>
      </c>
      <c r="J222" s="3"/>
    </row>
    <row r="223" spans="1:29" s="13" customFormat="1">
      <c r="A223" s="86" t="s">
        <v>189</v>
      </c>
      <c r="B223" s="66" t="s">
        <v>284</v>
      </c>
      <c r="C223" s="400">
        <f t="shared" ref="C223:H223" si="44">+C76+C80</f>
        <v>337324</v>
      </c>
      <c r="D223" s="15">
        <f t="shared" si="44"/>
        <v>3100881</v>
      </c>
      <c r="E223" s="1360">
        <f t="shared" si="44"/>
        <v>2876249</v>
      </c>
      <c r="F223" s="1173">
        <f t="shared" si="44"/>
        <v>709830</v>
      </c>
      <c r="G223" s="1173">
        <f t="shared" si="44"/>
        <v>0</v>
      </c>
      <c r="H223" s="15">
        <f t="shared" si="44"/>
        <v>709830</v>
      </c>
      <c r="J223" s="3"/>
    </row>
    <row r="224" spans="1:29" s="13" customFormat="1">
      <c r="A224" s="86" t="s">
        <v>190</v>
      </c>
      <c r="B224" s="66" t="s">
        <v>285</v>
      </c>
      <c r="C224" s="400">
        <f t="shared" ref="C224:H224" si="45">+C74+C75+C77+C78+C79+C81</f>
        <v>112236</v>
      </c>
      <c r="D224" s="15">
        <f t="shared" si="45"/>
        <v>95723</v>
      </c>
      <c r="E224" s="1360">
        <f t="shared" si="45"/>
        <v>0</v>
      </c>
      <c r="F224" s="1173">
        <f t="shared" si="45"/>
        <v>0</v>
      </c>
      <c r="G224" s="1173">
        <f t="shared" si="45"/>
        <v>0</v>
      </c>
      <c r="H224" s="15">
        <f t="shared" si="45"/>
        <v>0</v>
      </c>
      <c r="J224" s="3"/>
    </row>
    <row r="225" spans="1:29">
      <c r="A225" s="85" t="s">
        <v>55</v>
      </c>
      <c r="B225" s="67" t="s">
        <v>323</v>
      </c>
      <c r="C225" s="402">
        <f t="shared" ref="C225:H225" si="46">+C227</f>
        <v>110911</v>
      </c>
      <c r="D225" s="16">
        <f t="shared" si="46"/>
        <v>91948</v>
      </c>
      <c r="E225" s="1361">
        <f t="shared" si="46"/>
        <v>30446</v>
      </c>
      <c r="F225" s="1174">
        <f t="shared" si="46"/>
        <v>30446</v>
      </c>
      <c r="G225" s="1174">
        <f t="shared" si="46"/>
        <v>0</v>
      </c>
      <c r="H225" s="16">
        <f t="shared" si="46"/>
        <v>30446</v>
      </c>
      <c r="J225" s="3"/>
    </row>
    <row r="226" spans="1:29" s="13" customFormat="1">
      <c r="A226" s="86" t="s">
        <v>56</v>
      </c>
      <c r="B226" s="66" t="s">
        <v>286</v>
      </c>
      <c r="C226" s="400">
        <f t="shared" ref="C226:H226" si="47">+C185</f>
        <v>0</v>
      </c>
      <c r="D226" s="15">
        <f t="shared" si="47"/>
        <v>0</v>
      </c>
      <c r="E226" s="1360">
        <f t="shared" si="47"/>
        <v>0</v>
      </c>
      <c r="F226" s="1173">
        <f t="shared" si="47"/>
        <v>0</v>
      </c>
      <c r="G226" s="1173">
        <f t="shared" si="47"/>
        <v>0</v>
      </c>
      <c r="H226" s="15">
        <f t="shared" si="47"/>
        <v>0</v>
      </c>
      <c r="J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H227" si="48">+C180+C181+C182+C183+C184+C186+C187</f>
        <v>110911</v>
      </c>
      <c r="D227" s="44">
        <f t="shared" si="48"/>
        <v>91948</v>
      </c>
      <c r="E227" s="1363">
        <f t="shared" si="48"/>
        <v>30446</v>
      </c>
      <c r="F227" s="1176">
        <f t="shared" si="48"/>
        <v>30446</v>
      </c>
      <c r="G227" s="1176">
        <f t="shared" si="48"/>
        <v>0</v>
      </c>
      <c r="H227" s="44">
        <f t="shared" si="48"/>
        <v>30446</v>
      </c>
      <c r="J227" s="3"/>
    </row>
    <row r="228" spans="1:29" s="3" customFormat="1" ht="12.75" thickBot="1">
      <c r="A228" s="83" t="s">
        <v>6</v>
      </c>
      <c r="B228" s="64" t="s">
        <v>324</v>
      </c>
      <c r="C228" s="129">
        <f t="shared" ref="C228:H228" si="49">+C229-C232</f>
        <v>1857788</v>
      </c>
      <c r="D228" s="29">
        <f t="shared" si="49"/>
        <v>0</v>
      </c>
      <c r="E228" s="1358">
        <f t="shared" si="49"/>
        <v>10000</v>
      </c>
      <c r="F228" s="1171">
        <f t="shared" si="49"/>
        <v>2654032</v>
      </c>
      <c r="G228" s="1171">
        <f t="shared" si="49"/>
        <v>0</v>
      </c>
      <c r="H228" s="29">
        <f t="shared" si="49"/>
        <v>2654032</v>
      </c>
    </row>
    <row r="229" spans="1:29">
      <c r="A229" s="84" t="s">
        <v>58</v>
      </c>
      <c r="B229" s="65" t="s">
        <v>325</v>
      </c>
      <c r="C229" s="404">
        <f t="shared" ref="C229:H229" si="50">+C230+C231</f>
        <v>1857788</v>
      </c>
      <c r="D229" s="35">
        <f t="shared" si="50"/>
        <v>0</v>
      </c>
      <c r="E229" s="1359">
        <f t="shared" si="50"/>
        <v>10000</v>
      </c>
      <c r="F229" s="1172">
        <f t="shared" si="50"/>
        <v>2654032</v>
      </c>
      <c r="G229" s="1172">
        <f t="shared" si="50"/>
        <v>0</v>
      </c>
      <c r="H229" s="35">
        <f t="shared" si="50"/>
        <v>2654032</v>
      </c>
      <c r="J229" s="3"/>
    </row>
    <row r="230" spans="1:29" s="13" customFormat="1">
      <c r="A230" s="86" t="s">
        <v>292</v>
      </c>
      <c r="B230" s="66" t="s">
        <v>290</v>
      </c>
      <c r="C230" s="400">
        <f t="shared" ref="C230:H230" si="51">+C91+C95</f>
        <v>1857788</v>
      </c>
      <c r="D230" s="15">
        <f t="shared" si="51"/>
        <v>0</v>
      </c>
      <c r="E230" s="1360">
        <f t="shared" si="51"/>
        <v>0</v>
      </c>
      <c r="F230" s="1173">
        <f t="shared" si="51"/>
        <v>2644032</v>
      </c>
      <c r="G230" s="1173">
        <f t="shared" si="51"/>
        <v>0</v>
      </c>
      <c r="H230" s="15">
        <f t="shared" si="51"/>
        <v>2644032</v>
      </c>
      <c r="J230" s="3"/>
    </row>
    <row r="231" spans="1:29" s="13" customFormat="1">
      <c r="A231" s="86" t="s">
        <v>293</v>
      </c>
      <c r="B231" s="66" t="s">
        <v>291</v>
      </c>
      <c r="C231" s="400">
        <f t="shared" ref="C231:H231" si="52">+C89+C90+C92+C93+C94+C96</f>
        <v>0</v>
      </c>
      <c r="D231" s="15">
        <f t="shared" si="52"/>
        <v>0</v>
      </c>
      <c r="E231" s="1360">
        <f t="shared" si="52"/>
        <v>10000</v>
      </c>
      <c r="F231" s="1173">
        <f t="shared" si="52"/>
        <v>10000</v>
      </c>
      <c r="G231" s="1173">
        <f t="shared" si="52"/>
        <v>0</v>
      </c>
      <c r="H231" s="15">
        <f t="shared" si="52"/>
        <v>10000</v>
      </c>
      <c r="J231" s="3"/>
    </row>
    <row r="232" spans="1:29">
      <c r="A232" s="85" t="s">
        <v>59</v>
      </c>
      <c r="B232" s="67" t="s">
        <v>326</v>
      </c>
      <c r="C232" s="402">
        <f t="shared" ref="C232:H232" si="53">+C233+C234</f>
        <v>0</v>
      </c>
      <c r="D232" s="16">
        <f t="shared" si="53"/>
        <v>0</v>
      </c>
      <c r="E232" s="1361">
        <f t="shared" si="53"/>
        <v>0</v>
      </c>
      <c r="F232" s="1174">
        <f t="shared" si="53"/>
        <v>0</v>
      </c>
      <c r="G232" s="1174">
        <f t="shared" si="53"/>
        <v>0</v>
      </c>
      <c r="H232" s="16">
        <f t="shared" si="53"/>
        <v>0</v>
      </c>
      <c r="J232" s="3"/>
    </row>
    <row r="233" spans="1:29" s="13" customFormat="1">
      <c r="A233" s="86" t="s">
        <v>294</v>
      </c>
      <c r="B233" s="66" t="s">
        <v>288</v>
      </c>
      <c r="C233" s="400">
        <f t="shared" ref="C233:H233" si="54">+C200</f>
        <v>0</v>
      </c>
      <c r="D233" s="15">
        <f t="shared" si="54"/>
        <v>0</v>
      </c>
      <c r="E233" s="1360">
        <f t="shared" si="54"/>
        <v>0</v>
      </c>
      <c r="F233" s="1173">
        <f t="shared" si="54"/>
        <v>0</v>
      </c>
      <c r="G233" s="1173">
        <f t="shared" si="54"/>
        <v>0</v>
      </c>
      <c r="H233" s="15">
        <f t="shared" si="54"/>
        <v>0</v>
      </c>
      <c r="J233" s="3"/>
    </row>
    <row r="234" spans="1:29" s="13" customFormat="1" ht="12.75" thickBot="1">
      <c r="A234" s="90" t="s">
        <v>295</v>
      </c>
      <c r="B234" s="75" t="s">
        <v>289</v>
      </c>
      <c r="C234" s="396">
        <f t="shared" ref="C234:H234" si="55">+C195+C196+C197+C198+C199+C201+C202</f>
        <v>0</v>
      </c>
      <c r="D234" s="42">
        <f t="shared" si="55"/>
        <v>0</v>
      </c>
      <c r="E234" s="1372">
        <f t="shared" si="55"/>
        <v>0</v>
      </c>
      <c r="F234" s="1277">
        <f t="shared" si="55"/>
        <v>0</v>
      </c>
      <c r="G234" s="1277">
        <f t="shared" si="55"/>
        <v>0</v>
      </c>
      <c r="H234" s="42">
        <f t="shared" si="55"/>
        <v>0</v>
      </c>
      <c r="J234" s="3"/>
    </row>
    <row r="235" spans="1:29">
      <c r="J235" s="3"/>
    </row>
    <row r="236" spans="1:29">
      <c r="J236" s="3"/>
    </row>
    <row r="237" spans="1:29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E238" s="37"/>
      <c r="F238" s="37"/>
      <c r="G238" s="37"/>
      <c r="H238" s="37"/>
      <c r="J238" s="3"/>
    </row>
    <row r="239" spans="1:29" s="3" customFormat="1">
      <c r="A239" s="91" t="s">
        <v>4</v>
      </c>
      <c r="B239" s="76" t="s">
        <v>91</v>
      </c>
      <c r="C239" s="1044">
        <v>214</v>
      </c>
      <c r="D239" s="1045">
        <f>(1+28)+(39+52)+68+8+3+18</f>
        <v>217</v>
      </c>
      <c r="E239" s="1373">
        <f>+'1.mell._Össz_Mérleg2020'!C239</f>
        <v>196</v>
      </c>
      <c r="F239" s="1278">
        <f>+'1.mell._Össz_Mérleg2020'!D239</f>
        <v>223</v>
      </c>
      <c r="G239" s="1278">
        <f>+'1.mell._Össz_Mérleg2020'!E239</f>
        <v>0</v>
      </c>
      <c r="H239" s="56">
        <f>+'1.mell._Össz_Mérleg2020'!F239</f>
        <v>223</v>
      </c>
    </row>
    <row r="240" spans="1:29" s="13" customFormat="1">
      <c r="A240" s="89" t="s">
        <v>350</v>
      </c>
      <c r="B240" s="99" t="s">
        <v>351</v>
      </c>
      <c r="C240" s="1046">
        <v>19</v>
      </c>
      <c r="D240" s="1047">
        <v>28</v>
      </c>
      <c r="E240" s="1374">
        <f>+'1.mell._Össz_Mérleg2020'!C240</f>
        <v>0</v>
      </c>
      <c r="F240" s="1279">
        <f>+'1.mell._Össz_Mérleg2020'!D240</f>
        <v>0</v>
      </c>
      <c r="G240" s="1279">
        <f>+'1.mell._Össz_Mérleg2020'!E240</f>
        <v>0</v>
      </c>
      <c r="H240" s="102">
        <f>+'1.mell._Össz_Mérleg2020'!F240</f>
        <v>0</v>
      </c>
      <c r="J240" s="3"/>
    </row>
    <row r="241" spans="1:10" s="3" customFormat="1" ht="12.75" thickBot="1">
      <c r="A241" s="92" t="s">
        <v>5</v>
      </c>
      <c r="B241" s="77" t="s">
        <v>92</v>
      </c>
      <c r="C241" s="1048">
        <v>164</v>
      </c>
      <c r="D241" s="1049">
        <v>121</v>
      </c>
      <c r="E241" s="1375">
        <f>+'1.mell._Össz_Mérleg2020'!C241</f>
        <v>148</v>
      </c>
      <c r="F241" s="1280">
        <f>+'1.mell._Össz_Mérleg2020'!D241</f>
        <v>159</v>
      </c>
      <c r="G241" s="1280">
        <f>+'1.mell._Össz_Mérleg2020'!E241</f>
        <v>0</v>
      </c>
      <c r="H241" s="59">
        <f>+'1.mell._Össz_Mérleg2020'!F241</f>
        <v>159</v>
      </c>
    </row>
    <row r="242" spans="1:10" s="3" customFormat="1" ht="12.75" thickBot="1">
      <c r="A242" s="83" t="s">
        <v>6</v>
      </c>
      <c r="B242" s="69" t="s">
        <v>329</v>
      </c>
      <c r="C242" s="1050">
        <f t="shared" ref="C242:H242" si="56">+C239+C241</f>
        <v>378</v>
      </c>
      <c r="D242" s="1051">
        <f t="shared" si="56"/>
        <v>338</v>
      </c>
      <c r="E242" s="1376">
        <f t="shared" si="56"/>
        <v>344</v>
      </c>
      <c r="F242" s="1281">
        <f t="shared" si="56"/>
        <v>382</v>
      </c>
      <c r="G242" s="1281">
        <f t="shared" si="56"/>
        <v>0</v>
      </c>
      <c r="H242" s="62">
        <f t="shared" si="56"/>
        <v>382</v>
      </c>
    </row>
    <row r="243" spans="1:10">
      <c r="J243" s="3"/>
    </row>
    <row r="244" spans="1:10" hidden="1">
      <c r="C244" s="4">
        <f t="shared" ref="C244:H244" si="57">+C214+C221</f>
        <v>608587</v>
      </c>
      <c r="D244" s="4">
        <f t="shared" si="57"/>
        <v>3178974</v>
      </c>
      <c r="E244" s="4">
        <f t="shared" si="57"/>
        <v>420254</v>
      </c>
      <c r="F244" s="4">
        <f t="shared" si="57"/>
        <v>-2202778</v>
      </c>
      <c r="G244" s="4">
        <f t="shared" si="57"/>
        <v>35700</v>
      </c>
      <c r="H244" s="4">
        <f t="shared" si="57"/>
        <v>-2167078</v>
      </c>
      <c r="J244" s="3"/>
    </row>
    <row r="245" spans="1:10" hidden="1">
      <c r="C245" s="4">
        <f t="shared" ref="C245:H245" si="58">+C215+C228</f>
        <v>2492294</v>
      </c>
      <c r="D245" s="4">
        <f t="shared" si="58"/>
        <v>151739</v>
      </c>
      <c r="E245" s="4">
        <f t="shared" si="58"/>
        <v>-420254</v>
      </c>
      <c r="F245" s="4">
        <f t="shared" si="58"/>
        <v>2202778</v>
      </c>
      <c r="G245" s="4">
        <f t="shared" si="58"/>
        <v>-35700</v>
      </c>
      <c r="H245" s="4">
        <f t="shared" si="58"/>
        <v>2167078</v>
      </c>
      <c r="J245" s="3"/>
    </row>
    <row r="246" spans="1:10">
      <c r="J246" s="3"/>
    </row>
    <row r="247" spans="1:10">
      <c r="J247" s="3"/>
    </row>
    <row r="248" spans="1:10">
      <c r="J248" s="3"/>
    </row>
    <row r="249" spans="1:10">
      <c r="J249" s="3"/>
    </row>
    <row r="250" spans="1:10">
      <c r="J250" s="3"/>
    </row>
    <row r="251" spans="1:10">
      <c r="J251" s="3"/>
    </row>
    <row r="252" spans="1:10">
      <c r="J252" s="3"/>
    </row>
    <row r="253" spans="1:10">
      <c r="J253" s="3"/>
    </row>
    <row r="254" spans="1:10">
      <c r="J254" s="3"/>
    </row>
    <row r="255" spans="1:10">
      <c r="J255" s="3"/>
    </row>
    <row r="256" spans="1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J137"/>
  <sheetViews>
    <sheetView zoomScaleNormal="100" workbookViewId="0"/>
  </sheetViews>
  <sheetFormatPr defaultColWidth="71.140625" defaultRowHeight="12"/>
  <cols>
    <col min="1" max="1" width="6.28515625" style="593" customWidth="1"/>
    <col min="2" max="2" width="3.85546875" style="848" hidden="1" customWidth="1"/>
    <col min="3" max="3" width="87.85546875" style="441" customWidth="1"/>
    <col min="4" max="7" width="13.28515625" style="441" customWidth="1"/>
    <col min="8" max="8" width="9" style="441" customWidth="1"/>
    <col min="9" max="10" width="9" style="441" hidden="1" customWidth="1"/>
    <col min="11" max="11" width="9" style="441" customWidth="1"/>
    <col min="12" max="23" width="11.42578125" style="441" customWidth="1"/>
    <col min="24" max="16384" width="71.140625" style="441"/>
  </cols>
  <sheetData>
    <row r="1" spans="1:7" s="590" customFormat="1" ht="15.75">
      <c r="A1" s="588"/>
      <c r="B1" s="842"/>
      <c r="C1" s="589"/>
      <c r="D1" s="189"/>
      <c r="E1" s="189"/>
      <c r="F1" s="189"/>
      <c r="G1" s="189" t="s">
        <v>478</v>
      </c>
    </row>
    <row r="2" spans="1:7" s="590" customFormat="1" ht="15.75">
      <c r="A2" s="588"/>
      <c r="B2" s="842"/>
      <c r="C2" s="589"/>
      <c r="D2" s="429"/>
      <c r="E2" s="429"/>
      <c r="F2" s="429"/>
      <c r="G2" s="429"/>
    </row>
    <row r="3" spans="1:7" s="590" customFormat="1" ht="15.75">
      <c r="A3" s="1527" t="s">
        <v>1446</v>
      </c>
      <c r="B3" s="1527"/>
      <c r="C3" s="1527"/>
      <c r="D3" s="1527"/>
      <c r="E3" s="1527"/>
      <c r="F3" s="1527"/>
      <c r="G3" s="1527"/>
    </row>
    <row r="4" spans="1:7">
      <c r="A4" s="591"/>
      <c r="B4" s="843"/>
      <c r="C4" s="422"/>
      <c r="D4" s="422"/>
      <c r="E4" s="422"/>
      <c r="F4" s="422"/>
      <c r="G4" s="422"/>
    </row>
    <row r="5" spans="1:7" ht="12.75" thickBot="1">
      <c r="A5" s="591"/>
      <c r="B5" s="843"/>
      <c r="C5" s="423"/>
      <c r="D5" s="351"/>
      <c r="E5" s="351"/>
      <c r="F5" s="351"/>
      <c r="G5" s="351" t="s">
        <v>553</v>
      </c>
    </row>
    <row r="6" spans="1:7" ht="36.75" thickBot="1">
      <c r="A6" s="419" t="s">
        <v>17</v>
      </c>
      <c r="B6" s="841" t="s">
        <v>1042</v>
      </c>
      <c r="C6" s="418" t="s">
        <v>541</v>
      </c>
      <c r="D6" s="6" t="s">
        <v>1586</v>
      </c>
      <c r="E6" s="6" t="s">
        <v>1587</v>
      </c>
      <c r="F6" s="6" t="s">
        <v>1658</v>
      </c>
      <c r="G6" s="7" t="s">
        <v>1659</v>
      </c>
    </row>
    <row r="7" spans="1:7" ht="13.5" customHeight="1" thickBot="1">
      <c r="A7" s="424" t="s">
        <v>542</v>
      </c>
      <c r="B7" s="835"/>
      <c r="C7" s="425">
        <v>2</v>
      </c>
      <c r="D7" s="1531">
        <v>3</v>
      </c>
      <c r="E7" s="1532"/>
      <c r="F7" s="1532"/>
      <c r="G7" s="1533"/>
    </row>
    <row r="8" spans="1:7" ht="12.75" thickBot="1">
      <c r="A8" s="1528" t="s">
        <v>585</v>
      </c>
      <c r="B8" s="1529"/>
      <c r="C8" s="1529"/>
      <c r="D8" s="1529"/>
      <c r="E8" s="1529"/>
      <c r="F8" s="1529"/>
      <c r="G8" s="1530"/>
    </row>
    <row r="9" spans="1:7">
      <c r="A9" s="438" t="s">
        <v>4</v>
      </c>
      <c r="B9" s="840"/>
      <c r="C9" s="439" t="s">
        <v>554</v>
      </c>
      <c r="D9" s="1377">
        <f>+D10+D11+D16+D18+D19+D20+D21</f>
        <v>219791570</v>
      </c>
      <c r="E9" s="1388">
        <f>+E10+E11+E16+E18+E19+E20+E21</f>
        <v>220582320</v>
      </c>
      <c r="F9" s="1388">
        <f>+F10+F11+F16+F18+F19+F20+F21</f>
        <v>0</v>
      </c>
      <c r="G9" s="1387">
        <f>+G10+G11+G16+G18+G19+G20+G21</f>
        <v>220582320</v>
      </c>
    </row>
    <row r="10" spans="1:7">
      <c r="A10" s="345" t="s">
        <v>555</v>
      </c>
      <c r="B10" s="834">
        <v>12</v>
      </c>
      <c r="C10" s="433" t="s">
        <v>1112</v>
      </c>
      <c r="D10" s="1378">
        <f>ROUND(31.87*4580000,0)</f>
        <v>145964600</v>
      </c>
      <c r="E10" s="1378">
        <f>ROUND(31.87*4580000,0)+790750</f>
        <v>146755350</v>
      </c>
      <c r="F10" s="1378"/>
      <c r="G10" s="416">
        <f t="shared" ref="G10:G16" si="0">+E10+F10</f>
        <v>146755350</v>
      </c>
    </row>
    <row r="11" spans="1:7">
      <c r="A11" s="345" t="s">
        <v>556</v>
      </c>
      <c r="B11" s="834"/>
      <c r="C11" s="433" t="s">
        <v>1447</v>
      </c>
      <c r="D11" s="1378">
        <f>+D12+D13+D14+D15</f>
        <v>60244390</v>
      </c>
      <c r="E11" s="1378">
        <f>+E12+E13+E14+E15</f>
        <v>60244390</v>
      </c>
      <c r="F11" s="1378"/>
      <c r="G11" s="416">
        <f t="shared" si="0"/>
        <v>60244390</v>
      </c>
    </row>
    <row r="12" spans="1:7" s="592" customFormat="1">
      <c r="A12" s="426" t="s">
        <v>557</v>
      </c>
      <c r="B12" s="844">
        <v>4</v>
      </c>
      <c r="C12" s="432" t="s">
        <v>1448</v>
      </c>
      <c r="D12" s="1379">
        <v>15266160</v>
      </c>
      <c r="E12" s="1379">
        <v>15266160</v>
      </c>
      <c r="F12" s="1379"/>
      <c r="G12" s="415">
        <f t="shared" si="0"/>
        <v>15266160</v>
      </c>
    </row>
    <row r="13" spans="1:7" s="592" customFormat="1">
      <c r="A13" s="426" t="s">
        <v>558</v>
      </c>
      <c r="B13" s="844">
        <v>3</v>
      </c>
      <c r="C13" s="432" t="s">
        <v>1449</v>
      </c>
      <c r="D13" s="1379">
        <v>26600000</v>
      </c>
      <c r="E13" s="1379">
        <v>26600000</v>
      </c>
      <c r="F13" s="1379"/>
      <c r="G13" s="415">
        <f t="shared" si="0"/>
        <v>26600000</v>
      </c>
    </row>
    <row r="14" spans="1:7" s="592" customFormat="1">
      <c r="A14" s="426" t="s">
        <v>559</v>
      </c>
      <c r="B14" s="844">
        <v>2</v>
      </c>
      <c r="C14" s="432" t="s">
        <v>1450</v>
      </c>
      <c r="D14" s="1379">
        <v>3460080</v>
      </c>
      <c r="E14" s="1379">
        <v>3460080</v>
      </c>
      <c r="F14" s="1379"/>
      <c r="G14" s="415">
        <f t="shared" si="0"/>
        <v>3460080</v>
      </c>
    </row>
    <row r="15" spans="1:7" s="592" customFormat="1">
      <c r="A15" s="426" t="s">
        <v>560</v>
      </c>
      <c r="B15" s="844">
        <v>5</v>
      </c>
      <c r="C15" s="432" t="s">
        <v>1451</v>
      </c>
      <c r="D15" s="1379">
        <v>14918150</v>
      </c>
      <c r="E15" s="1379">
        <v>14918150</v>
      </c>
      <c r="F15" s="1379"/>
      <c r="G15" s="415">
        <f t="shared" si="0"/>
        <v>14918150</v>
      </c>
    </row>
    <row r="16" spans="1:7" s="592" customFormat="1">
      <c r="A16" s="426" t="s">
        <v>561</v>
      </c>
      <c r="B16" s="844">
        <v>8</v>
      </c>
      <c r="C16" s="860" t="s">
        <v>562</v>
      </c>
      <c r="D16" s="1378">
        <v>28503900</v>
      </c>
      <c r="E16" s="1378">
        <v>28503900</v>
      </c>
      <c r="F16" s="1378"/>
      <c r="G16" s="416">
        <f t="shared" si="0"/>
        <v>28503900</v>
      </c>
    </row>
    <row r="17" spans="1:10" s="592" customFormat="1">
      <c r="A17" s="956"/>
      <c r="B17" s="844"/>
      <c r="C17" s="954" t="s">
        <v>1453</v>
      </c>
      <c r="D17" s="1380">
        <f>+D16+D20</f>
        <v>12512680</v>
      </c>
      <c r="E17" s="1380">
        <f>+E16+E20</f>
        <v>12512680</v>
      </c>
      <c r="F17" s="1380">
        <f>+F16+F20</f>
        <v>0</v>
      </c>
      <c r="G17" s="955">
        <f>+G16+G20</f>
        <v>12512680</v>
      </c>
    </row>
    <row r="18" spans="1:10">
      <c r="A18" s="345" t="s">
        <v>563</v>
      </c>
      <c r="B18" s="834">
        <v>8</v>
      </c>
      <c r="C18" s="433" t="s">
        <v>26</v>
      </c>
      <c r="D18" s="1378">
        <v>943500</v>
      </c>
      <c r="E18" s="1378">
        <v>943500</v>
      </c>
      <c r="F18" s="1378"/>
      <c r="G18" s="416">
        <f t="shared" ref="G18:G25" si="1">+E18+F18</f>
        <v>943500</v>
      </c>
    </row>
    <row r="19" spans="1:10">
      <c r="A19" s="345" t="s">
        <v>566</v>
      </c>
      <c r="B19" s="834">
        <v>8</v>
      </c>
      <c r="C19" s="433" t="s">
        <v>27</v>
      </c>
      <c r="D19" s="1378">
        <v>126400</v>
      </c>
      <c r="E19" s="1378">
        <v>126400</v>
      </c>
      <c r="F19" s="1378"/>
      <c r="G19" s="416">
        <f t="shared" si="1"/>
        <v>126400</v>
      </c>
    </row>
    <row r="20" spans="1:10">
      <c r="A20" s="952" t="s">
        <v>567</v>
      </c>
      <c r="B20" s="953">
        <v>8</v>
      </c>
      <c r="C20" s="434" t="s">
        <v>1452</v>
      </c>
      <c r="D20" s="1381">
        <v>-15991220</v>
      </c>
      <c r="E20" s="1381">
        <v>-15991220</v>
      </c>
      <c r="F20" s="1381"/>
      <c r="G20" s="408">
        <f t="shared" si="1"/>
        <v>-15991220</v>
      </c>
    </row>
    <row r="21" spans="1:10">
      <c r="A21" s="952" t="s">
        <v>568</v>
      </c>
      <c r="B21" s="953">
        <v>8</v>
      </c>
      <c r="C21" s="434" t="s">
        <v>1454</v>
      </c>
      <c r="D21" s="1381"/>
      <c r="E21" s="1381"/>
      <c r="F21" s="1381"/>
      <c r="G21" s="408">
        <f t="shared" si="1"/>
        <v>0</v>
      </c>
    </row>
    <row r="22" spans="1:10">
      <c r="A22" s="438" t="s">
        <v>5</v>
      </c>
      <c r="B22" s="840"/>
      <c r="C22" s="439" t="s">
        <v>564</v>
      </c>
      <c r="D22" s="1377"/>
      <c r="E22" s="1377"/>
      <c r="F22" s="1377"/>
      <c r="G22" s="440">
        <f t="shared" si="1"/>
        <v>0</v>
      </c>
    </row>
    <row r="23" spans="1:10">
      <c r="A23" s="345" t="s">
        <v>6</v>
      </c>
      <c r="B23" s="834"/>
      <c r="C23" s="417" t="s">
        <v>982</v>
      </c>
      <c r="D23" s="1378"/>
      <c r="E23" s="1378"/>
      <c r="F23" s="1378"/>
      <c r="G23" s="416">
        <f t="shared" si="1"/>
        <v>0</v>
      </c>
    </row>
    <row r="24" spans="1:10">
      <c r="A24" s="345" t="s">
        <v>3</v>
      </c>
      <c r="B24" s="834"/>
      <c r="C24" s="417" t="s">
        <v>981</v>
      </c>
      <c r="D24" s="1378"/>
      <c r="E24" s="1378"/>
      <c r="F24" s="1378"/>
      <c r="G24" s="416">
        <f t="shared" si="1"/>
        <v>0</v>
      </c>
    </row>
    <row r="25" spans="1:10" ht="12.75" thickBot="1">
      <c r="A25" s="345" t="s">
        <v>16</v>
      </c>
      <c r="B25" s="834">
        <v>1</v>
      </c>
      <c r="C25" s="417" t="s">
        <v>1174</v>
      </c>
      <c r="D25" s="1378">
        <v>1793900</v>
      </c>
      <c r="E25" s="1378">
        <v>1793900</v>
      </c>
      <c r="F25" s="1378"/>
      <c r="G25" s="416">
        <f t="shared" si="1"/>
        <v>1793900</v>
      </c>
    </row>
    <row r="26" spans="1:10" ht="12.75" thickBot="1">
      <c r="A26" s="430" t="s">
        <v>23</v>
      </c>
      <c r="B26" s="845"/>
      <c r="C26" s="414" t="s">
        <v>1455</v>
      </c>
      <c r="D26" s="1382">
        <f>+D9+D22+D23+D24+D25</f>
        <v>221585470</v>
      </c>
      <c r="E26" s="1382">
        <f>+E9+E22+E23+E24+E25</f>
        <v>222376220</v>
      </c>
      <c r="F26" s="1382">
        <f>+F9+F22+F23+F24+F25</f>
        <v>0</v>
      </c>
      <c r="G26" s="413">
        <f>+G9+G22+G23+G24+G25</f>
        <v>222376220</v>
      </c>
      <c r="I26" s="603">
        <f>+'1.mell._Össz_Mérleg2020'!F13</f>
        <v>222376</v>
      </c>
      <c r="J26" s="603">
        <f>+ROUND(G26/1000,0)-I26</f>
        <v>0</v>
      </c>
    </row>
    <row r="27" spans="1:10">
      <c r="A27" s="427" t="s">
        <v>4</v>
      </c>
      <c r="B27" s="832"/>
      <c r="C27" s="412" t="s">
        <v>1304</v>
      </c>
      <c r="D27" s="1383">
        <f>144696650+52800000</f>
        <v>197496650</v>
      </c>
      <c r="E27" s="1383">
        <f>(144696650+52800000)+18024733</f>
        <v>215521383</v>
      </c>
      <c r="F27" s="1383">
        <v>3497200</v>
      </c>
      <c r="G27" s="411">
        <f>+E27+F27</f>
        <v>219018583</v>
      </c>
    </row>
    <row r="28" spans="1:10">
      <c r="A28" s="348" t="s">
        <v>5</v>
      </c>
      <c r="B28" s="832"/>
      <c r="C28" s="410" t="s">
        <v>543</v>
      </c>
      <c r="D28" s="1381">
        <v>36398380</v>
      </c>
      <c r="E28" s="1381">
        <v>36398380</v>
      </c>
      <c r="F28" s="1381">
        <v>29220</v>
      </c>
      <c r="G28" s="408">
        <f>+E28+F28</f>
        <v>36427600</v>
      </c>
    </row>
    <row r="29" spans="1:10">
      <c r="A29" s="348" t="s">
        <v>6</v>
      </c>
      <c r="B29" s="832"/>
      <c r="C29" s="410" t="s">
        <v>544</v>
      </c>
      <c r="D29" s="1381"/>
      <c r="E29" s="1381"/>
      <c r="F29" s="1381"/>
      <c r="G29" s="408">
        <f>+E29+F29</f>
        <v>0</v>
      </c>
    </row>
    <row r="30" spans="1:10" ht="24">
      <c r="A30" s="348" t="s">
        <v>3</v>
      </c>
      <c r="B30" s="832"/>
      <c r="C30" s="410" t="s">
        <v>1175</v>
      </c>
      <c r="D30" s="1381">
        <f>3173600+1447300</f>
        <v>4620900</v>
      </c>
      <c r="E30" s="1381">
        <f>3173600+1447300</f>
        <v>4620900</v>
      </c>
      <c r="F30" s="1381">
        <f>363642-436370-868380</f>
        <v>-941108</v>
      </c>
      <c r="G30" s="408">
        <f>+E30+F30</f>
        <v>3679792</v>
      </c>
    </row>
    <row r="31" spans="1:10" ht="12.75" thickBot="1">
      <c r="A31" s="348" t="s">
        <v>16</v>
      </c>
      <c r="B31" s="832"/>
      <c r="C31" s="410" t="s">
        <v>1306</v>
      </c>
      <c r="D31" s="1381"/>
      <c r="E31" s="1381"/>
      <c r="F31" s="1381"/>
      <c r="G31" s="408">
        <f>+E31+F31</f>
        <v>0</v>
      </c>
    </row>
    <row r="32" spans="1:10" ht="12.75" thickBot="1">
      <c r="A32" s="430" t="s">
        <v>22</v>
      </c>
      <c r="B32" s="845">
        <v>19</v>
      </c>
      <c r="C32" s="414" t="s">
        <v>1305</v>
      </c>
      <c r="D32" s="1382">
        <f>+D27+D28+D29+D30+D31</f>
        <v>238515930</v>
      </c>
      <c r="E32" s="1382">
        <f>+E27+E28+E29+E30+E31</f>
        <v>256540663</v>
      </c>
      <c r="F32" s="1382">
        <f>+F27+F28+F29+F30+F31</f>
        <v>2585312</v>
      </c>
      <c r="G32" s="413">
        <f>+G27+G28+G29+G30+G31</f>
        <v>259125975</v>
      </c>
      <c r="I32" s="603">
        <f>+'1.mell._Össz_Mérleg2020'!F14</f>
        <v>259126</v>
      </c>
      <c r="J32" s="603">
        <f>+ROUND(G32/1000,0)-I32</f>
        <v>0</v>
      </c>
    </row>
    <row r="33" spans="1:7">
      <c r="A33" s="348" t="s">
        <v>4</v>
      </c>
      <c r="B33" s="833">
        <v>6</v>
      </c>
      <c r="C33" s="410" t="s">
        <v>983</v>
      </c>
      <c r="D33" s="1381">
        <v>119888998</v>
      </c>
      <c r="E33" s="1381">
        <v>119888998</v>
      </c>
      <c r="F33" s="1381"/>
      <c r="G33" s="408">
        <f>+E33+F33</f>
        <v>119888998</v>
      </c>
    </row>
    <row r="34" spans="1:7">
      <c r="A34" s="348" t="s">
        <v>5</v>
      </c>
      <c r="B34" s="833"/>
      <c r="C34" s="410" t="s">
        <v>545</v>
      </c>
      <c r="D34" s="1381">
        <f>+D35+D36+D37+D38+D41+D42+D43+D44+D45+D46+D47+D48+D49+D50</f>
        <v>73898586</v>
      </c>
      <c r="E34" s="1381">
        <f>+E35+E36+E37+E38+E41+E42+E43+E44+E45+E46+E47+E48+E49+E50</f>
        <v>79663586</v>
      </c>
      <c r="F34" s="1381">
        <f>+F35+F36+F37+F38+F41+F42+F43+F44+F45+F46+F47+F48+F49+F50</f>
        <v>0</v>
      </c>
      <c r="G34" s="408">
        <f>+E34+F34</f>
        <v>79663586</v>
      </c>
    </row>
    <row r="35" spans="1:7">
      <c r="A35" s="348" t="s">
        <v>565</v>
      </c>
      <c r="B35" s="833">
        <v>32</v>
      </c>
      <c r="C35" s="434" t="s">
        <v>984</v>
      </c>
      <c r="D35" s="1381">
        <v>25500000</v>
      </c>
      <c r="E35" s="1381">
        <v>28382500</v>
      </c>
      <c r="F35" s="1381"/>
      <c r="G35" s="408">
        <f>+E35+F35</f>
        <v>28382500</v>
      </c>
    </row>
    <row r="36" spans="1:7">
      <c r="A36" s="348" t="s">
        <v>556</v>
      </c>
      <c r="B36" s="833">
        <v>32</v>
      </c>
      <c r="C36" s="434" t="s">
        <v>985</v>
      </c>
      <c r="D36" s="1381">
        <v>29040000</v>
      </c>
      <c r="E36" s="1381">
        <v>31922500</v>
      </c>
      <c r="F36" s="1381"/>
      <c r="G36" s="408">
        <f>+E36+F36</f>
        <v>31922500</v>
      </c>
    </row>
    <row r="37" spans="1:7">
      <c r="A37" s="348" t="s">
        <v>561</v>
      </c>
      <c r="B37" s="833"/>
      <c r="C37" s="434" t="s">
        <v>546</v>
      </c>
      <c r="D37" s="1381"/>
      <c r="E37" s="1381"/>
      <c r="F37" s="1381"/>
      <c r="G37" s="408">
        <f>+E37+F37</f>
        <v>0</v>
      </c>
    </row>
    <row r="38" spans="1:7">
      <c r="A38" s="348" t="s">
        <v>563</v>
      </c>
      <c r="B38" s="833"/>
      <c r="C38" s="434" t="s">
        <v>547</v>
      </c>
      <c r="D38" s="1381">
        <f>+D39+D40</f>
        <v>0</v>
      </c>
      <c r="E38" s="1381">
        <f>+E39+E40</f>
        <v>0</v>
      </c>
      <c r="F38" s="1381">
        <f>+F39+F40</f>
        <v>0</v>
      </c>
      <c r="G38" s="408">
        <f>+G39+G40</f>
        <v>0</v>
      </c>
    </row>
    <row r="39" spans="1:7" s="592" customFormat="1">
      <c r="A39" s="428" t="s">
        <v>1113</v>
      </c>
      <c r="B39" s="846"/>
      <c r="C39" s="435" t="s">
        <v>1115</v>
      </c>
      <c r="D39" s="1384"/>
      <c r="E39" s="1384"/>
      <c r="F39" s="1384"/>
      <c r="G39" s="409">
        <f t="shared" ref="G39:G50" si="2">+E39+F39</f>
        <v>0</v>
      </c>
    </row>
    <row r="40" spans="1:7" s="592" customFormat="1">
      <c r="A40" s="428" t="s">
        <v>1114</v>
      </c>
      <c r="B40" s="846"/>
      <c r="C40" s="435" t="s">
        <v>1116</v>
      </c>
      <c r="D40" s="1384"/>
      <c r="E40" s="1384"/>
      <c r="F40" s="1384"/>
      <c r="G40" s="409">
        <f t="shared" si="2"/>
        <v>0</v>
      </c>
    </row>
    <row r="41" spans="1:7">
      <c r="A41" s="348" t="s">
        <v>566</v>
      </c>
      <c r="B41" s="833"/>
      <c r="C41" s="434" t="s">
        <v>548</v>
      </c>
      <c r="D41" s="1381"/>
      <c r="E41" s="1381"/>
      <c r="F41" s="1381"/>
      <c r="G41" s="408">
        <f t="shared" si="2"/>
        <v>0</v>
      </c>
    </row>
    <row r="42" spans="1:7">
      <c r="A42" s="348" t="s">
        <v>567</v>
      </c>
      <c r="B42" s="833"/>
      <c r="C42" s="434" t="s">
        <v>549</v>
      </c>
      <c r="D42" s="1381"/>
      <c r="E42" s="1381"/>
      <c r="F42" s="1381"/>
      <c r="G42" s="408">
        <f t="shared" si="2"/>
        <v>0</v>
      </c>
    </row>
    <row r="43" spans="1:7">
      <c r="A43" s="348" t="s">
        <v>568</v>
      </c>
      <c r="B43" s="833"/>
      <c r="C43" s="434" t="s">
        <v>550</v>
      </c>
      <c r="D43" s="1381"/>
      <c r="E43" s="1381"/>
      <c r="F43" s="1381"/>
      <c r="G43" s="408">
        <f t="shared" si="2"/>
        <v>0</v>
      </c>
    </row>
    <row r="44" spans="1:7">
      <c r="A44" s="348" t="s">
        <v>569</v>
      </c>
      <c r="B44" s="833"/>
      <c r="C44" s="434" t="s">
        <v>570</v>
      </c>
      <c r="D44" s="1381"/>
      <c r="E44" s="1381"/>
      <c r="F44" s="1381"/>
      <c r="G44" s="408">
        <f t="shared" si="2"/>
        <v>0</v>
      </c>
    </row>
    <row r="45" spans="1:7">
      <c r="A45" s="348" t="s">
        <v>571</v>
      </c>
      <c r="B45" s="833"/>
      <c r="C45" s="434" t="s">
        <v>551</v>
      </c>
      <c r="D45" s="1381"/>
      <c r="E45" s="1381"/>
      <c r="F45" s="1381"/>
      <c r="G45" s="408">
        <f t="shared" si="2"/>
        <v>0</v>
      </c>
    </row>
    <row r="46" spans="1:7">
      <c r="A46" s="348" t="s">
        <v>572</v>
      </c>
      <c r="B46" s="833"/>
      <c r="C46" s="434" t="s">
        <v>1117</v>
      </c>
      <c r="D46" s="1381"/>
      <c r="E46" s="1381"/>
      <c r="F46" s="1381"/>
      <c r="G46" s="408">
        <f t="shared" si="2"/>
        <v>0</v>
      </c>
    </row>
    <row r="47" spans="1:7">
      <c r="A47" s="348" t="s">
        <v>574</v>
      </c>
      <c r="B47" s="833"/>
      <c r="C47" s="434" t="s">
        <v>575</v>
      </c>
      <c r="D47" s="1381"/>
      <c r="E47" s="1381"/>
      <c r="F47" s="1381"/>
      <c r="G47" s="408">
        <f t="shared" si="2"/>
        <v>0</v>
      </c>
    </row>
    <row r="48" spans="1:7">
      <c r="A48" s="348" t="s">
        <v>576</v>
      </c>
      <c r="B48" s="833"/>
      <c r="C48" s="434" t="s">
        <v>1118</v>
      </c>
      <c r="D48" s="1381"/>
      <c r="E48" s="1381"/>
      <c r="F48" s="1381"/>
      <c r="G48" s="408">
        <f t="shared" si="2"/>
        <v>0</v>
      </c>
    </row>
    <row r="49" spans="1:10">
      <c r="A49" s="348" t="s">
        <v>1119</v>
      </c>
      <c r="B49" s="833"/>
      <c r="C49" s="434" t="s">
        <v>1120</v>
      </c>
      <c r="D49" s="1381"/>
      <c r="E49" s="1381"/>
      <c r="F49" s="1381"/>
      <c r="G49" s="408">
        <f t="shared" si="2"/>
        <v>0</v>
      </c>
    </row>
    <row r="50" spans="1:10">
      <c r="A50" s="348" t="s">
        <v>1177</v>
      </c>
      <c r="B50" s="833">
        <v>32</v>
      </c>
      <c r="C50" s="434" t="s">
        <v>1176</v>
      </c>
      <c r="D50" s="1381">
        <v>19358586</v>
      </c>
      <c r="E50" s="1381">
        <v>19358586</v>
      </c>
      <c r="F50" s="1381"/>
      <c r="G50" s="408">
        <f t="shared" si="2"/>
        <v>19358586</v>
      </c>
    </row>
    <row r="51" spans="1:10">
      <c r="A51" s="348" t="s">
        <v>6</v>
      </c>
      <c r="B51" s="833">
        <v>21</v>
      </c>
      <c r="C51" s="410" t="s">
        <v>1178</v>
      </c>
      <c r="D51" s="1381">
        <f>+D52+D53</f>
        <v>23729500</v>
      </c>
      <c r="E51" s="1381">
        <f>+E52+E53</f>
        <v>24592000</v>
      </c>
      <c r="F51" s="1381">
        <f>+F52+F53</f>
        <v>3708000</v>
      </c>
      <c r="G51" s="408">
        <f>+G52+G53</f>
        <v>28300000</v>
      </c>
    </row>
    <row r="52" spans="1:10">
      <c r="A52" s="348" t="s">
        <v>565</v>
      </c>
      <c r="B52" s="833"/>
      <c r="C52" s="434" t="s">
        <v>577</v>
      </c>
      <c r="D52" s="1381">
        <v>19454500</v>
      </c>
      <c r="E52" s="1381">
        <v>20317000</v>
      </c>
      <c r="F52" s="1381">
        <f>2993000+4419000-2993000</f>
        <v>4419000</v>
      </c>
      <c r="G52" s="408">
        <f>+E52+F52</f>
        <v>24736000</v>
      </c>
    </row>
    <row r="53" spans="1:10">
      <c r="A53" s="348" t="s">
        <v>556</v>
      </c>
      <c r="B53" s="833"/>
      <c r="C53" s="434" t="s">
        <v>1179</v>
      </c>
      <c r="D53" s="1381">
        <v>4275000</v>
      </c>
      <c r="E53" s="1381">
        <v>4275000</v>
      </c>
      <c r="F53" s="1381">
        <f>-709000-2000</f>
        <v>-711000</v>
      </c>
      <c r="G53" s="408">
        <f>+E53+F53</f>
        <v>3564000</v>
      </c>
    </row>
    <row r="54" spans="1:10" ht="24">
      <c r="A54" s="348" t="s">
        <v>3</v>
      </c>
      <c r="B54" s="833"/>
      <c r="C54" s="410" t="s">
        <v>986</v>
      </c>
      <c r="D54" s="1381">
        <f>+D55+D56</f>
        <v>0</v>
      </c>
      <c r="E54" s="1381">
        <f>+E55+E56</f>
        <v>0</v>
      </c>
      <c r="F54" s="1381">
        <f>+F55+F56</f>
        <v>0</v>
      </c>
      <c r="G54" s="408">
        <f>+G55+G56</f>
        <v>0</v>
      </c>
    </row>
    <row r="55" spans="1:10">
      <c r="A55" s="348" t="s">
        <v>565</v>
      </c>
      <c r="B55" s="833"/>
      <c r="C55" s="434" t="s">
        <v>577</v>
      </c>
      <c r="D55" s="1381"/>
      <c r="E55" s="1381"/>
      <c r="F55" s="1381"/>
      <c r="G55" s="408">
        <f>+E55+F55</f>
        <v>0</v>
      </c>
    </row>
    <row r="56" spans="1:10">
      <c r="A56" s="348" t="s">
        <v>556</v>
      </c>
      <c r="B56" s="833"/>
      <c r="C56" s="434" t="s">
        <v>578</v>
      </c>
      <c r="D56" s="1381"/>
      <c r="E56" s="1381"/>
      <c r="F56" s="1381"/>
      <c r="G56" s="408">
        <f>+E56+F56</f>
        <v>0</v>
      </c>
    </row>
    <row r="57" spans="1:10">
      <c r="A57" s="348" t="s">
        <v>16</v>
      </c>
      <c r="B57" s="833"/>
      <c r="C57" s="410" t="s">
        <v>1311</v>
      </c>
      <c r="D57" s="1381">
        <f>+D58+D61</f>
        <v>70329187</v>
      </c>
      <c r="E57" s="1381">
        <f>+E58+E61</f>
        <v>73683747</v>
      </c>
      <c r="F57" s="1381">
        <f>+F58+F61</f>
        <v>7987113</v>
      </c>
      <c r="G57" s="408">
        <f>+G58+G61</f>
        <v>81670860</v>
      </c>
    </row>
    <row r="58" spans="1:10">
      <c r="A58" s="348" t="s">
        <v>565</v>
      </c>
      <c r="B58" s="833">
        <v>20</v>
      </c>
      <c r="C58" s="434" t="s">
        <v>1308</v>
      </c>
      <c r="D58" s="1381">
        <f>+D59+D60</f>
        <v>67762275</v>
      </c>
      <c r="E58" s="1381">
        <f>+E59+E60</f>
        <v>71116835</v>
      </c>
      <c r="F58" s="1381">
        <f>+F59+F60</f>
        <v>7826681</v>
      </c>
      <c r="G58" s="408">
        <f>+G59+G60</f>
        <v>78943516</v>
      </c>
    </row>
    <row r="59" spans="1:10" s="592" customFormat="1">
      <c r="A59" s="428" t="s">
        <v>1309</v>
      </c>
      <c r="B59" s="846"/>
      <c r="C59" s="435" t="s">
        <v>987</v>
      </c>
      <c r="D59" s="1384">
        <v>41932000</v>
      </c>
      <c r="E59" s="1384">
        <v>45286560</v>
      </c>
      <c r="F59" s="1384"/>
      <c r="G59" s="409">
        <f>+E59+F59</f>
        <v>45286560</v>
      </c>
    </row>
    <row r="60" spans="1:10" s="592" customFormat="1">
      <c r="A60" s="428" t="s">
        <v>1310</v>
      </c>
      <c r="B60" s="846"/>
      <c r="C60" s="435" t="s">
        <v>988</v>
      </c>
      <c r="D60" s="1384">
        <v>25830275</v>
      </c>
      <c r="E60" s="1384">
        <v>25830275</v>
      </c>
      <c r="F60" s="1384">
        <v>7826681</v>
      </c>
      <c r="G60" s="409">
        <f>+E60+F60</f>
        <v>33656956</v>
      </c>
    </row>
    <row r="61" spans="1:10" ht="12.75" thickBot="1">
      <c r="A61" s="348" t="s">
        <v>556</v>
      </c>
      <c r="B61" s="833">
        <v>6</v>
      </c>
      <c r="C61" s="434" t="s">
        <v>1121</v>
      </c>
      <c r="D61" s="1381">
        <v>2566912</v>
      </c>
      <c r="E61" s="1381">
        <v>2566912</v>
      </c>
      <c r="F61" s="1381">
        <v>160432</v>
      </c>
      <c r="G61" s="408">
        <f>+E61+F61</f>
        <v>2727344</v>
      </c>
    </row>
    <row r="62" spans="1:10" ht="24.75" thickBot="1">
      <c r="A62" s="430" t="s">
        <v>21</v>
      </c>
      <c r="B62" s="845"/>
      <c r="C62" s="414" t="s">
        <v>1456</v>
      </c>
      <c r="D62" s="1382">
        <f>+D33+D34+D51+D54+D57</f>
        <v>287846271</v>
      </c>
      <c r="E62" s="1382">
        <f>+E33+E34+E51+E54+E57</f>
        <v>297828331</v>
      </c>
      <c r="F62" s="1382">
        <f>+F33+F34+F51+F54+F57</f>
        <v>11695113</v>
      </c>
      <c r="G62" s="413">
        <f>+G33+G34+G51+G54+G57</f>
        <v>309523444</v>
      </c>
      <c r="I62" s="603">
        <f>+'1.mell._Össz_Mérleg2020'!F15</f>
        <v>309523</v>
      </c>
      <c r="J62" s="603">
        <f>+ROUND(G62/1000,0)-I62</f>
        <v>0</v>
      </c>
    </row>
    <row r="63" spans="1:10">
      <c r="A63" s="427" t="s">
        <v>565</v>
      </c>
      <c r="B63" s="832"/>
      <c r="C63" s="436" t="s">
        <v>1122</v>
      </c>
      <c r="D63" s="1383"/>
      <c r="E63" s="1383"/>
      <c r="F63" s="1383"/>
      <c r="G63" s="411">
        <f>+E63+F63</f>
        <v>0</v>
      </c>
    </row>
    <row r="64" spans="1:10">
      <c r="A64" s="427" t="s">
        <v>556</v>
      </c>
      <c r="B64" s="861">
        <v>25</v>
      </c>
      <c r="C64" s="436" t="s">
        <v>1123</v>
      </c>
      <c r="D64" s="1383">
        <v>13206807</v>
      </c>
      <c r="E64" s="1383">
        <v>17746317</v>
      </c>
      <c r="F64" s="1383"/>
      <c r="G64" s="411">
        <f>+E64+F64</f>
        <v>17746317</v>
      </c>
    </row>
    <row r="65" spans="1:10">
      <c r="A65" s="427" t="s">
        <v>561</v>
      </c>
      <c r="B65" s="832"/>
      <c r="C65" s="436" t="s">
        <v>1124</v>
      </c>
      <c r="D65" s="1383"/>
      <c r="E65" s="1383"/>
      <c r="F65" s="1383"/>
      <c r="G65" s="411">
        <f>+E65+F65</f>
        <v>0</v>
      </c>
    </row>
    <row r="66" spans="1:10">
      <c r="A66" s="427" t="s">
        <v>563</v>
      </c>
      <c r="B66" s="832"/>
      <c r="C66" s="436" t="s">
        <v>1125</v>
      </c>
      <c r="D66" s="1383"/>
      <c r="E66" s="1383"/>
      <c r="F66" s="1383"/>
      <c r="G66" s="411">
        <f>+E66+F66</f>
        <v>0</v>
      </c>
    </row>
    <row r="67" spans="1:10" ht="12.75" thickBot="1">
      <c r="A67" s="427" t="s">
        <v>566</v>
      </c>
      <c r="B67" s="832"/>
      <c r="C67" s="436" t="s">
        <v>1180</v>
      </c>
      <c r="D67" s="1383"/>
      <c r="E67" s="1383"/>
      <c r="F67" s="1383"/>
      <c r="G67" s="411">
        <f>+E67+F67</f>
        <v>0</v>
      </c>
    </row>
    <row r="68" spans="1:10" ht="12.75" thickBot="1">
      <c r="A68" s="430" t="s">
        <v>20</v>
      </c>
      <c r="B68" s="845"/>
      <c r="C68" s="414" t="s">
        <v>1457</v>
      </c>
      <c r="D68" s="1382">
        <f>+D63+D64+D65+D66+D67</f>
        <v>13206807</v>
      </c>
      <c r="E68" s="1382">
        <f>+E63+E64+E65+E66+E67</f>
        <v>17746317</v>
      </c>
      <c r="F68" s="1382">
        <f>+F63+F64+F65+F66+F67</f>
        <v>0</v>
      </c>
      <c r="G68" s="413">
        <f>+G63+G64+G65+G66+G67</f>
        <v>17746317</v>
      </c>
      <c r="I68" s="603">
        <f>+'1.mell._Össz_Mérleg2020'!F16</f>
        <v>17747</v>
      </c>
      <c r="J68" s="603">
        <f>+ROUND(G68/1000,0)-I68</f>
        <v>-1</v>
      </c>
    </row>
    <row r="69" spans="1:10" s="592" customFormat="1" ht="12.75" thickBot="1">
      <c r="A69" s="959" t="s">
        <v>552</v>
      </c>
      <c r="B69" s="960"/>
      <c r="C69" s="961" t="s">
        <v>1458</v>
      </c>
      <c r="D69" s="1385"/>
      <c r="E69" s="1385"/>
      <c r="F69" s="1385"/>
      <c r="G69" s="962"/>
      <c r="I69" s="963"/>
      <c r="J69" s="963"/>
    </row>
    <row r="70" spans="1:10" ht="24.75" thickBot="1">
      <c r="A70" s="437" t="s">
        <v>587</v>
      </c>
      <c r="B70" s="839"/>
      <c r="C70" s="414" t="s">
        <v>883</v>
      </c>
      <c r="D70" s="1382">
        <f>+D26+D32+D62+D68+D69</f>
        <v>761154478</v>
      </c>
      <c r="E70" s="1382">
        <f>+E26+E32+E62+E68+E69</f>
        <v>794491531</v>
      </c>
      <c r="F70" s="1382">
        <f>+F26+F32+F62+F68+F69</f>
        <v>14280425</v>
      </c>
      <c r="G70" s="413">
        <f>+G26+G32+G62+G68+G69</f>
        <v>808771956</v>
      </c>
      <c r="I70" s="603"/>
    </row>
    <row r="71" spans="1:10" ht="12.75" thickBot="1">
      <c r="A71" s="431"/>
      <c r="B71" s="847"/>
      <c r="C71" s="420"/>
      <c r="D71" s="1386"/>
      <c r="E71" s="1389"/>
      <c r="F71" s="1389"/>
      <c r="G71" s="413"/>
    </row>
    <row r="72" spans="1:10" ht="12.75" thickBot="1">
      <c r="A72" s="1528" t="s">
        <v>586</v>
      </c>
      <c r="B72" s="1529"/>
      <c r="C72" s="1529"/>
      <c r="D72" s="1529"/>
      <c r="E72" s="1529"/>
      <c r="F72" s="1529"/>
      <c r="G72" s="1530"/>
    </row>
    <row r="73" spans="1:10" s="723" customFormat="1">
      <c r="A73" s="348" t="s">
        <v>4</v>
      </c>
      <c r="B73" s="833"/>
      <c r="C73" s="410" t="s">
        <v>31</v>
      </c>
      <c r="D73" s="1381"/>
      <c r="E73" s="1392"/>
      <c r="F73" s="1392"/>
      <c r="G73" s="1391">
        <f t="shared" ref="G73:G84" si="3">+E73+F73</f>
        <v>0</v>
      </c>
      <c r="I73" s="441"/>
      <c r="J73" s="441"/>
    </row>
    <row r="74" spans="1:10" s="723" customFormat="1">
      <c r="A74" s="348" t="s">
        <v>5</v>
      </c>
      <c r="B74" s="833"/>
      <c r="C74" s="410" t="s">
        <v>1126</v>
      </c>
      <c r="D74" s="1381"/>
      <c r="E74" s="1381"/>
      <c r="F74" s="1381"/>
      <c r="G74" s="408">
        <f t="shared" si="3"/>
        <v>0</v>
      </c>
      <c r="I74" s="441"/>
      <c r="J74" s="441"/>
    </row>
    <row r="75" spans="1:10" s="723" customFormat="1">
      <c r="A75" s="348" t="s">
        <v>6</v>
      </c>
      <c r="B75" s="833"/>
      <c r="C75" s="410" t="s">
        <v>1127</v>
      </c>
      <c r="D75" s="1381"/>
      <c r="E75" s="1381"/>
      <c r="F75" s="1381"/>
      <c r="G75" s="408">
        <f t="shared" si="3"/>
        <v>0</v>
      </c>
      <c r="I75" s="441"/>
      <c r="J75" s="441"/>
    </row>
    <row r="76" spans="1:10" s="723" customFormat="1">
      <c r="A76" s="348" t="s">
        <v>3</v>
      </c>
      <c r="B76" s="833"/>
      <c r="C76" s="410" t="s">
        <v>584</v>
      </c>
      <c r="D76" s="1381"/>
      <c r="E76" s="1381"/>
      <c r="F76" s="1381"/>
      <c r="G76" s="408">
        <f t="shared" si="3"/>
        <v>0</v>
      </c>
      <c r="I76" s="441"/>
      <c r="J76" s="441"/>
    </row>
    <row r="77" spans="1:10" s="723" customFormat="1">
      <c r="A77" s="348" t="s">
        <v>16</v>
      </c>
      <c r="B77" s="833"/>
      <c r="C77" s="410" t="s">
        <v>25</v>
      </c>
      <c r="D77" s="1381"/>
      <c r="E77" s="1381"/>
      <c r="F77" s="1381"/>
      <c r="G77" s="408">
        <f t="shared" si="3"/>
        <v>0</v>
      </c>
      <c r="I77" s="441"/>
      <c r="J77" s="441"/>
    </row>
    <row r="78" spans="1:10" s="723" customFormat="1">
      <c r="A78" s="348" t="s">
        <v>15</v>
      </c>
      <c r="B78" s="834"/>
      <c r="C78" s="800" t="s">
        <v>879</v>
      </c>
      <c r="D78" s="1390"/>
      <c r="E78" s="1390"/>
      <c r="F78" s="1390"/>
      <c r="G78" s="799">
        <f t="shared" si="3"/>
        <v>0</v>
      </c>
      <c r="I78" s="441"/>
      <c r="J78" s="441"/>
    </row>
    <row r="79" spans="1:10" s="723" customFormat="1" ht="24">
      <c r="A79" s="348" t="s">
        <v>14</v>
      </c>
      <c r="B79" s="834"/>
      <c r="C79" s="862" t="s">
        <v>1128</v>
      </c>
      <c r="D79" s="1390"/>
      <c r="E79" s="1390"/>
      <c r="F79" s="1390"/>
      <c r="G79" s="799">
        <f t="shared" si="3"/>
        <v>0</v>
      </c>
      <c r="I79" s="441"/>
      <c r="J79" s="441"/>
    </row>
    <row r="80" spans="1:10" s="723" customFormat="1">
      <c r="A80" s="348" t="s">
        <v>13</v>
      </c>
      <c r="B80" s="834"/>
      <c r="C80" s="800" t="s">
        <v>1129</v>
      </c>
      <c r="D80" s="1390"/>
      <c r="E80" s="1390"/>
      <c r="F80" s="1390"/>
      <c r="G80" s="799">
        <f t="shared" si="3"/>
        <v>0</v>
      </c>
      <c r="I80" s="441"/>
      <c r="J80" s="441"/>
    </row>
    <row r="81" spans="1:10" s="723" customFormat="1">
      <c r="A81" s="348" t="s">
        <v>12</v>
      </c>
      <c r="B81" s="833">
        <v>8</v>
      </c>
      <c r="C81" s="410" t="s">
        <v>993</v>
      </c>
      <c r="D81" s="1381">
        <f>264842000-115619000</f>
        <v>149223000</v>
      </c>
      <c r="E81" s="1381">
        <f>(264842000-115619000)+21100000</f>
        <v>170323000</v>
      </c>
      <c r="F81" s="1381"/>
      <c r="G81" s="408">
        <f t="shared" si="3"/>
        <v>170323000</v>
      </c>
      <c r="I81" s="441"/>
      <c r="J81" s="441"/>
    </row>
    <row r="82" spans="1:10" s="723" customFormat="1">
      <c r="A82" s="348" t="s">
        <v>11</v>
      </c>
      <c r="B82" s="833"/>
      <c r="C82" s="410" t="s">
        <v>994</v>
      </c>
      <c r="D82" s="1381"/>
      <c r="E82" s="1381"/>
      <c r="F82" s="1381"/>
      <c r="G82" s="408">
        <f t="shared" si="3"/>
        <v>0</v>
      </c>
      <c r="I82" s="441"/>
      <c r="J82" s="441"/>
    </row>
    <row r="83" spans="1:10" s="723" customFormat="1">
      <c r="A83" s="348" t="s">
        <v>10</v>
      </c>
      <c r="B83" s="927">
        <v>8</v>
      </c>
      <c r="C83" s="410" t="s">
        <v>1459</v>
      </c>
      <c r="D83" s="1381"/>
      <c r="E83" s="1381">
        <v>310333</v>
      </c>
      <c r="F83" s="1381">
        <v>99100</v>
      </c>
      <c r="G83" s="408">
        <f t="shared" si="3"/>
        <v>409433</v>
      </c>
      <c r="I83" s="441"/>
      <c r="J83" s="441"/>
    </row>
    <row r="84" spans="1:10" s="723" customFormat="1">
      <c r="A84" s="348" t="s">
        <v>9</v>
      </c>
      <c r="B84" s="833">
        <v>32</v>
      </c>
      <c r="C84" s="410" t="s">
        <v>1307</v>
      </c>
      <c r="D84" s="1381"/>
      <c r="E84" s="1381">
        <v>11954696</v>
      </c>
      <c r="F84" s="1381">
        <v>5028352</v>
      </c>
      <c r="G84" s="408">
        <f t="shared" si="3"/>
        <v>16983048</v>
      </c>
      <c r="I84" s="441"/>
      <c r="J84" s="441"/>
    </row>
    <row r="85" spans="1:10" s="723" customFormat="1">
      <c r="A85" s="348" t="s">
        <v>45</v>
      </c>
      <c r="B85" s="833"/>
      <c r="C85" s="410" t="s">
        <v>1463</v>
      </c>
      <c r="D85" s="1381">
        <f>+D86+D87+D88+D89+D90+D91+D92</f>
        <v>6679000</v>
      </c>
      <c r="E85" s="1381">
        <f>+E86+E87+E88+E89+E90+E91+E92</f>
        <v>6679000</v>
      </c>
      <c r="F85" s="1381">
        <f>+F86+F87+F88+F89+F90+F91+F92</f>
        <v>0</v>
      </c>
      <c r="G85" s="408">
        <f>+G86+G87+G88+G89+G90+G91+G92</f>
        <v>6679000</v>
      </c>
      <c r="I85" s="441"/>
      <c r="J85" s="441"/>
    </row>
    <row r="86" spans="1:10">
      <c r="A86" s="348" t="s">
        <v>565</v>
      </c>
      <c r="B86" s="833"/>
      <c r="C86" s="434" t="s">
        <v>1460</v>
      </c>
      <c r="D86" s="1381"/>
      <c r="E86" s="1381"/>
      <c r="F86" s="1381"/>
      <c r="G86" s="408">
        <f t="shared" ref="G86:G93" si="4">+E86+F86</f>
        <v>0</v>
      </c>
    </row>
    <row r="87" spans="1:10">
      <c r="A87" s="348" t="s">
        <v>556</v>
      </c>
      <c r="B87" s="833"/>
      <c r="C87" s="434" t="s">
        <v>1461</v>
      </c>
      <c r="D87" s="1381"/>
      <c r="E87" s="1381"/>
      <c r="F87" s="1381"/>
      <c r="G87" s="408">
        <f t="shared" si="4"/>
        <v>0</v>
      </c>
    </row>
    <row r="88" spans="1:10">
      <c r="A88" s="348" t="s">
        <v>561</v>
      </c>
      <c r="B88" s="833">
        <v>26</v>
      </c>
      <c r="C88" s="434" t="s">
        <v>24</v>
      </c>
      <c r="D88" s="1381">
        <f>0+6679000</f>
        <v>6679000</v>
      </c>
      <c r="E88" s="1381">
        <f>0+6679000</f>
        <v>6679000</v>
      </c>
      <c r="F88" s="1381"/>
      <c r="G88" s="408">
        <f t="shared" si="4"/>
        <v>6679000</v>
      </c>
    </row>
    <row r="89" spans="1:10">
      <c r="A89" s="348" t="s">
        <v>563</v>
      </c>
      <c r="B89" s="833">
        <v>24</v>
      </c>
      <c r="C89" s="434" t="s">
        <v>989</v>
      </c>
      <c r="D89" s="1381"/>
      <c r="E89" s="1381"/>
      <c r="F89" s="1381"/>
      <c r="G89" s="408">
        <f t="shared" si="4"/>
        <v>0</v>
      </c>
    </row>
    <row r="90" spans="1:10">
      <c r="A90" s="348" t="s">
        <v>566</v>
      </c>
      <c r="B90" s="833"/>
      <c r="C90" s="434" t="s">
        <v>579</v>
      </c>
      <c r="D90" s="1381"/>
      <c r="E90" s="1381"/>
      <c r="F90" s="1381"/>
      <c r="G90" s="408">
        <f t="shared" si="4"/>
        <v>0</v>
      </c>
    </row>
    <row r="91" spans="1:10">
      <c r="A91" s="348" t="s">
        <v>567</v>
      </c>
      <c r="B91" s="833"/>
      <c r="C91" s="434" t="s">
        <v>580</v>
      </c>
      <c r="D91" s="1381"/>
      <c r="E91" s="1381"/>
      <c r="F91" s="1381"/>
      <c r="G91" s="408">
        <f t="shared" si="4"/>
        <v>0</v>
      </c>
    </row>
    <row r="92" spans="1:10">
      <c r="A92" s="348" t="s">
        <v>568</v>
      </c>
      <c r="B92" s="833"/>
      <c r="C92" s="434" t="s">
        <v>581</v>
      </c>
      <c r="D92" s="1381"/>
      <c r="E92" s="1381"/>
      <c r="F92" s="1381"/>
      <c r="G92" s="408">
        <f t="shared" si="4"/>
        <v>0</v>
      </c>
    </row>
    <row r="93" spans="1:10" s="723" customFormat="1" ht="12.75" thickBot="1">
      <c r="A93" s="348" t="s">
        <v>44</v>
      </c>
      <c r="B93" s="927">
        <v>25</v>
      </c>
      <c r="C93" s="410" t="s">
        <v>1181</v>
      </c>
      <c r="D93" s="1381"/>
      <c r="E93" s="1383">
        <f>928808+533460</f>
        <v>1462268</v>
      </c>
      <c r="F93" s="1383">
        <v>527373</v>
      </c>
      <c r="G93" s="408">
        <f t="shared" si="4"/>
        <v>1989641</v>
      </c>
      <c r="I93" s="441"/>
      <c r="J93" s="441"/>
    </row>
    <row r="94" spans="1:10" s="724" customFormat="1" ht="12.75" thickBot="1">
      <c r="A94" s="344" t="s">
        <v>23</v>
      </c>
      <c r="B94" s="849"/>
      <c r="C94" s="414" t="s">
        <v>1462</v>
      </c>
      <c r="D94" s="1382">
        <f>+D73+D74+D75+D76+D77+D78+D79+D80+D81+D82+D83+D84+D85+D93</f>
        <v>155902000</v>
      </c>
      <c r="E94" s="1382">
        <f>+E73+E74+E75+E76+E77+E78+E79+E80+E81+E82+E83+E84+E85+E93</f>
        <v>190729297</v>
      </c>
      <c r="F94" s="1382">
        <f>+F73+F74+F75+F76+F77+F78+F79+F80+F81+F82+F83+F84+F85+F93</f>
        <v>5654825</v>
      </c>
      <c r="G94" s="413">
        <f>+G73+G74+G75+G76+G77+G78+G79+G80+G81+G82+G83+G84+G85+G93</f>
        <v>196384122</v>
      </c>
      <c r="I94" s="888">
        <f>+'1.mell._Össz_Mérleg2020'!F17</f>
        <v>196384</v>
      </c>
      <c r="J94" s="603">
        <f>+ROUND(G94/1000,0)-I94</f>
        <v>0</v>
      </c>
    </row>
    <row r="95" spans="1:10" s="723" customFormat="1">
      <c r="A95" s="348" t="s">
        <v>4</v>
      </c>
      <c r="B95" s="833"/>
      <c r="C95" s="410" t="s">
        <v>30</v>
      </c>
      <c r="D95" s="1381"/>
      <c r="E95" s="1381"/>
      <c r="F95" s="1381"/>
      <c r="G95" s="408">
        <f>+E95+F95</f>
        <v>0</v>
      </c>
      <c r="I95" s="441"/>
      <c r="J95" s="441"/>
    </row>
    <row r="96" spans="1:10" s="723" customFormat="1">
      <c r="A96" s="348" t="s">
        <v>5</v>
      </c>
      <c r="B96" s="833"/>
      <c r="C96" s="410" t="s">
        <v>28</v>
      </c>
      <c r="D96" s="1381">
        <f>+D97+D98+D99</f>
        <v>0</v>
      </c>
      <c r="E96" s="1381">
        <f>+E97+E98+E99</f>
        <v>0</v>
      </c>
      <c r="F96" s="1381">
        <f>+F97+F98+F99</f>
        <v>0</v>
      </c>
      <c r="G96" s="408">
        <f>+G97+G98+G99</f>
        <v>0</v>
      </c>
      <c r="I96" s="441"/>
      <c r="J96" s="441"/>
    </row>
    <row r="97" spans="1:10" s="723" customFormat="1">
      <c r="A97" s="348" t="s">
        <v>565</v>
      </c>
      <c r="B97" s="833"/>
      <c r="C97" s="434" t="s">
        <v>582</v>
      </c>
      <c r="D97" s="1381"/>
      <c r="E97" s="1381"/>
      <c r="F97" s="1381"/>
      <c r="G97" s="408">
        <f>+E97+F97</f>
        <v>0</v>
      </c>
      <c r="I97" s="441"/>
      <c r="J97" s="441"/>
    </row>
    <row r="98" spans="1:10" s="723" customFormat="1">
      <c r="A98" s="348" t="s">
        <v>556</v>
      </c>
      <c r="B98" s="833"/>
      <c r="C98" s="434" t="s">
        <v>583</v>
      </c>
      <c r="D98" s="1381"/>
      <c r="E98" s="1381"/>
      <c r="F98" s="1381"/>
      <c r="G98" s="408">
        <f>+E98+F98</f>
        <v>0</v>
      </c>
      <c r="I98" s="441"/>
      <c r="J98" s="441"/>
    </row>
    <row r="99" spans="1:10" s="723" customFormat="1">
      <c r="A99" s="348" t="s">
        <v>561</v>
      </c>
      <c r="B99" s="833"/>
      <c r="C99" s="434" t="s">
        <v>990</v>
      </c>
      <c r="D99" s="1381"/>
      <c r="E99" s="1381"/>
      <c r="F99" s="1381"/>
      <c r="G99" s="408">
        <f>+E99+F99</f>
        <v>0</v>
      </c>
      <c r="I99" s="441"/>
      <c r="J99" s="441"/>
    </row>
    <row r="100" spans="1:10" s="723" customFormat="1">
      <c r="A100" s="348" t="s">
        <v>6</v>
      </c>
      <c r="B100" s="833"/>
      <c r="C100" s="410" t="s">
        <v>992</v>
      </c>
      <c r="D100" s="1381"/>
      <c r="E100" s="1381"/>
      <c r="F100" s="1381"/>
      <c r="G100" s="408">
        <f>+E100+F100</f>
        <v>0</v>
      </c>
      <c r="I100" s="441"/>
      <c r="J100" s="441"/>
    </row>
    <row r="101" spans="1:10" s="723" customFormat="1">
      <c r="A101" s="348" t="s">
        <v>3</v>
      </c>
      <c r="B101" s="833"/>
      <c r="C101" s="410" t="s">
        <v>880</v>
      </c>
      <c r="D101" s="1381">
        <f>+D102+D103+D104</f>
        <v>0</v>
      </c>
      <c r="E101" s="1381">
        <f>+E102+E103+E104</f>
        <v>0</v>
      </c>
      <c r="F101" s="1381">
        <f>+F102+F103+F104</f>
        <v>0</v>
      </c>
      <c r="G101" s="408">
        <f>+G102+G103+G104</f>
        <v>0</v>
      </c>
      <c r="I101" s="441"/>
      <c r="J101" s="441"/>
    </row>
    <row r="102" spans="1:10" s="723" customFormat="1">
      <c r="A102" s="348" t="s">
        <v>565</v>
      </c>
      <c r="B102" s="833"/>
      <c r="C102" s="434" t="s">
        <v>881</v>
      </c>
      <c r="D102" s="1381"/>
      <c r="E102" s="1381"/>
      <c r="F102" s="1381"/>
      <c r="G102" s="408">
        <f t="shared" ref="G102:G131" si="5">+E102+F102</f>
        <v>0</v>
      </c>
      <c r="I102" s="441"/>
      <c r="J102" s="441"/>
    </row>
    <row r="103" spans="1:10" s="723" customFormat="1">
      <c r="A103" s="348" t="s">
        <v>556</v>
      </c>
      <c r="B103" s="833"/>
      <c r="C103" s="434" t="s">
        <v>991</v>
      </c>
      <c r="D103" s="1381"/>
      <c r="E103" s="1381"/>
      <c r="F103" s="1381"/>
      <c r="G103" s="408">
        <f t="shared" si="5"/>
        <v>0</v>
      </c>
      <c r="I103" s="441"/>
      <c r="J103" s="441"/>
    </row>
    <row r="104" spans="1:10" s="723" customFormat="1">
      <c r="A104" s="348" t="s">
        <v>561</v>
      </c>
      <c r="B104" s="833"/>
      <c r="C104" s="434" t="s">
        <v>882</v>
      </c>
      <c r="D104" s="1381"/>
      <c r="E104" s="1381"/>
      <c r="F104" s="1381"/>
      <c r="G104" s="408">
        <f t="shared" si="5"/>
        <v>0</v>
      </c>
      <c r="I104" s="441"/>
      <c r="J104" s="441"/>
    </row>
    <row r="105" spans="1:10" s="723" customFormat="1">
      <c r="A105" s="348" t="s">
        <v>16</v>
      </c>
      <c r="B105" s="833"/>
      <c r="C105" s="410" t="s">
        <v>29</v>
      </c>
      <c r="D105" s="1381"/>
      <c r="E105" s="1381"/>
      <c r="F105" s="1381"/>
      <c r="G105" s="408">
        <f t="shared" si="5"/>
        <v>0</v>
      </c>
      <c r="I105" s="441"/>
      <c r="J105" s="441"/>
    </row>
    <row r="106" spans="1:10" s="723" customFormat="1">
      <c r="A106" s="348" t="s">
        <v>15</v>
      </c>
      <c r="B106" s="833"/>
      <c r="C106" s="824" t="s">
        <v>1312</v>
      </c>
      <c r="D106" s="1381"/>
      <c r="E106" s="1381"/>
      <c r="F106" s="1381"/>
      <c r="G106" s="408">
        <f t="shared" si="5"/>
        <v>0</v>
      </c>
      <c r="I106" s="441"/>
      <c r="J106" s="441"/>
    </row>
    <row r="107" spans="1:10" s="723" customFormat="1">
      <c r="A107" s="427" t="s">
        <v>14</v>
      </c>
      <c r="B107" s="832"/>
      <c r="C107" s="412" t="s">
        <v>1464</v>
      </c>
      <c r="D107" s="1383"/>
      <c r="E107" s="1383"/>
      <c r="F107" s="1383"/>
      <c r="G107" s="411">
        <f t="shared" si="5"/>
        <v>0</v>
      </c>
      <c r="I107" s="441"/>
      <c r="J107" s="441"/>
    </row>
    <row r="108" spans="1:10" s="723" customFormat="1">
      <c r="A108" s="427" t="s">
        <v>13</v>
      </c>
      <c r="B108" s="832"/>
      <c r="C108" s="412" t="s">
        <v>1465</v>
      </c>
      <c r="D108" s="1383"/>
      <c r="E108" s="1383"/>
      <c r="F108" s="1383"/>
      <c r="G108" s="411">
        <f t="shared" si="5"/>
        <v>0</v>
      </c>
      <c r="I108" s="441"/>
      <c r="J108" s="441"/>
    </row>
    <row r="109" spans="1:10" s="723" customFormat="1">
      <c r="A109" s="427" t="s">
        <v>12</v>
      </c>
      <c r="B109" s="832"/>
      <c r="C109" s="412" t="s">
        <v>1466</v>
      </c>
      <c r="D109" s="1383"/>
      <c r="E109" s="1383"/>
      <c r="F109" s="1383"/>
      <c r="G109" s="411">
        <f t="shared" si="5"/>
        <v>0</v>
      </c>
      <c r="I109" s="441"/>
      <c r="J109" s="441"/>
    </row>
    <row r="110" spans="1:10" s="723" customFormat="1">
      <c r="A110" s="427" t="s">
        <v>11</v>
      </c>
      <c r="B110" s="832"/>
      <c r="C110" s="412" t="s">
        <v>1467</v>
      </c>
      <c r="D110" s="1383"/>
      <c r="E110" s="1383"/>
      <c r="F110" s="1383"/>
      <c r="G110" s="411">
        <f t="shared" si="5"/>
        <v>0</v>
      </c>
      <c r="I110" s="441"/>
      <c r="J110" s="441"/>
    </row>
    <row r="111" spans="1:10" s="723" customFormat="1">
      <c r="A111" s="427" t="s">
        <v>10</v>
      </c>
      <c r="B111" s="832"/>
      <c r="C111" s="412" t="s">
        <v>1468</v>
      </c>
      <c r="D111" s="1383"/>
      <c r="E111" s="1383"/>
      <c r="F111" s="1383"/>
      <c r="G111" s="411">
        <f t="shared" si="5"/>
        <v>0</v>
      </c>
      <c r="I111" s="441"/>
      <c r="J111" s="441"/>
    </row>
    <row r="112" spans="1:10" s="723" customFormat="1">
      <c r="A112" s="427" t="s">
        <v>9</v>
      </c>
      <c r="B112" s="832"/>
      <c r="C112" s="412" t="s">
        <v>1469</v>
      </c>
      <c r="D112" s="1383"/>
      <c r="E112" s="1383"/>
      <c r="F112" s="1383"/>
      <c r="G112" s="411">
        <f t="shared" si="5"/>
        <v>0</v>
      </c>
      <c r="I112" s="441"/>
      <c r="J112" s="441"/>
    </row>
    <row r="113" spans="1:10" s="723" customFormat="1">
      <c r="A113" s="427" t="s">
        <v>45</v>
      </c>
      <c r="B113" s="832"/>
      <c r="C113" s="412" t="s">
        <v>1470</v>
      </c>
      <c r="D113" s="1383"/>
      <c r="E113" s="1383"/>
      <c r="F113" s="1383"/>
      <c r="G113" s="411">
        <f t="shared" si="5"/>
        <v>0</v>
      </c>
      <c r="I113" s="441"/>
      <c r="J113" s="441"/>
    </row>
    <row r="114" spans="1:10" s="723" customFormat="1">
      <c r="A114" s="427" t="s">
        <v>44</v>
      </c>
      <c r="B114" s="832"/>
      <c r="C114" s="412" t="s">
        <v>1471</v>
      </c>
      <c r="D114" s="1383"/>
      <c r="E114" s="1383"/>
      <c r="F114" s="1383"/>
      <c r="G114" s="411">
        <f t="shared" si="5"/>
        <v>0</v>
      </c>
      <c r="I114" s="441"/>
      <c r="J114" s="441"/>
    </row>
    <row r="115" spans="1:10" s="723" customFormat="1">
      <c r="A115" s="427" t="s">
        <v>43</v>
      </c>
      <c r="B115" s="832"/>
      <c r="C115" s="412" t="s">
        <v>1472</v>
      </c>
      <c r="D115" s="1383"/>
      <c r="E115" s="1383"/>
      <c r="F115" s="1383"/>
      <c r="G115" s="411">
        <f t="shared" si="5"/>
        <v>0</v>
      </c>
      <c r="I115" s="441"/>
      <c r="J115" s="441"/>
    </row>
    <row r="116" spans="1:10" s="723" customFormat="1">
      <c r="A116" s="427" t="s">
        <v>40</v>
      </c>
      <c r="B116" s="832"/>
      <c r="C116" s="412" t="s">
        <v>1473</v>
      </c>
      <c r="D116" s="1383"/>
      <c r="E116" s="1383"/>
      <c r="F116" s="1383"/>
      <c r="G116" s="411">
        <f t="shared" si="5"/>
        <v>0</v>
      </c>
      <c r="I116" s="441"/>
      <c r="J116" s="441"/>
    </row>
    <row r="117" spans="1:10" s="723" customFormat="1">
      <c r="A117" s="427" t="s">
        <v>39</v>
      </c>
      <c r="B117" s="832"/>
      <c r="C117" s="412" t="s">
        <v>1474</v>
      </c>
      <c r="D117" s="1383"/>
      <c r="E117" s="1383"/>
      <c r="F117" s="1383"/>
      <c r="G117" s="411">
        <f t="shared" si="5"/>
        <v>0</v>
      </c>
      <c r="I117" s="441"/>
      <c r="J117" s="441"/>
    </row>
    <row r="118" spans="1:10" s="723" customFormat="1">
      <c r="A118" s="427" t="s">
        <v>38</v>
      </c>
      <c r="B118" s="832"/>
      <c r="C118" s="412" t="s">
        <v>1475</v>
      </c>
      <c r="D118" s="1383"/>
      <c r="E118" s="1383"/>
      <c r="F118" s="1383"/>
      <c r="G118" s="411">
        <f t="shared" si="5"/>
        <v>0</v>
      </c>
      <c r="I118" s="441"/>
      <c r="J118" s="441"/>
    </row>
    <row r="119" spans="1:10" s="723" customFormat="1">
      <c r="A119" s="427" t="s">
        <v>36</v>
      </c>
      <c r="B119" s="832"/>
      <c r="C119" s="412" t="s">
        <v>1476</v>
      </c>
      <c r="D119" s="1383"/>
      <c r="E119" s="1383"/>
      <c r="F119" s="1383"/>
      <c r="G119" s="411">
        <f t="shared" si="5"/>
        <v>0</v>
      </c>
      <c r="I119" s="441"/>
      <c r="J119" s="441"/>
    </row>
    <row r="120" spans="1:10" s="723" customFormat="1">
      <c r="A120" s="427" t="s">
        <v>35</v>
      </c>
      <c r="B120" s="832"/>
      <c r="C120" s="412" t="s">
        <v>1477</v>
      </c>
      <c r="D120" s="1383"/>
      <c r="E120" s="1383"/>
      <c r="F120" s="1383"/>
      <c r="G120" s="411">
        <f t="shared" si="5"/>
        <v>0</v>
      </c>
      <c r="I120" s="441"/>
      <c r="J120" s="441"/>
    </row>
    <row r="121" spans="1:10" s="723" customFormat="1">
      <c r="A121" s="427" t="s">
        <v>34</v>
      </c>
      <c r="B121" s="832"/>
      <c r="C121" s="412" t="s">
        <v>1478</v>
      </c>
      <c r="D121" s="1383"/>
      <c r="E121" s="1383"/>
      <c r="F121" s="1383"/>
      <c r="G121" s="411">
        <f t="shared" si="5"/>
        <v>0</v>
      </c>
      <c r="I121" s="441"/>
      <c r="J121" s="441"/>
    </row>
    <row r="122" spans="1:10" s="723" customFormat="1">
      <c r="A122" s="427" t="s">
        <v>33</v>
      </c>
      <c r="B122" s="832"/>
      <c r="C122" s="412" t="s">
        <v>1479</v>
      </c>
      <c r="D122" s="1383"/>
      <c r="E122" s="1383"/>
      <c r="F122" s="1383"/>
      <c r="G122" s="411">
        <f t="shared" si="5"/>
        <v>0</v>
      </c>
      <c r="I122" s="441"/>
      <c r="J122" s="441"/>
    </row>
    <row r="123" spans="1:10" s="723" customFormat="1">
      <c r="A123" s="427" t="s">
        <v>32</v>
      </c>
      <c r="B123" s="832"/>
      <c r="C123" s="412" t="s">
        <v>1480</v>
      </c>
      <c r="D123" s="1383"/>
      <c r="E123" s="1383"/>
      <c r="F123" s="1383"/>
      <c r="G123" s="411">
        <f t="shared" si="5"/>
        <v>0</v>
      </c>
      <c r="I123" s="441"/>
      <c r="J123" s="441"/>
    </row>
    <row r="124" spans="1:10" s="723" customFormat="1">
      <c r="A124" s="427" t="s">
        <v>470</v>
      </c>
      <c r="B124" s="832"/>
      <c r="C124" s="412" t="s">
        <v>1481</v>
      </c>
      <c r="D124" s="1383"/>
      <c r="E124" s="1383"/>
      <c r="F124" s="1383"/>
      <c r="G124" s="411">
        <f t="shared" si="5"/>
        <v>0</v>
      </c>
      <c r="I124" s="441"/>
      <c r="J124" s="441"/>
    </row>
    <row r="125" spans="1:10" s="723" customFormat="1">
      <c r="A125" s="427" t="s">
        <v>471</v>
      </c>
      <c r="B125" s="832"/>
      <c r="C125" s="412" t="s">
        <v>1482</v>
      </c>
      <c r="D125" s="1383"/>
      <c r="E125" s="1383"/>
      <c r="F125" s="1383"/>
      <c r="G125" s="411">
        <f t="shared" si="5"/>
        <v>0</v>
      </c>
      <c r="I125" s="441"/>
      <c r="J125" s="441"/>
    </row>
    <row r="126" spans="1:10" s="723" customFormat="1">
      <c r="A126" s="427" t="s">
        <v>472</v>
      </c>
      <c r="B126" s="832"/>
      <c r="C126" s="412" t="s">
        <v>1483</v>
      </c>
      <c r="D126" s="1383"/>
      <c r="E126" s="1383"/>
      <c r="F126" s="1383"/>
      <c r="G126" s="411">
        <f t="shared" si="5"/>
        <v>0</v>
      </c>
      <c r="I126" s="441"/>
      <c r="J126" s="441"/>
    </row>
    <row r="127" spans="1:10" s="723" customFormat="1">
      <c r="A127" s="427" t="s">
        <v>473</v>
      </c>
      <c r="B127" s="832"/>
      <c r="C127" s="412" t="s">
        <v>1484</v>
      </c>
      <c r="D127" s="1383"/>
      <c r="E127" s="1383"/>
      <c r="F127" s="1383"/>
      <c r="G127" s="411">
        <f t="shared" si="5"/>
        <v>0</v>
      </c>
      <c r="I127" s="441"/>
      <c r="J127" s="441"/>
    </row>
    <row r="128" spans="1:10" s="723" customFormat="1">
      <c r="A128" s="427" t="s">
        <v>486</v>
      </c>
      <c r="B128" s="832"/>
      <c r="C128" s="412" t="s">
        <v>1485</v>
      </c>
      <c r="D128" s="1383"/>
      <c r="E128" s="1383"/>
      <c r="F128" s="1383"/>
      <c r="G128" s="411">
        <f t="shared" si="5"/>
        <v>0</v>
      </c>
      <c r="I128" s="441"/>
      <c r="J128" s="441"/>
    </row>
    <row r="129" spans="1:10" s="723" customFormat="1">
      <c r="A129" s="427" t="s">
        <v>487</v>
      </c>
      <c r="B129" s="832"/>
      <c r="C129" s="412" t="s">
        <v>1486</v>
      </c>
      <c r="D129" s="1383"/>
      <c r="E129" s="1383"/>
      <c r="F129" s="1383"/>
      <c r="G129" s="411">
        <f t="shared" si="5"/>
        <v>0</v>
      </c>
      <c r="I129" s="441"/>
      <c r="J129" s="441"/>
    </row>
    <row r="130" spans="1:10" s="723" customFormat="1">
      <c r="A130" s="427" t="s">
        <v>488</v>
      </c>
      <c r="B130" s="832"/>
      <c r="C130" s="412" t="s">
        <v>1487</v>
      </c>
      <c r="D130" s="1383"/>
      <c r="E130" s="1383"/>
      <c r="F130" s="1383"/>
      <c r="G130" s="411">
        <f t="shared" si="5"/>
        <v>0</v>
      </c>
      <c r="I130" s="441"/>
      <c r="J130" s="441"/>
    </row>
    <row r="131" spans="1:10" s="723" customFormat="1" ht="12.75" thickBot="1">
      <c r="A131" s="427" t="s">
        <v>1395</v>
      </c>
      <c r="B131" s="832"/>
      <c r="C131" s="412" t="s">
        <v>1488</v>
      </c>
      <c r="D131" s="1383"/>
      <c r="E131" s="1383"/>
      <c r="F131" s="1383"/>
      <c r="G131" s="411">
        <f t="shared" si="5"/>
        <v>0</v>
      </c>
      <c r="I131" s="441"/>
      <c r="J131" s="441"/>
    </row>
    <row r="132" spans="1:10" s="724" customFormat="1" ht="12.75" thickBot="1">
      <c r="A132" s="344" t="s">
        <v>22</v>
      </c>
      <c r="B132" s="849">
        <v>8</v>
      </c>
      <c r="C132" s="414" t="s">
        <v>1489</v>
      </c>
      <c r="D132" s="1382">
        <f>D95+D96+D100+D101+D105+D106+D107+D108+D109+D110+D111+D112+D113+D114+D115+D116+D117+D118+D119+D120+D121+D122+D123+D124+D125+D126+D127+D128+D129+D130+D131</f>
        <v>0</v>
      </c>
      <c r="E132" s="1382">
        <f>E95+E96+E100+E101+E105+E106+E107+E108+E109+E110+E111+E112+E113+E114+E115+E116+E117+E118+E119+E120+E121+E122+E123+E124+E125+E126+E127+E128+E129+E130+E131</f>
        <v>0</v>
      </c>
      <c r="F132" s="1382">
        <f>F95+F96+F100+F101+F105+F106+F107+F108+F109+F110+F111+F112+F113+F114+F115+F116+F117+F118+F119+F120+F121+F122+F123+F124+F125+F126+F127+F128+F129+F130+F131</f>
        <v>0</v>
      </c>
      <c r="G132" s="413">
        <f>G95+G96+G100+G101+G105+G106+G107+G108+G109+G110+G111+G112+G113+G114+G115+G116+G117+G118+G119+G120+G121+G122+G123+G124+G125+G126+G127+G128+G129+G130+G131</f>
        <v>0</v>
      </c>
      <c r="I132" s="801"/>
      <c r="J132" s="801"/>
    </row>
    <row r="133" spans="1:10" s="723" customFormat="1" ht="12.75" thickBot="1">
      <c r="A133" s="348" t="s">
        <v>4</v>
      </c>
      <c r="B133" s="833"/>
      <c r="C133" s="410" t="s">
        <v>884</v>
      </c>
      <c r="D133" s="1381"/>
      <c r="E133" s="1381"/>
      <c r="F133" s="1381"/>
      <c r="G133" s="408">
        <f>+E133+F133</f>
        <v>0</v>
      </c>
      <c r="I133" s="441"/>
      <c r="J133" s="441"/>
    </row>
    <row r="134" spans="1:10" s="723" customFormat="1" ht="12.75" thickBot="1">
      <c r="A134" s="437" t="s">
        <v>21</v>
      </c>
      <c r="B134" s="849">
        <v>8</v>
      </c>
      <c r="C134" s="414" t="s">
        <v>972</v>
      </c>
      <c r="D134" s="1382">
        <f>+D133</f>
        <v>0</v>
      </c>
      <c r="E134" s="1382">
        <f>+E133</f>
        <v>0</v>
      </c>
      <c r="F134" s="1382">
        <f>+F133</f>
        <v>0</v>
      </c>
      <c r="G134" s="413">
        <f>+G133</f>
        <v>0</v>
      </c>
      <c r="I134" s="603">
        <f>+'1.mell._Össz_Mérleg2020'!F52</f>
        <v>0</v>
      </c>
      <c r="J134" s="603">
        <f>+ROUND((G134+G132)/1000,0)-I134</f>
        <v>0</v>
      </c>
    </row>
    <row r="135" spans="1:10" s="723" customFormat="1" ht="15.75" customHeight="1" thickBot="1">
      <c r="A135" s="430" t="s">
        <v>588</v>
      </c>
      <c r="B135" s="845"/>
      <c r="C135" s="414" t="s">
        <v>1182</v>
      </c>
      <c r="D135" s="1382">
        <f>+D94+D132+D134</f>
        <v>155902000</v>
      </c>
      <c r="E135" s="1382">
        <f>+E94+E132+E134</f>
        <v>190729297</v>
      </c>
      <c r="F135" s="1382">
        <f>+F94+F132+F134</f>
        <v>5654825</v>
      </c>
      <c r="G135" s="413">
        <f>+G94+G132+G134</f>
        <v>196384122</v>
      </c>
      <c r="I135" s="603"/>
      <c r="J135" s="603"/>
    </row>
    <row r="136" spans="1:10" ht="12.75" thickBot="1">
      <c r="A136" s="430"/>
      <c r="B136" s="845"/>
      <c r="C136" s="414"/>
      <c r="D136" s="1382"/>
      <c r="E136" s="1382"/>
      <c r="F136" s="1382"/>
      <c r="G136" s="413"/>
    </row>
    <row r="137" spans="1:10" ht="12.75" thickBot="1">
      <c r="A137" s="430" t="s">
        <v>589</v>
      </c>
      <c r="B137" s="845"/>
      <c r="C137" s="414" t="s">
        <v>973</v>
      </c>
      <c r="D137" s="1382">
        <f>+D70+D135</f>
        <v>917056478</v>
      </c>
      <c r="E137" s="1382">
        <f>+E70+E135</f>
        <v>985220828</v>
      </c>
      <c r="F137" s="1382">
        <f>+F70+F135</f>
        <v>19935250</v>
      </c>
      <c r="G137" s="413">
        <f>+G70+G135</f>
        <v>1005156078</v>
      </c>
      <c r="I137" s="603">
        <f>+'1.mell._Össz_Mérleg2020'!F12+'1.mell._Össz_Mérleg2020'!F52</f>
        <v>1005156</v>
      </c>
      <c r="J137" s="603">
        <f>+ROUND(G137/1000,0)-I137</f>
        <v>0</v>
      </c>
    </row>
  </sheetData>
  <mergeCells count="4">
    <mergeCell ref="A3:G3"/>
    <mergeCell ref="A8:G8"/>
    <mergeCell ref="A72:G72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64" bestFit="1" customWidth="1"/>
    <col min="2" max="2" width="23.28515625" style="810" customWidth="1"/>
    <col min="3" max="3" width="89.7109375" style="665" customWidth="1"/>
    <col min="4" max="16384" width="79" style="664"/>
  </cols>
  <sheetData>
    <row r="1" spans="1:11" s="655" customFormat="1" ht="18.75">
      <c r="A1" s="1445" t="s">
        <v>828</v>
      </c>
      <c r="B1" s="1445"/>
      <c r="C1" s="1445"/>
      <c r="D1" s="654"/>
      <c r="E1" s="654"/>
      <c r="F1" s="654"/>
      <c r="G1" s="654"/>
      <c r="H1" s="654"/>
      <c r="I1" s="654"/>
      <c r="J1" s="654"/>
      <c r="K1" s="654"/>
    </row>
    <row r="2" spans="1:11" s="655" customFormat="1">
      <c r="B2" s="808"/>
      <c r="C2" s="656"/>
    </row>
    <row r="3" spans="1:11" s="655" customFormat="1">
      <c r="A3" s="1446" t="s">
        <v>1408</v>
      </c>
      <c r="B3" s="1446"/>
      <c r="C3" s="1446"/>
      <c r="D3" s="654"/>
      <c r="E3" s="654"/>
      <c r="F3" s="654"/>
      <c r="G3" s="654"/>
      <c r="H3" s="654"/>
      <c r="I3" s="654"/>
      <c r="J3" s="654"/>
      <c r="K3" s="654"/>
    </row>
    <row r="4" spans="1:11" s="655" customFormat="1">
      <c r="B4" s="808"/>
      <c r="C4" s="656"/>
    </row>
    <row r="5" spans="1:11" s="655" customFormat="1">
      <c r="B5" s="808"/>
      <c r="C5" s="656"/>
    </row>
    <row r="6" spans="1:11" s="655" customFormat="1" ht="12.75" customHeight="1">
      <c r="A6" s="657" t="s">
        <v>4</v>
      </c>
      <c r="B6" s="1447" t="s">
        <v>1409</v>
      </c>
      <c r="C6" s="1447"/>
    </row>
    <row r="7" spans="1:11" s="657" customFormat="1" ht="38.25">
      <c r="B7" s="658" t="s">
        <v>829</v>
      </c>
      <c r="C7" s="659"/>
    </row>
    <row r="8" spans="1:11" s="655" customFormat="1">
      <c r="B8" s="660" t="s">
        <v>47</v>
      </c>
      <c r="C8" s="660" t="s">
        <v>1410</v>
      </c>
      <c r="F8" s="661"/>
      <c r="G8" s="661"/>
      <c r="H8" s="661"/>
      <c r="I8" s="661"/>
      <c r="J8" s="661"/>
      <c r="K8" s="661"/>
    </row>
    <row r="9" spans="1:11" s="655" customFormat="1">
      <c r="B9" s="660" t="s">
        <v>352</v>
      </c>
      <c r="C9" s="660" t="s">
        <v>1411</v>
      </c>
      <c r="F9" s="661"/>
      <c r="G9" s="661"/>
      <c r="H9" s="661"/>
      <c r="I9" s="661"/>
      <c r="J9" s="661"/>
      <c r="K9" s="661"/>
    </row>
    <row r="10" spans="1:11" s="655" customFormat="1">
      <c r="B10" s="660" t="s">
        <v>354</v>
      </c>
      <c r="C10" s="660" t="s">
        <v>1412</v>
      </c>
      <c r="F10" s="661"/>
      <c r="G10" s="661"/>
      <c r="H10" s="661"/>
      <c r="I10" s="661"/>
      <c r="J10" s="661"/>
      <c r="K10" s="661"/>
    </row>
    <row r="11" spans="1:11" s="655" customFormat="1">
      <c r="B11" s="660" t="s">
        <v>355</v>
      </c>
      <c r="C11" s="660" t="s">
        <v>1413</v>
      </c>
      <c r="F11" s="661"/>
      <c r="G11" s="661"/>
      <c r="H11" s="661"/>
      <c r="I11" s="661"/>
      <c r="J11" s="661"/>
      <c r="K11" s="661"/>
    </row>
    <row r="12" spans="1:11" s="655" customFormat="1">
      <c r="B12" s="660" t="s">
        <v>357</v>
      </c>
      <c r="C12" s="660" t="s">
        <v>1414</v>
      </c>
      <c r="F12" s="661"/>
      <c r="G12" s="661"/>
      <c r="H12" s="661"/>
      <c r="I12" s="661"/>
      <c r="J12" s="661"/>
      <c r="K12" s="661"/>
    </row>
    <row r="13" spans="1:11" s="655" customFormat="1">
      <c r="B13" s="660" t="s">
        <v>867</v>
      </c>
      <c r="C13" s="660" t="s">
        <v>1415</v>
      </c>
      <c r="F13" s="661"/>
      <c r="G13" s="661"/>
      <c r="H13" s="661"/>
      <c r="I13" s="661"/>
      <c r="J13" s="661"/>
      <c r="K13" s="661"/>
    </row>
    <row r="14" spans="1:11" s="655" customFormat="1">
      <c r="B14" s="660" t="s">
        <v>1072</v>
      </c>
      <c r="C14" s="660" t="s">
        <v>1416</v>
      </c>
      <c r="F14" s="661"/>
      <c r="G14" s="661"/>
      <c r="H14" s="661"/>
      <c r="I14" s="661"/>
      <c r="J14" s="661"/>
      <c r="K14" s="661"/>
    </row>
    <row r="15" spans="1:11" s="655" customFormat="1">
      <c r="B15" s="660" t="s">
        <v>387</v>
      </c>
      <c r="C15" s="660" t="s">
        <v>830</v>
      </c>
      <c r="F15" s="661"/>
      <c r="G15" s="661"/>
      <c r="H15" s="661"/>
      <c r="I15" s="661"/>
      <c r="J15" s="661"/>
      <c r="K15" s="661"/>
    </row>
    <row r="16" spans="1:11" s="655" customFormat="1">
      <c r="B16" s="660" t="s">
        <v>390</v>
      </c>
      <c r="C16" s="660" t="s">
        <v>831</v>
      </c>
      <c r="F16" s="661"/>
      <c r="G16" s="661"/>
      <c r="H16" s="661"/>
      <c r="I16" s="661"/>
      <c r="J16" s="661"/>
      <c r="K16" s="661"/>
    </row>
    <row r="17" spans="2:11" s="655" customFormat="1">
      <c r="B17" s="660" t="s">
        <v>424</v>
      </c>
      <c r="C17" s="662" t="s">
        <v>1417</v>
      </c>
      <c r="F17" s="661"/>
      <c r="G17" s="661"/>
      <c r="H17" s="661"/>
      <c r="I17" s="661"/>
      <c r="J17" s="661"/>
      <c r="K17" s="661"/>
    </row>
    <row r="18" spans="2:11" s="655" customFormat="1">
      <c r="B18" s="660" t="s">
        <v>443</v>
      </c>
      <c r="C18" s="662" t="s">
        <v>832</v>
      </c>
      <c r="F18" s="661"/>
      <c r="G18" s="661"/>
      <c r="H18" s="661"/>
      <c r="I18" s="661"/>
      <c r="J18" s="661"/>
      <c r="K18" s="661"/>
    </row>
    <row r="19" spans="2:11" s="655" customFormat="1" ht="25.5">
      <c r="B19" s="660" t="s">
        <v>455</v>
      </c>
      <c r="C19" s="660" t="s">
        <v>833</v>
      </c>
      <c r="F19" s="661"/>
    </row>
    <row r="20" spans="2:11" s="655" customFormat="1" ht="25.5">
      <c r="B20" s="658" t="s">
        <v>834</v>
      </c>
      <c r="C20" s="660"/>
      <c r="F20" s="661"/>
    </row>
    <row r="21" spans="2:11" s="655" customFormat="1">
      <c r="B21" s="660" t="s">
        <v>490</v>
      </c>
      <c r="C21" s="660" t="s">
        <v>479</v>
      </c>
    </row>
    <row r="22" spans="2:11" s="655" customFormat="1">
      <c r="B22" s="662" t="s">
        <v>491</v>
      </c>
      <c r="C22" s="662" t="s">
        <v>1418</v>
      </c>
      <c r="F22" s="661"/>
      <c r="G22" s="661"/>
      <c r="H22" s="661"/>
      <c r="I22" s="661"/>
      <c r="J22" s="661"/>
      <c r="K22" s="661"/>
    </row>
    <row r="23" spans="2:11" s="655" customFormat="1">
      <c r="B23" s="660" t="s">
        <v>835</v>
      </c>
      <c r="C23" s="660" t="s">
        <v>1419</v>
      </c>
      <c r="F23" s="661"/>
      <c r="G23" s="661"/>
      <c r="H23" s="661"/>
      <c r="I23" s="661"/>
      <c r="J23" s="661"/>
      <c r="K23" s="661"/>
    </row>
    <row r="24" spans="2:11" s="655" customFormat="1">
      <c r="B24" s="809" t="s">
        <v>836</v>
      </c>
      <c r="E24" s="661"/>
      <c r="F24" s="663"/>
      <c r="G24" s="663"/>
      <c r="H24" s="663"/>
      <c r="I24" s="663"/>
      <c r="J24" s="663"/>
      <c r="K24" s="663"/>
    </row>
    <row r="25" spans="2:11" s="655" customFormat="1" ht="25.5">
      <c r="B25" s="662" t="s">
        <v>428</v>
      </c>
      <c r="C25" s="660" t="s">
        <v>1420</v>
      </c>
      <c r="E25" s="661"/>
      <c r="F25" s="663"/>
      <c r="G25" s="663"/>
      <c r="H25" s="663"/>
      <c r="I25" s="663"/>
      <c r="J25" s="663"/>
      <c r="K25" s="663"/>
    </row>
    <row r="26" spans="2:11" s="655" customFormat="1" ht="25.5">
      <c r="B26" s="662" t="s">
        <v>478</v>
      </c>
      <c r="C26" s="656" t="s">
        <v>1421</v>
      </c>
      <c r="E26" s="661"/>
      <c r="F26" s="663"/>
      <c r="G26" s="663"/>
      <c r="H26" s="663"/>
      <c r="I26" s="663"/>
      <c r="J26" s="663"/>
      <c r="K26" s="663"/>
    </row>
    <row r="27" spans="2:11" s="655" customFormat="1">
      <c r="B27" s="662" t="s">
        <v>510</v>
      </c>
      <c r="C27" s="655" t="s">
        <v>1422</v>
      </c>
      <c r="E27" s="661"/>
      <c r="F27" s="663"/>
      <c r="G27" s="663"/>
      <c r="H27" s="663"/>
      <c r="I27" s="663"/>
      <c r="J27" s="663"/>
      <c r="K27" s="663"/>
    </row>
    <row r="28" spans="2:11">
      <c r="B28" s="662" t="s">
        <v>780</v>
      </c>
      <c r="C28" s="664" t="s">
        <v>1423</v>
      </c>
    </row>
    <row r="29" spans="2:11">
      <c r="B29" s="662" t="s">
        <v>742</v>
      </c>
      <c r="C29" s="664" t="s">
        <v>837</v>
      </c>
    </row>
    <row r="30" spans="2:11">
      <c r="B30" s="662" t="s">
        <v>591</v>
      </c>
      <c r="C30" s="664" t="s">
        <v>838</v>
      </c>
    </row>
    <row r="31" spans="2:11">
      <c r="B31" s="662" t="s">
        <v>781</v>
      </c>
      <c r="C31" s="665" t="s">
        <v>782</v>
      </c>
    </row>
    <row r="32" spans="2:11">
      <c r="B32" s="662" t="s">
        <v>839</v>
      </c>
      <c r="C32" s="664" t="s">
        <v>1424</v>
      </c>
    </row>
    <row r="33" spans="2:3">
      <c r="B33" s="666" t="s">
        <v>840</v>
      </c>
      <c r="C33" s="664"/>
    </row>
    <row r="34" spans="2:3">
      <c r="B34" s="810" t="s">
        <v>809</v>
      </c>
      <c r="C34" s="665" t="s">
        <v>1425</v>
      </c>
    </row>
    <row r="35" spans="2:3" ht="25.5">
      <c r="B35" s="810" t="s">
        <v>811</v>
      </c>
      <c r="C35" s="660" t="s">
        <v>1426</v>
      </c>
    </row>
    <row r="36" spans="2:3">
      <c r="C36" s="662"/>
    </row>
    <row r="37" spans="2:3">
      <c r="C37" s="664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96"/>
  <sheetViews>
    <sheetView zoomScaleNormal="100" workbookViewId="0"/>
  </sheetViews>
  <sheetFormatPr defaultColWidth="68.85546875" defaultRowHeight="12"/>
  <cols>
    <col min="1" max="1" width="98.7109375" style="441" bestFit="1" customWidth="1"/>
    <col min="2" max="3" width="10.28515625" style="441" customWidth="1"/>
    <col min="4" max="4" width="10.5703125" style="441" customWidth="1"/>
    <col min="5" max="10" width="10.28515625" style="441" customWidth="1"/>
    <col min="11" max="16" width="9.28515625" style="441" hidden="1" customWidth="1"/>
    <col min="17" max="48" width="9.28515625" style="441" customWidth="1"/>
    <col min="49" max="16384" width="68.85546875" style="441"/>
  </cols>
  <sheetData>
    <row r="1" spans="1:16" s="885" customFormat="1" ht="15.75">
      <c r="A1" s="977"/>
      <c r="B1" s="455"/>
      <c r="C1" s="455"/>
      <c r="D1" s="455"/>
      <c r="E1" s="455"/>
      <c r="F1" s="455"/>
      <c r="G1" s="455"/>
      <c r="H1" s="455"/>
      <c r="I1" s="455"/>
      <c r="J1" s="189" t="s">
        <v>510</v>
      </c>
    </row>
    <row r="2" spans="1:16" s="885" customFormat="1" ht="15.75">
      <c r="A2" s="977"/>
      <c r="B2" s="455"/>
      <c r="C2" s="455"/>
      <c r="D2" s="455"/>
      <c r="E2" s="455"/>
      <c r="F2" s="455"/>
      <c r="G2" s="455"/>
      <c r="H2" s="455"/>
      <c r="I2" s="455"/>
      <c r="J2" s="189"/>
    </row>
    <row r="3" spans="1:16" s="885" customFormat="1" ht="15.75">
      <c r="A3" s="1534" t="s">
        <v>330</v>
      </c>
      <c r="B3" s="1534"/>
      <c r="C3" s="1534"/>
      <c r="D3" s="1534"/>
      <c r="E3" s="1534"/>
      <c r="F3" s="1534"/>
      <c r="G3" s="1534"/>
      <c r="H3" s="1534"/>
      <c r="I3" s="1534"/>
      <c r="J3" s="1534"/>
    </row>
    <row r="4" spans="1:16" s="885" customFormat="1" ht="15.75">
      <c r="A4" s="1534" t="s">
        <v>1491</v>
      </c>
      <c r="B4" s="1534"/>
      <c r="C4" s="1534"/>
      <c r="D4" s="1534"/>
      <c r="E4" s="1534"/>
      <c r="F4" s="1534"/>
      <c r="G4" s="1534"/>
      <c r="H4" s="1534"/>
      <c r="I4" s="1534"/>
      <c r="J4" s="1534"/>
    </row>
    <row r="5" spans="1:16" ht="12.75" thickBot="1">
      <c r="A5" s="913"/>
      <c r="B5" s="913"/>
      <c r="C5" s="913"/>
      <c r="D5" s="913"/>
      <c r="E5" s="913"/>
      <c r="F5" s="913"/>
      <c r="G5" s="913"/>
      <c r="H5" s="913"/>
      <c r="I5" s="1535" t="s">
        <v>49</v>
      </c>
      <c r="J5" s="1535"/>
    </row>
    <row r="6" spans="1:16" ht="48.75" thickBot="1">
      <c r="A6" s="734" t="s">
        <v>620</v>
      </c>
      <c r="B6" s="746" t="s">
        <v>606</v>
      </c>
      <c r="C6" s="456" t="s">
        <v>592</v>
      </c>
      <c r="D6" s="446" t="s">
        <v>1490</v>
      </c>
      <c r="E6" s="1165" t="s">
        <v>1586</v>
      </c>
      <c r="F6" s="6" t="s">
        <v>1587</v>
      </c>
      <c r="G6" s="6" t="s">
        <v>1658</v>
      </c>
      <c r="H6" s="7" t="s">
        <v>1659</v>
      </c>
      <c r="I6" s="456" t="s">
        <v>605</v>
      </c>
      <c r="J6" s="790" t="s">
        <v>1492</v>
      </c>
    </row>
    <row r="7" spans="1:16" ht="13.5" customHeight="1" thickBot="1">
      <c r="A7" s="735">
        <v>1</v>
      </c>
      <c r="B7" s="747">
        <v>2</v>
      </c>
      <c r="C7" s="457">
        <v>3</v>
      </c>
      <c r="D7" s="445">
        <v>4</v>
      </c>
      <c r="E7" s="1536">
        <v>5</v>
      </c>
      <c r="F7" s="1537"/>
      <c r="G7" s="1537"/>
      <c r="H7" s="1538"/>
      <c r="I7" s="457">
        <v>6</v>
      </c>
      <c r="J7" s="791" t="s">
        <v>593</v>
      </c>
    </row>
    <row r="8" spans="1:16">
      <c r="A8" s="736" t="s">
        <v>599</v>
      </c>
      <c r="B8" s="458"/>
      <c r="C8" s="742"/>
      <c r="D8" s="444"/>
      <c r="E8" s="1393"/>
      <c r="F8" s="1399"/>
      <c r="G8" s="1399"/>
      <c r="H8" s="1396"/>
      <c r="I8" s="443"/>
      <c r="J8" s="792"/>
    </row>
    <row r="9" spans="1:16">
      <c r="A9" s="737" t="s">
        <v>1159</v>
      </c>
      <c r="B9" s="282">
        <f>2000+2000+13205+19807+4500+8488</f>
        <v>50000</v>
      </c>
      <c r="C9" s="743"/>
      <c r="D9" s="307"/>
      <c r="E9" s="306">
        <f>2000+2000+13205+19807+12988</f>
        <v>50000</v>
      </c>
      <c r="F9" s="307">
        <f>2000+2000+13205+19807+12988</f>
        <v>50000</v>
      </c>
      <c r="G9" s="307"/>
      <c r="H9" s="309">
        <f t="shared" ref="H9:H20" si="0">+F9+G9</f>
        <v>50000</v>
      </c>
      <c r="I9" s="442"/>
      <c r="J9" s="793">
        <f>+B9-D9-H9</f>
        <v>0</v>
      </c>
      <c r="O9" s="603">
        <f>+H9</f>
        <v>50000</v>
      </c>
      <c r="P9" s="603">
        <f t="shared" ref="P9:P12" si="1">+H9-O9</f>
        <v>0</v>
      </c>
    </row>
    <row r="10" spans="1:16">
      <c r="A10" s="737" t="s">
        <v>1513</v>
      </c>
      <c r="B10" s="282">
        <v>10000</v>
      </c>
      <c r="C10" s="743"/>
      <c r="D10" s="307"/>
      <c r="E10" s="306">
        <v>10000</v>
      </c>
      <c r="F10" s="307">
        <v>10000</v>
      </c>
      <c r="G10" s="307"/>
      <c r="H10" s="309">
        <f t="shared" si="0"/>
        <v>10000</v>
      </c>
      <c r="I10" s="442"/>
      <c r="J10" s="793">
        <f t="shared" ref="J10:J12" si="2">+B10-D10-H10</f>
        <v>0</v>
      </c>
      <c r="O10" s="603">
        <f>+ROUND(H10/1.27,0)</f>
        <v>7874</v>
      </c>
      <c r="P10" s="603">
        <f>+H10-O10</f>
        <v>2126</v>
      </c>
    </row>
    <row r="11" spans="1:16">
      <c r="A11" s="737" t="s">
        <v>1160</v>
      </c>
      <c r="B11" s="282">
        <v>5000</v>
      </c>
      <c r="C11" s="743"/>
      <c r="D11" s="307"/>
      <c r="E11" s="306">
        <v>5000</v>
      </c>
      <c r="F11" s="307">
        <v>5000</v>
      </c>
      <c r="G11" s="307"/>
      <c r="H11" s="309">
        <f t="shared" si="0"/>
        <v>5000</v>
      </c>
      <c r="I11" s="442"/>
      <c r="J11" s="793">
        <f t="shared" si="2"/>
        <v>0</v>
      </c>
      <c r="O11" s="603">
        <f t="shared" ref="O11:O12" si="3">+ROUND(H11/1.27,0)</f>
        <v>3937</v>
      </c>
      <c r="P11" s="603">
        <f t="shared" si="1"/>
        <v>1063</v>
      </c>
    </row>
    <row r="12" spans="1:16">
      <c r="A12" s="737" t="s">
        <v>1163</v>
      </c>
      <c r="B12" s="282">
        <v>8500</v>
      </c>
      <c r="C12" s="743"/>
      <c r="D12" s="307"/>
      <c r="E12" s="306">
        <v>8500</v>
      </c>
      <c r="F12" s="307">
        <v>8500</v>
      </c>
      <c r="G12" s="307"/>
      <c r="H12" s="309">
        <f t="shared" si="0"/>
        <v>8500</v>
      </c>
      <c r="I12" s="442"/>
      <c r="J12" s="793">
        <f t="shared" si="2"/>
        <v>0</v>
      </c>
      <c r="O12" s="603">
        <f t="shared" si="3"/>
        <v>6693</v>
      </c>
      <c r="P12" s="603">
        <f t="shared" si="1"/>
        <v>1807</v>
      </c>
    </row>
    <row r="13" spans="1:16">
      <c r="A13" s="737" t="s">
        <v>1346</v>
      </c>
      <c r="B13" s="282">
        <f>2000-500-1500</f>
        <v>0</v>
      </c>
      <c r="C13" s="743"/>
      <c r="D13" s="307"/>
      <c r="E13" s="306">
        <f>2000-500</f>
        <v>1500</v>
      </c>
      <c r="F13" s="307">
        <f>2000-500-1500</f>
        <v>0</v>
      </c>
      <c r="G13" s="307"/>
      <c r="H13" s="309">
        <f t="shared" si="0"/>
        <v>0</v>
      </c>
      <c r="I13" s="442"/>
      <c r="J13" s="793">
        <f t="shared" ref="J13:J20" si="4">+B13-D13-H13</f>
        <v>0</v>
      </c>
      <c r="O13" s="603">
        <f t="shared" ref="O13:O20" si="5">+ROUND(H13/1.27,0)</f>
        <v>0</v>
      </c>
      <c r="P13" s="603">
        <f t="shared" ref="P13:P20" si="6">+H13-O13</f>
        <v>0</v>
      </c>
    </row>
    <row r="14" spans="1:16">
      <c r="A14" s="737" t="s">
        <v>1351</v>
      </c>
      <c r="B14" s="282">
        <v>350000</v>
      </c>
      <c r="C14" s="743"/>
      <c r="D14" s="307">
        <v>4750</v>
      </c>
      <c r="E14" s="306">
        <v>345250</v>
      </c>
      <c r="F14" s="307">
        <v>345250</v>
      </c>
      <c r="G14" s="307"/>
      <c r="H14" s="309">
        <f t="shared" ref="H14:H19" si="7">+F14+G14</f>
        <v>345250</v>
      </c>
      <c r="I14" s="442">
        <v>350000</v>
      </c>
      <c r="J14" s="793">
        <f t="shared" ref="J14:J19" si="8">+B14-D14-H14</f>
        <v>0</v>
      </c>
      <c r="O14" s="603">
        <f t="shared" ref="O14:O19" si="9">+ROUND(H14/1.27,0)</f>
        <v>271850</v>
      </c>
      <c r="P14" s="603">
        <f t="shared" ref="P14:P19" si="10">+H14-O14</f>
        <v>73400</v>
      </c>
    </row>
    <row r="15" spans="1:16">
      <c r="A15" s="737" t="s">
        <v>1604</v>
      </c>
      <c r="B15" s="282">
        <f>4500+1850+2090</f>
        <v>8440</v>
      </c>
      <c r="C15" s="743"/>
      <c r="D15" s="307"/>
      <c r="E15" s="306"/>
      <c r="F15" s="307">
        <v>4500</v>
      </c>
      <c r="G15" s="307">
        <f>1850+2090</f>
        <v>3940</v>
      </c>
      <c r="H15" s="309">
        <f t="shared" ref="H15" si="11">+F15+G15</f>
        <v>8440</v>
      </c>
      <c r="I15" s="442"/>
      <c r="J15" s="793">
        <f t="shared" ref="J15" si="12">+B15-D15-H15</f>
        <v>0</v>
      </c>
      <c r="O15" s="603">
        <f t="shared" ref="O15" si="13">+ROUND(H15/1.27,0)</f>
        <v>6646</v>
      </c>
      <c r="P15" s="603">
        <f t="shared" ref="P15" si="14">+H15-O15</f>
        <v>1794</v>
      </c>
    </row>
    <row r="16" spans="1:16">
      <c r="A16" s="737" t="s">
        <v>1605</v>
      </c>
      <c r="B16" s="282">
        <v>3000</v>
      </c>
      <c r="C16" s="743"/>
      <c r="D16" s="307"/>
      <c r="E16" s="306"/>
      <c r="F16" s="307">
        <v>3000</v>
      </c>
      <c r="G16" s="307"/>
      <c r="H16" s="309">
        <f t="shared" si="7"/>
        <v>3000</v>
      </c>
      <c r="I16" s="442"/>
      <c r="J16" s="793">
        <f t="shared" si="8"/>
        <v>0</v>
      </c>
      <c r="O16" s="603">
        <f t="shared" si="9"/>
        <v>2362</v>
      </c>
      <c r="P16" s="603">
        <f t="shared" si="10"/>
        <v>638</v>
      </c>
    </row>
    <row r="17" spans="1:16">
      <c r="A17" s="737" t="s">
        <v>1606</v>
      </c>
      <c r="B17" s="282">
        <v>3000</v>
      </c>
      <c r="C17" s="743"/>
      <c r="D17" s="307"/>
      <c r="E17" s="306"/>
      <c r="F17" s="307">
        <v>3000</v>
      </c>
      <c r="G17" s="307"/>
      <c r="H17" s="309">
        <f t="shared" si="7"/>
        <v>3000</v>
      </c>
      <c r="I17" s="442"/>
      <c r="J17" s="793">
        <f t="shared" si="8"/>
        <v>0</v>
      </c>
      <c r="O17" s="603">
        <f t="shared" si="9"/>
        <v>2362</v>
      </c>
      <c r="P17" s="603">
        <f t="shared" si="10"/>
        <v>638</v>
      </c>
    </row>
    <row r="18" spans="1:16">
      <c r="A18" s="737" t="s">
        <v>1625</v>
      </c>
      <c r="B18" s="282">
        <v>5000</v>
      </c>
      <c r="C18" s="743"/>
      <c r="D18" s="307"/>
      <c r="E18" s="306"/>
      <c r="F18" s="307">
        <f>0+5000</f>
        <v>5000</v>
      </c>
      <c r="G18" s="307"/>
      <c r="H18" s="309">
        <f t="shared" ref="H18" si="15">+F18+G18</f>
        <v>5000</v>
      </c>
      <c r="I18" s="442"/>
      <c r="J18" s="793">
        <f t="shared" ref="J18" si="16">+B18-D18-H18</f>
        <v>0</v>
      </c>
      <c r="O18" s="603">
        <f t="shared" ref="O18" si="17">+ROUND(H18/1.27,0)</f>
        <v>3937</v>
      </c>
      <c r="P18" s="603">
        <f t="shared" ref="P18" si="18">+H18-O18</f>
        <v>1063</v>
      </c>
    </row>
    <row r="19" spans="1:16">
      <c r="A19" s="737" t="s">
        <v>1624</v>
      </c>
      <c r="B19" s="282">
        <f>4000+3000</f>
        <v>7000</v>
      </c>
      <c r="C19" s="743"/>
      <c r="D19" s="307"/>
      <c r="E19" s="306"/>
      <c r="F19" s="307">
        <f>0+7000</f>
        <v>7000</v>
      </c>
      <c r="G19" s="307"/>
      <c r="H19" s="309">
        <f t="shared" si="7"/>
        <v>7000</v>
      </c>
      <c r="I19" s="442"/>
      <c r="J19" s="793">
        <f t="shared" si="8"/>
        <v>0</v>
      </c>
      <c r="O19" s="603">
        <f t="shared" si="9"/>
        <v>5512</v>
      </c>
      <c r="P19" s="603">
        <f t="shared" si="10"/>
        <v>1488</v>
      </c>
    </row>
    <row r="20" spans="1:16" ht="12.75" thickBot="1">
      <c r="A20" s="737" t="s">
        <v>1623</v>
      </c>
      <c r="B20" s="282">
        <f>5000+2000</f>
        <v>7000</v>
      </c>
      <c r="C20" s="743"/>
      <c r="D20" s="307"/>
      <c r="E20" s="306"/>
      <c r="F20" s="307">
        <f>0+7000</f>
        <v>7000</v>
      </c>
      <c r="G20" s="307"/>
      <c r="H20" s="309">
        <f t="shared" si="0"/>
        <v>7000</v>
      </c>
      <c r="I20" s="442"/>
      <c r="J20" s="793">
        <f t="shared" si="4"/>
        <v>0</v>
      </c>
      <c r="O20" s="603">
        <f t="shared" si="5"/>
        <v>5512</v>
      </c>
      <c r="P20" s="603">
        <f t="shared" si="6"/>
        <v>1488</v>
      </c>
    </row>
    <row r="21" spans="1:16" ht="12.75" thickBot="1">
      <c r="A21" s="738" t="s">
        <v>600</v>
      </c>
      <c r="B21" s="316">
        <f>SUM(B8:B20)</f>
        <v>456940</v>
      </c>
      <c r="C21" s="1052" t="s">
        <v>19</v>
      </c>
      <c r="D21" s="318">
        <f t="shared" ref="D21:J21" si="19">SUM(D8:D20)</f>
        <v>4750</v>
      </c>
      <c r="E21" s="317">
        <f t="shared" si="19"/>
        <v>420250</v>
      </c>
      <c r="F21" s="318">
        <f t="shared" si="19"/>
        <v>448250</v>
      </c>
      <c r="G21" s="318">
        <f t="shared" si="19"/>
        <v>3940</v>
      </c>
      <c r="H21" s="321">
        <f t="shared" si="19"/>
        <v>452190</v>
      </c>
      <c r="I21" s="447">
        <f t="shared" si="19"/>
        <v>350000</v>
      </c>
      <c r="J21" s="299">
        <f t="shared" si="19"/>
        <v>0</v>
      </c>
    </row>
    <row r="22" spans="1:16">
      <c r="A22" s="736" t="s">
        <v>873</v>
      </c>
      <c r="B22" s="458"/>
      <c r="C22" s="742"/>
      <c r="D22" s="444"/>
      <c r="E22" s="1393"/>
      <c r="F22" s="444"/>
      <c r="G22" s="444"/>
      <c r="H22" s="1397"/>
      <c r="I22" s="443"/>
      <c r="J22" s="792"/>
    </row>
    <row r="23" spans="1:16" ht="12.75" thickBot="1">
      <c r="A23" s="737" t="s">
        <v>1512</v>
      </c>
      <c r="B23" s="282">
        <v>4000</v>
      </c>
      <c r="C23" s="743"/>
      <c r="D23" s="307"/>
      <c r="E23" s="306">
        <v>4000</v>
      </c>
      <c r="F23" s="307">
        <v>4000</v>
      </c>
      <c r="G23" s="307"/>
      <c r="H23" s="309">
        <v>4000</v>
      </c>
      <c r="I23" s="442"/>
      <c r="J23" s="793">
        <f>+B23-D23-H23</f>
        <v>0</v>
      </c>
    </row>
    <row r="24" spans="1:16" ht="12.75" thickBot="1">
      <c r="A24" s="738" t="s">
        <v>874</v>
      </c>
      <c r="B24" s="316">
        <f>+B23</f>
        <v>4000</v>
      </c>
      <c r="C24" s="1052" t="s">
        <v>19</v>
      </c>
      <c r="D24" s="318">
        <f t="shared" ref="D24:J24" si="20">+D23</f>
        <v>0</v>
      </c>
      <c r="E24" s="317">
        <f t="shared" si="20"/>
        <v>4000</v>
      </c>
      <c r="F24" s="318">
        <f t="shared" si="20"/>
        <v>4000</v>
      </c>
      <c r="G24" s="318">
        <f t="shared" si="20"/>
        <v>0</v>
      </c>
      <c r="H24" s="321">
        <f t="shared" si="20"/>
        <v>4000</v>
      </c>
      <c r="I24" s="447">
        <f t="shared" si="20"/>
        <v>0</v>
      </c>
      <c r="J24" s="299">
        <f t="shared" si="20"/>
        <v>0</v>
      </c>
    </row>
    <row r="25" spans="1:16">
      <c r="A25" s="736" t="s">
        <v>601</v>
      </c>
      <c r="B25" s="458"/>
      <c r="C25" s="742"/>
      <c r="D25" s="444"/>
      <c r="E25" s="1393"/>
      <c r="F25" s="444"/>
      <c r="G25" s="444"/>
      <c r="H25" s="1397"/>
      <c r="I25" s="443"/>
      <c r="J25" s="792"/>
      <c r="O25" s="603"/>
      <c r="P25" s="603"/>
    </row>
    <row r="26" spans="1:16" ht="12.75" thickBot="1">
      <c r="A26" s="737" t="s">
        <v>1162</v>
      </c>
      <c r="B26" s="282">
        <f>1600-500</f>
        <v>1100</v>
      </c>
      <c r="C26" s="743"/>
      <c r="D26" s="307"/>
      <c r="E26" s="306">
        <f>1600-500</f>
        <v>1100</v>
      </c>
      <c r="F26" s="307">
        <f>1600-500</f>
        <v>1100</v>
      </c>
      <c r="G26" s="307"/>
      <c r="H26" s="309">
        <f>+F26+G26</f>
        <v>1100</v>
      </c>
      <c r="I26" s="442"/>
      <c r="J26" s="793">
        <f>+B26-D26-H26</f>
        <v>0</v>
      </c>
      <c r="O26" s="603">
        <f>+ROUND(H26/1.27,0)</f>
        <v>866</v>
      </c>
      <c r="P26" s="603">
        <f>+H26-O26</f>
        <v>234</v>
      </c>
    </row>
    <row r="27" spans="1:16" ht="12.75" thickBot="1">
      <c r="A27" s="738" t="s">
        <v>602</v>
      </c>
      <c r="B27" s="316">
        <f>+B26</f>
        <v>1100</v>
      </c>
      <c r="C27" s="1052" t="s">
        <v>19</v>
      </c>
      <c r="D27" s="318">
        <f t="shared" ref="D27:J27" si="21">+D26</f>
        <v>0</v>
      </c>
      <c r="E27" s="317">
        <f t="shared" si="21"/>
        <v>1100</v>
      </c>
      <c r="F27" s="318">
        <f t="shared" si="21"/>
        <v>1100</v>
      </c>
      <c r="G27" s="318">
        <f t="shared" si="21"/>
        <v>0</v>
      </c>
      <c r="H27" s="321">
        <f t="shared" si="21"/>
        <v>1100</v>
      </c>
      <c r="I27" s="447">
        <f t="shared" si="21"/>
        <v>0</v>
      </c>
      <c r="J27" s="299">
        <f t="shared" si="21"/>
        <v>0</v>
      </c>
    </row>
    <row r="28" spans="1:16">
      <c r="A28" s="736" t="s">
        <v>603</v>
      </c>
      <c r="B28" s="458"/>
      <c r="C28" s="742"/>
      <c r="D28" s="444"/>
      <c r="E28" s="1393"/>
      <c r="F28" s="444"/>
      <c r="G28" s="444"/>
      <c r="H28" s="1397"/>
      <c r="I28" s="443"/>
      <c r="J28" s="792"/>
    </row>
    <row r="29" spans="1:16">
      <c r="A29" s="737" t="s">
        <v>1511</v>
      </c>
      <c r="B29" s="282">
        <f>4721+2626</f>
        <v>7347</v>
      </c>
      <c r="C29" s="743"/>
      <c r="D29" s="307"/>
      <c r="E29" s="306">
        <f>10000-2653</f>
        <v>7347</v>
      </c>
      <c r="F29" s="307">
        <f>10000-2653</f>
        <v>7347</v>
      </c>
      <c r="G29" s="307"/>
      <c r="H29" s="309">
        <f>+F29+G29</f>
        <v>7347</v>
      </c>
      <c r="I29" s="442">
        <v>2626</v>
      </c>
      <c r="J29" s="793">
        <f>+B29-D29-H29</f>
        <v>0</v>
      </c>
      <c r="O29" s="603">
        <f>+ROUND(H29/1.27,0)</f>
        <v>5785</v>
      </c>
      <c r="P29" s="603">
        <f>+H29-O29</f>
        <v>1562</v>
      </c>
    </row>
    <row r="30" spans="1:16">
      <c r="A30" s="737" t="s">
        <v>1347</v>
      </c>
      <c r="B30" s="282">
        <f>2032-1332</f>
        <v>700</v>
      </c>
      <c r="C30" s="743"/>
      <c r="D30" s="307"/>
      <c r="E30" s="306">
        <f>2032-1332</f>
        <v>700</v>
      </c>
      <c r="F30" s="307">
        <f>2032-1332</f>
        <v>700</v>
      </c>
      <c r="G30" s="307"/>
      <c r="H30" s="309">
        <f>+F30+G30</f>
        <v>700</v>
      </c>
      <c r="I30" s="442"/>
      <c r="J30" s="793">
        <f>+B30-D30-H30</f>
        <v>0</v>
      </c>
      <c r="O30" s="603">
        <f>+ROUND(H30/1.27,0)</f>
        <v>551</v>
      </c>
      <c r="P30" s="603">
        <f>+H30-O30</f>
        <v>149</v>
      </c>
    </row>
    <row r="31" spans="1:16">
      <c r="A31" s="737" t="s">
        <v>1162</v>
      </c>
      <c r="B31" s="282">
        <f>495-240</f>
        <v>255</v>
      </c>
      <c r="C31" s="743"/>
      <c r="D31" s="307"/>
      <c r="E31" s="306">
        <f>495-240</f>
        <v>255</v>
      </c>
      <c r="F31" s="307">
        <f>495-240</f>
        <v>255</v>
      </c>
      <c r="G31" s="307"/>
      <c r="H31" s="309">
        <f>+F31+G31</f>
        <v>255</v>
      </c>
      <c r="I31" s="442"/>
      <c r="J31" s="793">
        <f>+B31-D31-H31</f>
        <v>0</v>
      </c>
      <c r="O31" s="603">
        <f>+ROUND(H31/1.27,0)</f>
        <v>201</v>
      </c>
      <c r="P31" s="603">
        <f>+H31-O31</f>
        <v>54</v>
      </c>
    </row>
    <row r="32" spans="1:16">
      <c r="A32" s="737" t="s">
        <v>1517</v>
      </c>
      <c r="B32" s="282">
        <v>1650</v>
      </c>
      <c r="C32" s="743"/>
      <c r="D32" s="307"/>
      <c r="E32" s="306">
        <f>1650</f>
        <v>1650</v>
      </c>
      <c r="F32" s="307">
        <f>1650</f>
        <v>1650</v>
      </c>
      <c r="G32" s="307"/>
      <c r="H32" s="309">
        <f>+F32+G32</f>
        <v>1650</v>
      </c>
      <c r="I32" s="442"/>
      <c r="J32" s="793">
        <f>+B32-D32-H32</f>
        <v>0</v>
      </c>
      <c r="O32" s="603">
        <f>+ROUND(H32/1.27,0)</f>
        <v>1299</v>
      </c>
      <c r="P32" s="603">
        <f>+H32-O32</f>
        <v>351</v>
      </c>
    </row>
    <row r="33" spans="1:16" ht="12.75" thickBot="1">
      <c r="A33" s="737" t="s">
        <v>1516</v>
      </c>
      <c r="B33" s="282">
        <v>420</v>
      </c>
      <c r="C33" s="743"/>
      <c r="D33" s="307"/>
      <c r="E33" s="306">
        <v>420</v>
      </c>
      <c r="F33" s="307">
        <v>420</v>
      </c>
      <c r="G33" s="307"/>
      <c r="H33" s="309">
        <f>+F33+G33</f>
        <v>420</v>
      </c>
      <c r="I33" s="442"/>
      <c r="J33" s="793">
        <f>+B33-D33-H33</f>
        <v>0</v>
      </c>
      <c r="O33" s="603">
        <f>+ROUND(H33/1.27,0)</f>
        <v>331</v>
      </c>
      <c r="P33" s="603">
        <f>+H33-O33</f>
        <v>89</v>
      </c>
    </row>
    <row r="34" spans="1:16" ht="12.75" thickBot="1">
      <c r="A34" s="738" t="s">
        <v>604</v>
      </c>
      <c r="B34" s="316">
        <f>SUM(B29:B33)</f>
        <v>10372</v>
      </c>
      <c r="C34" s="1052" t="s">
        <v>19</v>
      </c>
      <c r="D34" s="318">
        <f t="shared" ref="D34:J34" si="22">SUM(D29:D33)</f>
        <v>0</v>
      </c>
      <c r="E34" s="317">
        <f t="shared" si="22"/>
        <v>10372</v>
      </c>
      <c r="F34" s="318">
        <f t="shared" ref="F34:G34" si="23">SUM(F29:F33)</f>
        <v>10372</v>
      </c>
      <c r="G34" s="318">
        <f t="shared" si="23"/>
        <v>0</v>
      </c>
      <c r="H34" s="321">
        <f t="shared" si="22"/>
        <v>10372</v>
      </c>
      <c r="I34" s="447">
        <f t="shared" si="22"/>
        <v>2626</v>
      </c>
      <c r="J34" s="299">
        <f t="shared" si="22"/>
        <v>0</v>
      </c>
    </row>
    <row r="35" spans="1:16">
      <c r="A35" s="736" t="s">
        <v>864</v>
      </c>
      <c r="B35" s="458"/>
      <c r="C35" s="742"/>
      <c r="D35" s="444"/>
      <c r="E35" s="1393"/>
      <c r="F35" s="444"/>
      <c r="G35" s="444"/>
      <c r="H35" s="1397"/>
      <c r="I35" s="443"/>
      <c r="J35" s="792"/>
    </row>
    <row r="36" spans="1:16" ht="12.75" thickBot="1">
      <c r="A36" s="737" t="s">
        <v>1161</v>
      </c>
      <c r="B36" s="282">
        <f>500-500+1000+1500-1500-1000</f>
        <v>0</v>
      </c>
      <c r="C36" s="743"/>
      <c r="D36" s="307"/>
      <c r="E36" s="306">
        <f>500-500+1000+1500-1500</f>
        <v>1000</v>
      </c>
      <c r="F36" s="307">
        <f>500-500+1000+1500-1500-1000</f>
        <v>0</v>
      </c>
      <c r="G36" s="307"/>
      <c r="H36" s="309">
        <f>+F36+G36</f>
        <v>0</v>
      </c>
      <c r="I36" s="442"/>
      <c r="J36" s="793">
        <f>+B36-D36-H36</f>
        <v>0</v>
      </c>
      <c r="O36" s="603">
        <f>+ROUND(H36/1.27,0)</f>
        <v>0</v>
      </c>
      <c r="P36" s="603">
        <f>+H36-O36</f>
        <v>0</v>
      </c>
    </row>
    <row r="37" spans="1:16" ht="12.75" thickBot="1">
      <c r="A37" s="738" t="s">
        <v>863</v>
      </c>
      <c r="B37" s="316">
        <f>+B36</f>
        <v>0</v>
      </c>
      <c r="C37" s="1052" t="s">
        <v>19</v>
      </c>
      <c r="D37" s="318">
        <f t="shared" ref="D37:J37" si="24">+D36</f>
        <v>0</v>
      </c>
      <c r="E37" s="317">
        <f t="shared" si="24"/>
        <v>1000</v>
      </c>
      <c r="F37" s="318">
        <f t="shared" si="24"/>
        <v>0</v>
      </c>
      <c r="G37" s="318">
        <f t="shared" si="24"/>
        <v>0</v>
      </c>
      <c r="H37" s="321">
        <f t="shared" si="24"/>
        <v>0</v>
      </c>
      <c r="I37" s="447">
        <f t="shared" si="24"/>
        <v>0</v>
      </c>
      <c r="J37" s="299">
        <f t="shared" si="24"/>
        <v>0</v>
      </c>
    </row>
    <row r="38" spans="1:16">
      <c r="A38" s="736" t="s">
        <v>1273</v>
      </c>
      <c r="B38" s="458"/>
      <c r="C38" s="742"/>
      <c r="D38" s="444"/>
      <c r="E38" s="1393"/>
      <c r="F38" s="444"/>
      <c r="G38" s="444"/>
      <c r="H38" s="1397"/>
      <c r="I38" s="443"/>
      <c r="J38" s="792"/>
    </row>
    <row r="39" spans="1:16" ht="12.75" thickBot="1">
      <c r="A39" s="737" t="s">
        <v>1655</v>
      </c>
      <c r="B39" s="282">
        <v>12598</v>
      </c>
      <c r="C39" s="743"/>
      <c r="D39" s="307"/>
      <c r="E39" s="306"/>
      <c r="F39" s="307"/>
      <c r="G39" s="307">
        <v>12598</v>
      </c>
      <c r="H39" s="309">
        <f>+F39+G39</f>
        <v>12598</v>
      </c>
      <c r="I39" s="442"/>
      <c r="J39" s="793">
        <f>+B39-D39-H39</f>
        <v>0</v>
      </c>
      <c r="O39" s="603">
        <f>+ROUND(H39/1.27,0)</f>
        <v>9920</v>
      </c>
      <c r="P39" s="603">
        <f>+H39-O39</f>
        <v>2678</v>
      </c>
    </row>
    <row r="40" spans="1:16" ht="12.75" thickBot="1">
      <c r="A40" s="738" t="s">
        <v>1274</v>
      </c>
      <c r="B40" s="316">
        <f>+B39</f>
        <v>12598</v>
      </c>
      <c r="C40" s="1052" t="s">
        <v>19</v>
      </c>
      <c r="D40" s="318">
        <f t="shared" ref="D40:J40" si="25">+D39</f>
        <v>0</v>
      </c>
      <c r="E40" s="317">
        <f t="shared" si="25"/>
        <v>0</v>
      </c>
      <c r="F40" s="318">
        <f t="shared" si="25"/>
        <v>0</v>
      </c>
      <c r="G40" s="318">
        <f t="shared" si="25"/>
        <v>12598</v>
      </c>
      <c r="H40" s="321">
        <f t="shared" si="25"/>
        <v>12598</v>
      </c>
      <c r="I40" s="447">
        <f t="shared" si="25"/>
        <v>0</v>
      </c>
      <c r="J40" s="299">
        <f t="shared" si="25"/>
        <v>0</v>
      </c>
    </row>
    <row r="41" spans="1:16">
      <c r="A41" s="739" t="s">
        <v>615</v>
      </c>
      <c r="B41" s="459"/>
      <c r="C41" s="744"/>
      <c r="D41" s="448"/>
      <c r="E41" s="281"/>
      <c r="F41" s="448"/>
      <c r="G41" s="448"/>
      <c r="H41" s="305"/>
      <c r="I41" s="449"/>
      <c r="J41" s="794"/>
    </row>
    <row r="42" spans="1:16" ht="12.75" thickBot="1">
      <c r="A42" s="737" t="s">
        <v>19</v>
      </c>
      <c r="B42" s="282"/>
      <c r="C42" s="743"/>
      <c r="D42" s="307"/>
      <c r="E42" s="306"/>
      <c r="F42" s="307"/>
      <c r="G42" s="307"/>
      <c r="H42" s="309">
        <f>+F42+G42</f>
        <v>0</v>
      </c>
      <c r="I42" s="442"/>
      <c r="J42" s="793">
        <f t="shared" ref="J42" si="26">+B42-D42-H42</f>
        <v>0</v>
      </c>
      <c r="O42" s="603">
        <f t="shared" ref="O42" si="27">+ROUND(H42/1.27,0)</f>
        <v>0</v>
      </c>
      <c r="P42" s="603">
        <f t="shared" ref="P42" si="28">+H42-O42</f>
        <v>0</v>
      </c>
    </row>
    <row r="43" spans="1:16" ht="12.75" thickBot="1">
      <c r="A43" s="738" t="s">
        <v>616</v>
      </c>
      <c r="B43" s="316">
        <f>SUM(B42:B42)</f>
        <v>0</v>
      </c>
      <c r="C43" s="1052" t="s">
        <v>19</v>
      </c>
      <c r="D43" s="318">
        <f t="shared" ref="D43:J43" si="29">SUM(D42:D42)</f>
        <v>0</v>
      </c>
      <c r="E43" s="317">
        <f t="shared" si="29"/>
        <v>0</v>
      </c>
      <c r="F43" s="318">
        <f t="shared" si="29"/>
        <v>0</v>
      </c>
      <c r="G43" s="318">
        <f t="shared" si="29"/>
        <v>0</v>
      </c>
      <c r="H43" s="321">
        <f t="shared" si="29"/>
        <v>0</v>
      </c>
      <c r="I43" s="447">
        <f t="shared" si="29"/>
        <v>0</v>
      </c>
      <c r="J43" s="299">
        <f t="shared" si="29"/>
        <v>0</v>
      </c>
      <c r="L43" s="603">
        <f>+'1.mell._Össz_Mérleg2020'!F151</f>
        <v>0</v>
      </c>
      <c r="M43" s="603">
        <f>+H43-L43</f>
        <v>0</v>
      </c>
    </row>
    <row r="44" spans="1:16" ht="12.75" thickBot="1">
      <c r="A44" s="740"/>
      <c r="B44" s="460"/>
      <c r="C44" s="745"/>
      <c r="D44" s="450"/>
      <c r="E44" s="1394"/>
      <c r="F44" s="450"/>
      <c r="G44" s="450"/>
      <c r="H44" s="1398"/>
      <c r="I44" s="451"/>
      <c r="J44" s="795"/>
    </row>
    <row r="45" spans="1:16" ht="12.75" thickBot="1">
      <c r="A45" s="741" t="s">
        <v>607</v>
      </c>
      <c r="B45" s="461">
        <f>+B21+B24+B27+B34+B37+B40+B43</f>
        <v>485010</v>
      </c>
      <c r="C45" s="1052" t="s">
        <v>19</v>
      </c>
      <c r="D45" s="452">
        <f t="shared" ref="D45:J45" si="30">+D21+D24+D27+D34+D37+D40+D43</f>
        <v>4750</v>
      </c>
      <c r="E45" s="1395">
        <f t="shared" si="30"/>
        <v>436722</v>
      </c>
      <c r="F45" s="452">
        <f t="shared" si="30"/>
        <v>463722</v>
      </c>
      <c r="G45" s="452">
        <f t="shared" si="30"/>
        <v>16538</v>
      </c>
      <c r="H45" s="796">
        <f t="shared" si="30"/>
        <v>480260</v>
      </c>
      <c r="I45" s="453">
        <f t="shared" si="30"/>
        <v>352626</v>
      </c>
      <c r="J45" s="796">
        <f t="shared" si="30"/>
        <v>0</v>
      </c>
      <c r="L45" s="603">
        <f>+'1.mell._Össz_Mérleg2020'!F150</f>
        <v>480260</v>
      </c>
      <c r="M45" s="603">
        <f>+H45-L45</f>
        <v>0</v>
      </c>
    </row>
    <row r="46" spans="1:16" ht="12.75" thickBot="1">
      <c r="A46" s="466"/>
      <c r="B46" s="462"/>
      <c r="C46" s="1053"/>
      <c r="D46" s="462"/>
      <c r="E46" s="462"/>
      <c r="F46" s="462"/>
      <c r="G46" s="462"/>
      <c r="H46" s="462"/>
      <c r="I46" s="462"/>
      <c r="J46" s="462"/>
    </row>
    <row r="47" spans="1:16">
      <c r="A47" s="748" t="s">
        <v>594</v>
      </c>
      <c r="B47" s="464"/>
      <c r="C47" s="749"/>
      <c r="D47" s="463"/>
      <c r="E47" s="1400"/>
      <c r="F47" s="463"/>
      <c r="G47" s="463"/>
      <c r="H47" s="1401"/>
      <c r="I47" s="465"/>
      <c r="J47" s="797"/>
    </row>
    <row r="48" spans="1:16">
      <c r="A48" s="737" t="s">
        <v>1348</v>
      </c>
      <c r="B48" s="282">
        <f>6000-6000</f>
        <v>0</v>
      </c>
      <c r="C48" s="743"/>
      <c r="D48" s="307"/>
      <c r="E48" s="306">
        <v>6000</v>
      </c>
      <c r="F48" s="307">
        <f>6000-6000</f>
        <v>0</v>
      </c>
      <c r="G48" s="307"/>
      <c r="H48" s="309">
        <f>+F48+G48</f>
        <v>0</v>
      </c>
      <c r="I48" s="442"/>
      <c r="J48" s="793">
        <f>+B48-D48-H48</f>
        <v>0</v>
      </c>
      <c r="O48" s="603">
        <f>+ROUND(H48/1.27,0)</f>
        <v>0</v>
      </c>
      <c r="P48" s="603">
        <f>+H48-O48</f>
        <v>0</v>
      </c>
    </row>
    <row r="49" spans="1:16">
      <c r="A49" s="737" t="s">
        <v>1514</v>
      </c>
      <c r="B49" s="282">
        <v>41258</v>
      </c>
      <c r="C49" s="743"/>
      <c r="D49" s="307"/>
      <c r="E49" s="306">
        <v>41258</v>
      </c>
      <c r="F49" s="307">
        <v>41258</v>
      </c>
      <c r="G49" s="307"/>
      <c r="H49" s="309">
        <f>+F49+G49</f>
        <v>41258</v>
      </c>
      <c r="I49" s="442">
        <v>30000</v>
      </c>
      <c r="J49" s="793">
        <f>+B49-D49-H49</f>
        <v>0</v>
      </c>
      <c r="O49" s="603">
        <f>+ROUND(H49/1.27,0)</f>
        <v>32487</v>
      </c>
      <c r="P49" s="603">
        <f>+H49-O49</f>
        <v>8771</v>
      </c>
    </row>
    <row r="50" spans="1:16">
      <c r="A50" s="737" t="s">
        <v>1518</v>
      </c>
      <c r="B50" s="282">
        <v>20000</v>
      </c>
      <c r="C50" s="743"/>
      <c r="D50" s="307"/>
      <c r="E50" s="306">
        <v>20000</v>
      </c>
      <c r="F50" s="307">
        <v>20000</v>
      </c>
      <c r="G50" s="307"/>
      <c r="H50" s="309">
        <f>+F50+G50</f>
        <v>20000</v>
      </c>
      <c r="I50" s="442"/>
      <c r="J50" s="793">
        <f>+B50-D50-H50</f>
        <v>0</v>
      </c>
      <c r="O50" s="603">
        <f>+ROUND(H50/1.27,0)</f>
        <v>15748</v>
      </c>
      <c r="P50" s="603">
        <f>+H50-O50</f>
        <v>4252</v>
      </c>
    </row>
    <row r="51" spans="1:16" ht="12.75" thickBot="1">
      <c r="A51" s="737" t="s">
        <v>1515</v>
      </c>
      <c r="B51" s="282">
        <f>4000-4000</f>
        <v>0</v>
      </c>
      <c r="C51" s="743"/>
      <c r="D51" s="307"/>
      <c r="E51" s="306">
        <f>4000-4000</f>
        <v>0</v>
      </c>
      <c r="F51" s="307">
        <f>4000-4000</f>
        <v>0</v>
      </c>
      <c r="G51" s="307"/>
      <c r="H51" s="309">
        <f>+F51+G51</f>
        <v>0</v>
      </c>
      <c r="I51" s="442"/>
      <c r="J51" s="793">
        <f>+B51-D51-H51</f>
        <v>0</v>
      </c>
      <c r="O51" s="603">
        <f>+ROUND(H51/1.27,0)</f>
        <v>0</v>
      </c>
      <c r="P51" s="603">
        <f>+H51-O51</f>
        <v>0</v>
      </c>
    </row>
    <row r="52" spans="1:16" ht="12.75" thickBot="1">
      <c r="A52" s="738" t="s">
        <v>595</v>
      </c>
      <c r="B52" s="316">
        <f>SUM(B48:B51)</f>
        <v>61258</v>
      </c>
      <c r="C52" s="1052" t="s">
        <v>19</v>
      </c>
      <c r="D52" s="318">
        <f t="shared" ref="D52:J52" si="31">SUM(D48:D51)</f>
        <v>0</v>
      </c>
      <c r="E52" s="317">
        <f t="shared" si="31"/>
        <v>67258</v>
      </c>
      <c r="F52" s="318">
        <f t="shared" si="31"/>
        <v>61258</v>
      </c>
      <c r="G52" s="318">
        <f t="shared" si="31"/>
        <v>0</v>
      </c>
      <c r="H52" s="321">
        <f t="shared" si="31"/>
        <v>61258</v>
      </c>
      <c r="I52" s="447">
        <f t="shared" si="31"/>
        <v>30000</v>
      </c>
      <c r="J52" s="299">
        <f t="shared" si="31"/>
        <v>0</v>
      </c>
    </row>
    <row r="53" spans="1:16">
      <c r="A53" s="736" t="s">
        <v>875</v>
      </c>
      <c r="B53" s="458"/>
      <c r="C53" s="742"/>
      <c r="D53" s="444"/>
      <c r="E53" s="1393"/>
      <c r="F53" s="444"/>
      <c r="G53" s="444"/>
      <c r="H53" s="1397"/>
      <c r="I53" s="443"/>
      <c r="J53" s="792"/>
    </row>
    <row r="54" spans="1:16" ht="12.75" thickBot="1">
      <c r="A54" s="737" t="s">
        <v>19</v>
      </c>
      <c r="B54" s="282"/>
      <c r="C54" s="743"/>
      <c r="D54" s="307"/>
      <c r="E54" s="306"/>
      <c r="F54" s="307"/>
      <c r="G54" s="307"/>
      <c r="H54" s="309">
        <f>+F54+G54</f>
        <v>0</v>
      </c>
      <c r="I54" s="442"/>
      <c r="J54" s="793">
        <f>+B54-D54-H54</f>
        <v>0</v>
      </c>
    </row>
    <row r="55" spans="1:16" ht="12.75" thickBot="1">
      <c r="A55" s="738" t="s">
        <v>876</v>
      </c>
      <c r="B55" s="316">
        <f>+B54</f>
        <v>0</v>
      </c>
      <c r="C55" s="1052" t="s">
        <v>19</v>
      </c>
      <c r="D55" s="318">
        <f t="shared" ref="D55:J55" si="32">+D54</f>
        <v>0</v>
      </c>
      <c r="E55" s="317">
        <f t="shared" si="32"/>
        <v>0</v>
      </c>
      <c r="F55" s="318">
        <f t="shared" si="32"/>
        <v>0</v>
      </c>
      <c r="G55" s="318">
        <f t="shared" si="32"/>
        <v>0</v>
      </c>
      <c r="H55" s="321">
        <f t="shared" si="32"/>
        <v>0</v>
      </c>
      <c r="I55" s="447">
        <f t="shared" si="32"/>
        <v>0</v>
      </c>
      <c r="J55" s="299">
        <f t="shared" si="32"/>
        <v>0</v>
      </c>
    </row>
    <row r="56" spans="1:16">
      <c r="A56" s="736" t="s">
        <v>596</v>
      </c>
      <c r="B56" s="458"/>
      <c r="C56" s="742"/>
      <c r="D56" s="444"/>
      <c r="E56" s="1393"/>
      <c r="F56" s="444"/>
      <c r="G56" s="444"/>
      <c r="H56" s="1397"/>
      <c r="I56" s="443"/>
      <c r="J56" s="792"/>
    </row>
    <row r="57" spans="1:16" ht="12.75" thickBot="1">
      <c r="A57" s="737" t="s">
        <v>19</v>
      </c>
      <c r="B57" s="282"/>
      <c r="C57" s="743"/>
      <c r="D57" s="307"/>
      <c r="E57" s="306"/>
      <c r="F57" s="307"/>
      <c r="G57" s="307"/>
      <c r="H57" s="309">
        <f>+F57+G57</f>
        <v>0</v>
      </c>
      <c r="I57" s="442"/>
      <c r="J57" s="793">
        <f>+B57-D57-H57</f>
        <v>0</v>
      </c>
    </row>
    <row r="58" spans="1:16" ht="12.75" thickBot="1">
      <c r="A58" s="738" t="s">
        <v>597</v>
      </c>
      <c r="B58" s="316">
        <f>+B57</f>
        <v>0</v>
      </c>
      <c r="C58" s="1052" t="s">
        <v>19</v>
      </c>
      <c r="D58" s="318">
        <f t="shared" ref="D58:J58" si="33">+D57</f>
        <v>0</v>
      </c>
      <c r="E58" s="317">
        <f t="shared" si="33"/>
        <v>0</v>
      </c>
      <c r="F58" s="318">
        <f t="shared" si="33"/>
        <v>0</v>
      </c>
      <c r="G58" s="318">
        <f t="shared" si="33"/>
        <v>0</v>
      </c>
      <c r="H58" s="321">
        <f t="shared" si="33"/>
        <v>0</v>
      </c>
      <c r="I58" s="447">
        <f t="shared" si="33"/>
        <v>0</v>
      </c>
      <c r="J58" s="299">
        <f t="shared" si="33"/>
        <v>0</v>
      </c>
    </row>
    <row r="59" spans="1:16">
      <c r="A59" s="736" t="s">
        <v>889</v>
      </c>
      <c r="B59" s="458"/>
      <c r="C59" s="742"/>
      <c r="D59" s="444"/>
      <c r="E59" s="1393"/>
      <c r="F59" s="444"/>
      <c r="G59" s="444"/>
      <c r="H59" s="1397"/>
      <c r="I59" s="443"/>
      <c r="J59" s="792"/>
    </row>
    <row r="60" spans="1:16" ht="12.75" thickBot="1">
      <c r="A60" s="737" t="s">
        <v>19</v>
      </c>
      <c r="B60" s="282"/>
      <c r="C60" s="743"/>
      <c r="D60" s="307"/>
      <c r="E60" s="306"/>
      <c r="F60" s="307"/>
      <c r="G60" s="307"/>
      <c r="H60" s="309">
        <f>+F60+G60</f>
        <v>0</v>
      </c>
      <c r="I60" s="442"/>
      <c r="J60" s="793">
        <f>+B60-D60-H60</f>
        <v>0</v>
      </c>
      <c r="O60" s="603">
        <f>+ROUND(H60/1.27,0)</f>
        <v>0</v>
      </c>
      <c r="P60" s="603">
        <f>+H60-O60</f>
        <v>0</v>
      </c>
    </row>
    <row r="61" spans="1:16" ht="12.75" thickBot="1">
      <c r="A61" s="738" t="s">
        <v>598</v>
      </c>
      <c r="B61" s="316">
        <f>SUM(B60:B60)</f>
        <v>0</v>
      </c>
      <c r="C61" s="1052" t="s">
        <v>19</v>
      </c>
      <c r="D61" s="318">
        <f t="shared" ref="D61:J61" si="34">SUM(D60:D60)</f>
        <v>0</v>
      </c>
      <c r="E61" s="317">
        <f t="shared" si="34"/>
        <v>0</v>
      </c>
      <c r="F61" s="318">
        <f t="shared" si="34"/>
        <v>0</v>
      </c>
      <c r="G61" s="318">
        <f t="shared" si="34"/>
        <v>0</v>
      </c>
      <c r="H61" s="321">
        <f t="shared" si="34"/>
        <v>0</v>
      </c>
      <c r="I61" s="447">
        <f t="shared" si="34"/>
        <v>0</v>
      </c>
      <c r="J61" s="299">
        <f t="shared" si="34"/>
        <v>0</v>
      </c>
    </row>
    <row r="62" spans="1:16">
      <c r="A62" s="736" t="s">
        <v>890</v>
      </c>
      <c r="B62" s="458"/>
      <c r="C62" s="742"/>
      <c r="D62" s="444"/>
      <c r="E62" s="1393"/>
      <c r="F62" s="444"/>
      <c r="G62" s="444"/>
      <c r="H62" s="1397"/>
      <c r="I62" s="443"/>
      <c r="J62" s="792"/>
    </row>
    <row r="63" spans="1:16" ht="12.75" thickBot="1">
      <c r="A63" s="737" t="s">
        <v>19</v>
      </c>
      <c r="B63" s="282"/>
      <c r="C63" s="743"/>
      <c r="D63" s="307"/>
      <c r="E63" s="306"/>
      <c r="F63" s="307"/>
      <c r="G63" s="307"/>
      <c r="H63" s="309">
        <f>+F63+G63</f>
        <v>0</v>
      </c>
      <c r="I63" s="442"/>
      <c r="J63" s="793">
        <f>+B63-D63-H63</f>
        <v>0</v>
      </c>
    </row>
    <row r="64" spans="1:16" ht="12.75" thickBot="1">
      <c r="A64" s="738" t="s">
        <v>1277</v>
      </c>
      <c r="B64" s="316">
        <f>+B63</f>
        <v>0</v>
      </c>
      <c r="C64" s="1052" t="s">
        <v>19</v>
      </c>
      <c r="D64" s="318">
        <f t="shared" ref="D64:J64" si="35">+D63</f>
        <v>0</v>
      </c>
      <c r="E64" s="317">
        <f t="shared" si="35"/>
        <v>0</v>
      </c>
      <c r="F64" s="318">
        <f t="shared" si="35"/>
        <v>0</v>
      </c>
      <c r="G64" s="318">
        <f t="shared" si="35"/>
        <v>0</v>
      </c>
      <c r="H64" s="321">
        <f t="shared" si="35"/>
        <v>0</v>
      </c>
      <c r="I64" s="447">
        <f t="shared" si="35"/>
        <v>0</v>
      </c>
      <c r="J64" s="299">
        <f t="shared" si="35"/>
        <v>0</v>
      </c>
    </row>
    <row r="65" spans="1:16">
      <c r="A65" s="736" t="s">
        <v>1275</v>
      </c>
      <c r="B65" s="458"/>
      <c r="C65" s="742"/>
      <c r="D65" s="444"/>
      <c r="E65" s="1393"/>
      <c r="F65" s="444"/>
      <c r="G65" s="444"/>
      <c r="H65" s="1397"/>
      <c r="I65" s="443"/>
      <c r="J65" s="792"/>
    </row>
    <row r="66" spans="1:16" ht="12.75" thickBot="1">
      <c r="A66" s="737" t="s">
        <v>19</v>
      </c>
      <c r="B66" s="282"/>
      <c r="C66" s="743"/>
      <c r="D66" s="307"/>
      <c r="E66" s="306"/>
      <c r="F66" s="307"/>
      <c r="G66" s="307"/>
      <c r="H66" s="309">
        <f>+F66+G66</f>
        <v>0</v>
      </c>
      <c r="I66" s="442"/>
      <c r="J66" s="793">
        <f>+B66-D66-H66</f>
        <v>0</v>
      </c>
    </row>
    <row r="67" spans="1:16" ht="12.75" thickBot="1">
      <c r="A67" s="738" t="s">
        <v>1276</v>
      </c>
      <c r="B67" s="316">
        <f>+B66</f>
        <v>0</v>
      </c>
      <c r="C67" s="1052" t="s">
        <v>19</v>
      </c>
      <c r="D67" s="318">
        <f t="shared" ref="D67:J67" si="36">+D66</f>
        <v>0</v>
      </c>
      <c r="E67" s="317">
        <f t="shared" si="36"/>
        <v>0</v>
      </c>
      <c r="F67" s="318">
        <f t="shared" si="36"/>
        <v>0</v>
      </c>
      <c r="G67" s="318">
        <f t="shared" si="36"/>
        <v>0</v>
      </c>
      <c r="H67" s="321">
        <f t="shared" si="36"/>
        <v>0</v>
      </c>
      <c r="I67" s="447">
        <f t="shared" si="36"/>
        <v>0</v>
      </c>
      <c r="J67" s="299">
        <f t="shared" si="36"/>
        <v>0</v>
      </c>
    </row>
    <row r="68" spans="1:16">
      <c r="A68" s="739" t="s">
        <v>617</v>
      </c>
      <c r="B68" s="459"/>
      <c r="C68" s="744"/>
      <c r="D68" s="448"/>
      <c r="E68" s="281"/>
      <c r="F68" s="448"/>
      <c r="G68" s="448"/>
      <c r="H68" s="305"/>
      <c r="I68" s="449"/>
      <c r="J68" s="794"/>
    </row>
    <row r="69" spans="1:16" ht="12.75" thickBot="1">
      <c r="A69" s="737" t="s">
        <v>19</v>
      </c>
      <c r="B69" s="282"/>
      <c r="C69" s="743"/>
      <c r="D69" s="307"/>
      <c r="E69" s="306"/>
      <c r="F69" s="307"/>
      <c r="G69" s="307"/>
      <c r="H69" s="309">
        <f>+F69+G69</f>
        <v>0</v>
      </c>
      <c r="I69" s="442"/>
      <c r="J69" s="793">
        <f t="shared" ref="J69" si="37">+B69-D69-H69</f>
        <v>0</v>
      </c>
      <c r="O69" s="603">
        <f t="shared" ref="O69" si="38">+ROUND(H69/1.27,0)</f>
        <v>0</v>
      </c>
      <c r="P69" s="603">
        <f t="shared" ref="P69" si="39">+H69-O69</f>
        <v>0</v>
      </c>
    </row>
    <row r="70" spans="1:16" ht="12.75" thickBot="1">
      <c r="A70" s="738" t="s">
        <v>618</v>
      </c>
      <c r="B70" s="316">
        <f>SUM(B69:B69)</f>
        <v>0</v>
      </c>
      <c r="C70" s="1052" t="s">
        <v>19</v>
      </c>
      <c r="D70" s="318">
        <f t="shared" ref="D70:J70" si="40">SUM(D69:D69)</f>
        <v>0</v>
      </c>
      <c r="E70" s="317">
        <f t="shared" si="40"/>
        <v>0</v>
      </c>
      <c r="F70" s="318">
        <f t="shared" si="40"/>
        <v>0</v>
      </c>
      <c r="G70" s="318">
        <f t="shared" si="40"/>
        <v>0</v>
      </c>
      <c r="H70" s="321">
        <f t="shared" si="40"/>
        <v>0</v>
      </c>
      <c r="I70" s="447">
        <f t="shared" si="40"/>
        <v>0</v>
      </c>
      <c r="J70" s="299">
        <f t="shared" si="40"/>
        <v>0</v>
      </c>
      <c r="L70" s="603">
        <f>+'1.mell._Össz_Mérleg2020'!F160</f>
        <v>0</v>
      </c>
      <c r="M70" s="603">
        <f>+H70-L70</f>
        <v>0</v>
      </c>
    </row>
    <row r="71" spans="1:16" ht="12.75" thickBot="1">
      <c r="A71" s="740"/>
      <c r="B71" s="460"/>
      <c r="C71" s="745"/>
      <c r="D71" s="450"/>
      <c r="E71" s="1394"/>
      <c r="F71" s="450"/>
      <c r="G71" s="450"/>
      <c r="H71" s="1398"/>
      <c r="I71" s="451"/>
      <c r="J71" s="795"/>
    </row>
    <row r="72" spans="1:16" ht="12.75" thickBot="1">
      <c r="A72" s="741" t="s">
        <v>608</v>
      </c>
      <c r="B72" s="461">
        <f>+B52+B55+B58+B61+B64+B67+B70</f>
        <v>61258</v>
      </c>
      <c r="C72" s="1052" t="s">
        <v>19</v>
      </c>
      <c r="D72" s="452">
        <f t="shared" ref="D72:J72" si="41">+D52+D55+D58+D61+D64+D67+D70</f>
        <v>0</v>
      </c>
      <c r="E72" s="1395">
        <f t="shared" si="41"/>
        <v>67258</v>
      </c>
      <c r="F72" s="452">
        <f t="shared" si="41"/>
        <v>61258</v>
      </c>
      <c r="G72" s="452">
        <f t="shared" si="41"/>
        <v>0</v>
      </c>
      <c r="H72" s="796">
        <f t="shared" si="41"/>
        <v>61258</v>
      </c>
      <c r="I72" s="453">
        <f t="shared" si="41"/>
        <v>30000</v>
      </c>
      <c r="J72" s="796">
        <f t="shared" si="41"/>
        <v>0</v>
      </c>
      <c r="L72" s="603">
        <f>+'1.mell._Össz_Mérleg2020'!F159</f>
        <v>61258</v>
      </c>
      <c r="M72" s="603">
        <f>+H72-L72</f>
        <v>0</v>
      </c>
    </row>
    <row r="73" spans="1:16" ht="12.75" thickBot="1">
      <c r="A73" s="454"/>
      <c r="B73" s="750"/>
      <c r="C73" s="454"/>
      <c r="D73" s="454"/>
      <c r="E73" s="454"/>
      <c r="F73" s="454"/>
      <c r="G73" s="454"/>
      <c r="H73" s="454"/>
      <c r="I73" s="454"/>
      <c r="J73" s="798"/>
    </row>
    <row r="74" spans="1:16">
      <c r="A74" s="736" t="s">
        <v>609</v>
      </c>
      <c r="B74" s="458"/>
      <c r="C74" s="742"/>
      <c r="D74" s="444"/>
      <c r="E74" s="1393"/>
      <c r="F74" s="1399"/>
      <c r="G74" s="1399"/>
      <c r="H74" s="1396"/>
      <c r="I74" s="443"/>
      <c r="J74" s="792"/>
    </row>
    <row r="75" spans="1:16" ht="12.75" thickBot="1">
      <c r="A75" s="737" t="s">
        <v>1656</v>
      </c>
      <c r="B75" s="282">
        <v>19162</v>
      </c>
      <c r="C75" s="743"/>
      <c r="D75" s="307"/>
      <c r="E75" s="306"/>
      <c r="F75" s="307"/>
      <c r="G75" s="307">
        <v>19162</v>
      </c>
      <c r="H75" s="309">
        <f>+F75+G75</f>
        <v>19162</v>
      </c>
      <c r="I75" s="442"/>
      <c r="J75" s="793">
        <f>+B75-D75-H75</f>
        <v>0</v>
      </c>
    </row>
    <row r="76" spans="1:16" ht="12.75" thickBot="1">
      <c r="A76" s="738" t="s">
        <v>610</v>
      </c>
      <c r="B76" s="316">
        <f>+B75</f>
        <v>19162</v>
      </c>
      <c r="C76" s="1052" t="s">
        <v>19</v>
      </c>
      <c r="D76" s="318">
        <f t="shared" ref="D76:J76" si="42">+D75</f>
        <v>0</v>
      </c>
      <c r="E76" s="317">
        <f t="shared" si="42"/>
        <v>0</v>
      </c>
      <c r="F76" s="318">
        <f t="shared" si="42"/>
        <v>0</v>
      </c>
      <c r="G76" s="318">
        <f t="shared" si="42"/>
        <v>19162</v>
      </c>
      <c r="H76" s="321">
        <f t="shared" si="42"/>
        <v>19162</v>
      </c>
      <c r="I76" s="447">
        <f t="shared" si="42"/>
        <v>0</v>
      </c>
      <c r="J76" s="299">
        <f t="shared" si="42"/>
        <v>0</v>
      </c>
    </row>
    <row r="77" spans="1:16">
      <c r="A77" s="736" t="s">
        <v>877</v>
      </c>
      <c r="B77" s="458"/>
      <c r="C77" s="742"/>
      <c r="D77" s="444"/>
      <c r="E77" s="1393"/>
      <c r="F77" s="444"/>
      <c r="G77" s="444"/>
      <c r="H77" s="1397"/>
      <c r="I77" s="443"/>
      <c r="J77" s="792"/>
    </row>
    <row r="78" spans="1:16" ht="12.75" thickBot="1">
      <c r="A78" s="737" t="s">
        <v>19</v>
      </c>
      <c r="B78" s="282"/>
      <c r="C78" s="743"/>
      <c r="D78" s="307"/>
      <c r="E78" s="306"/>
      <c r="F78" s="307"/>
      <c r="G78" s="307"/>
      <c r="H78" s="309">
        <f>+F78+G78</f>
        <v>0</v>
      </c>
      <c r="I78" s="442"/>
      <c r="J78" s="793">
        <f>+B78-D78-H78</f>
        <v>0</v>
      </c>
    </row>
    <row r="79" spans="1:16" ht="12.75" thickBot="1">
      <c r="A79" s="738" t="s">
        <v>878</v>
      </c>
      <c r="B79" s="316">
        <f>+B78</f>
        <v>0</v>
      </c>
      <c r="C79" s="1052" t="s">
        <v>19</v>
      </c>
      <c r="D79" s="318">
        <f t="shared" ref="D79:J79" si="43">+D78</f>
        <v>0</v>
      </c>
      <c r="E79" s="317">
        <f t="shared" si="43"/>
        <v>0</v>
      </c>
      <c r="F79" s="318">
        <f t="shared" si="43"/>
        <v>0</v>
      </c>
      <c r="G79" s="318">
        <f t="shared" si="43"/>
        <v>0</v>
      </c>
      <c r="H79" s="321">
        <f t="shared" si="43"/>
        <v>0</v>
      </c>
      <c r="I79" s="447">
        <f t="shared" si="43"/>
        <v>0</v>
      </c>
      <c r="J79" s="299">
        <f t="shared" si="43"/>
        <v>0</v>
      </c>
    </row>
    <row r="80" spans="1:16">
      <c r="A80" s="736" t="s">
        <v>611</v>
      </c>
      <c r="B80" s="458"/>
      <c r="C80" s="742"/>
      <c r="D80" s="444"/>
      <c r="E80" s="1393"/>
      <c r="F80" s="444"/>
      <c r="G80" s="444"/>
      <c r="H80" s="1397"/>
      <c r="I80" s="443"/>
      <c r="J80" s="792"/>
    </row>
    <row r="81" spans="1:13" ht="12.75" thickBot="1">
      <c r="A81" s="737" t="s">
        <v>19</v>
      </c>
      <c r="B81" s="282"/>
      <c r="C81" s="743"/>
      <c r="D81" s="307"/>
      <c r="E81" s="306"/>
      <c r="F81" s="307"/>
      <c r="G81" s="307"/>
      <c r="H81" s="309">
        <f>+F81+G81</f>
        <v>0</v>
      </c>
      <c r="I81" s="442"/>
      <c r="J81" s="793">
        <f>+B81-D81-H81</f>
        <v>0</v>
      </c>
    </row>
    <row r="82" spans="1:13" ht="12.75" thickBot="1">
      <c r="A82" s="738" t="s">
        <v>612</v>
      </c>
      <c r="B82" s="316">
        <f>+B81</f>
        <v>0</v>
      </c>
      <c r="C82" s="1052" t="s">
        <v>19</v>
      </c>
      <c r="D82" s="318">
        <f t="shared" ref="D82:J82" si="44">+D81</f>
        <v>0</v>
      </c>
      <c r="E82" s="317">
        <f t="shared" si="44"/>
        <v>0</v>
      </c>
      <c r="F82" s="318">
        <f t="shared" si="44"/>
        <v>0</v>
      </c>
      <c r="G82" s="318">
        <f t="shared" si="44"/>
        <v>0</v>
      </c>
      <c r="H82" s="321">
        <f t="shared" si="44"/>
        <v>0</v>
      </c>
      <c r="I82" s="447">
        <f t="shared" si="44"/>
        <v>0</v>
      </c>
      <c r="J82" s="299">
        <f t="shared" si="44"/>
        <v>0</v>
      </c>
    </row>
    <row r="83" spans="1:13">
      <c r="A83" s="736" t="s">
        <v>613</v>
      </c>
      <c r="B83" s="458"/>
      <c r="C83" s="742"/>
      <c r="D83" s="444"/>
      <c r="E83" s="1393"/>
      <c r="F83" s="444"/>
      <c r="G83" s="444"/>
      <c r="H83" s="1397"/>
      <c r="I83" s="443"/>
      <c r="J83" s="792"/>
    </row>
    <row r="84" spans="1:13" ht="12.75" thickBot="1">
      <c r="A84" s="737" t="s">
        <v>19</v>
      </c>
      <c r="B84" s="282"/>
      <c r="C84" s="743"/>
      <c r="D84" s="307"/>
      <c r="E84" s="306"/>
      <c r="F84" s="307"/>
      <c r="G84" s="307"/>
      <c r="H84" s="309">
        <f>+F84+G84</f>
        <v>0</v>
      </c>
      <c r="I84" s="442"/>
      <c r="J84" s="793">
        <f>+B84-D84-H84</f>
        <v>0</v>
      </c>
    </row>
    <row r="85" spans="1:13" ht="12.75" thickBot="1">
      <c r="A85" s="738" t="s">
        <v>614</v>
      </c>
      <c r="B85" s="316">
        <f>+B84</f>
        <v>0</v>
      </c>
      <c r="C85" s="1052" t="s">
        <v>19</v>
      </c>
      <c r="D85" s="318">
        <f t="shared" ref="D85:J85" si="45">+D84</f>
        <v>0</v>
      </c>
      <c r="E85" s="317">
        <f t="shared" si="45"/>
        <v>0</v>
      </c>
      <c r="F85" s="318">
        <f t="shared" si="45"/>
        <v>0</v>
      </c>
      <c r="G85" s="318">
        <f t="shared" si="45"/>
        <v>0</v>
      </c>
      <c r="H85" s="321">
        <f t="shared" si="45"/>
        <v>0</v>
      </c>
      <c r="I85" s="447">
        <f t="shared" si="45"/>
        <v>0</v>
      </c>
      <c r="J85" s="299">
        <f t="shared" si="45"/>
        <v>0</v>
      </c>
    </row>
    <row r="86" spans="1:13">
      <c r="A86" s="736" t="s">
        <v>865</v>
      </c>
      <c r="B86" s="458"/>
      <c r="C86" s="742"/>
      <c r="D86" s="444"/>
      <c r="E86" s="1393"/>
      <c r="F86" s="444"/>
      <c r="G86" s="444"/>
      <c r="H86" s="1397"/>
      <c r="I86" s="443"/>
      <c r="J86" s="792"/>
    </row>
    <row r="87" spans="1:13" ht="12.75" thickBot="1">
      <c r="A87" s="737" t="s">
        <v>19</v>
      </c>
      <c r="B87" s="282"/>
      <c r="C87" s="743"/>
      <c r="D87" s="307"/>
      <c r="E87" s="306"/>
      <c r="F87" s="307"/>
      <c r="G87" s="307"/>
      <c r="H87" s="309">
        <f>+F87+G87</f>
        <v>0</v>
      </c>
      <c r="I87" s="442"/>
      <c r="J87" s="793">
        <f>+B87-D87-H87</f>
        <v>0</v>
      </c>
    </row>
    <row r="88" spans="1:13" ht="12.75" thickBot="1">
      <c r="A88" s="738" t="s">
        <v>866</v>
      </c>
      <c r="B88" s="316">
        <f>+B87</f>
        <v>0</v>
      </c>
      <c r="C88" s="1052" t="s">
        <v>19</v>
      </c>
      <c r="D88" s="318">
        <f t="shared" ref="D88:J88" si="46">+D87</f>
        <v>0</v>
      </c>
      <c r="E88" s="317">
        <f t="shared" si="46"/>
        <v>0</v>
      </c>
      <c r="F88" s="318">
        <f t="shared" si="46"/>
        <v>0</v>
      </c>
      <c r="G88" s="318">
        <f t="shared" si="46"/>
        <v>0</v>
      </c>
      <c r="H88" s="321">
        <f t="shared" si="46"/>
        <v>0</v>
      </c>
      <c r="I88" s="447">
        <f t="shared" si="46"/>
        <v>0</v>
      </c>
      <c r="J88" s="299">
        <f t="shared" si="46"/>
        <v>0</v>
      </c>
    </row>
    <row r="89" spans="1:13">
      <c r="A89" s="736" t="s">
        <v>1278</v>
      </c>
      <c r="B89" s="458"/>
      <c r="C89" s="742"/>
      <c r="D89" s="444"/>
      <c r="E89" s="1393"/>
      <c r="F89" s="444"/>
      <c r="G89" s="444"/>
      <c r="H89" s="1397"/>
      <c r="I89" s="443"/>
      <c r="J89" s="792"/>
    </row>
    <row r="90" spans="1:13" ht="12.75" thickBot="1">
      <c r="A90" s="737" t="s">
        <v>19</v>
      </c>
      <c r="B90" s="282"/>
      <c r="C90" s="743"/>
      <c r="D90" s="307"/>
      <c r="E90" s="306"/>
      <c r="F90" s="307"/>
      <c r="G90" s="307"/>
      <c r="H90" s="309">
        <f>+F90+G90</f>
        <v>0</v>
      </c>
      <c r="I90" s="442"/>
      <c r="J90" s="793">
        <f>+B90-D90-H90</f>
        <v>0</v>
      </c>
    </row>
    <row r="91" spans="1:13" ht="12.75" thickBot="1">
      <c r="A91" s="738" t="s">
        <v>1279</v>
      </c>
      <c r="B91" s="316">
        <f>+B90</f>
        <v>0</v>
      </c>
      <c r="C91" s="1052" t="s">
        <v>19</v>
      </c>
      <c r="D91" s="318">
        <f t="shared" ref="D91:J91" si="47">+D90</f>
        <v>0</v>
      </c>
      <c r="E91" s="317">
        <f t="shared" si="47"/>
        <v>0</v>
      </c>
      <c r="F91" s="318">
        <f t="shared" si="47"/>
        <v>0</v>
      </c>
      <c r="G91" s="318">
        <f t="shared" si="47"/>
        <v>0</v>
      </c>
      <c r="H91" s="321">
        <f t="shared" si="47"/>
        <v>0</v>
      </c>
      <c r="I91" s="447">
        <f t="shared" si="47"/>
        <v>0</v>
      </c>
      <c r="J91" s="299">
        <f t="shared" si="47"/>
        <v>0</v>
      </c>
    </row>
    <row r="92" spans="1:13">
      <c r="A92" s="739" t="s">
        <v>954</v>
      </c>
      <c r="B92" s="459"/>
      <c r="C92" s="744"/>
      <c r="D92" s="448"/>
      <c r="E92" s="281"/>
      <c r="F92" s="448"/>
      <c r="G92" s="448"/>
      <c r="H92" s="305"/>
      <c r="I92" s="449"/>
      <c r="J92" s="794"/>
    </row>
    <row r="93" spans="1:13" ht="12.75" thickBot="1">
      <c r="A93" s="737" t="s">
        <v>19</v>
      </c>
      <c r="B93" s="282"/>
      <c r="C93" s="743"/>
      <c r="D93" s="307"/>
      <c r="E93" s="306"/>
      <c r="F93" s="307"/>
      <c r="G93" s="307"/>
      <c r="H93" s="309">
        <f>+F93+G93</f>
        <v>0</v>
      </c>
      <c r="I93" s="442"/>
      <c r="J93" s="793">
        <f>+B93-D93-H93</f>
        <v>0</v>
      </c>
    </row>
    <row r="94" spans="1:13" ht="12.75" thickBot="1">
      <c r="A94" s="738" t="s">
        <v>955</v>
      </c>
      <c r="B94" s="316">
        <f>+B93</f>
        <v>0</v>
      </c>
      <c r="C94" s="1052" t="s">
        <v>19</v>
      </c>
      <c r="D94" s="318">
        <f t="shared" ref="D94:J94" si="48">+D93</f>
        <v>0</v>
      </c>
      <c r="E94" s="317">
        <f t="shared" si="48"/>
        <v>0</v>
      </c>
      <c r="F94" s="318">
        <f t="shared" si="48"/>
        <v>0</v>
      </c>
      <c r="G94" s="318">
        <f t="shared" si="48"/>
        <v>0</v>
      </c>
      <c r="H94" s="321">
        <f t="shared" si="48"/>
        <v>0</v>
      </c>
      <c r="I94" s="447">
        <f t="shared" si="48"/>
        <v>0</v>
      </c>
      <c r="J94" s="299">
        <f t="shared" si="48"/>
        <v>0</v>
      </c>
      <c r="L94" s="603">
        <f>+'1.mell._Össz_Mérleg2020'!F170</f>
        <v>0</v>
      </c>
      <c r="M94" s="603">
        <f>+H94-L94</f>
        <v>0</v>
      </c>
    </row>
    <row r="95" spans="1:13" ht="12.75" thickBot="1">
      <c r="A95" s="740"/>
      <c r="B95" s="460"/>
      <c r="C95" s="745"/>
      <c r="D95" s="450"/>
      <c r="E95" s="1394"/>
      <c r="F95" s="450"/>
      <c r="G95" s="450"/>
      <c r="H95" s="1398"/>
      <c r="I95" s="451"/>
      <c r="J95" s="795"/>
    </row>
    <row r="96" spans="1:13" ht="12.75" thickBot="1">
      <c r="A96" s="741" t="s">
        <v>619</v>
      </c>
      <c r="B96" s="461">
        <f>+B76+B79+B82+B85+B88+B91+B94</f>
        <v>19162</v>
      </c>
      <c r="C96" s="1052" t="s">
        <v>19</v>
      </c>
      <c r="D96" s="452">
        <f t="shared" ref="D96:J96" si="49">+D76+D79+D82+D85+D88+D91+D94</f>
        <v>0</v>
      </c>
      <c r="E96" s="1395">
        <f t="shared" si="49"/>
        <v>0</v>
      </c>
      <c r="F96" s="452">
        <f t="shared" ref="F96:G96" si="50">+F76+F79+F82+F85+F88+F91+F94</f>
        <v>0</v>
      </c>
      <c r="G96" s="452">
        <f t="shared" si="50"/>
        <v>19162</v>
      </c>
      <c r="H96" s="796">
        <f t="shared" si="49"/>
        <v>19162</v>
      </c>
      <c r="I96" s="453">
        <f t="shared" si="49"/>
        <v>0</v>
      </c>
      <c r="J96" s="796">
        <f t="shared" si="49"/>
        <v>0</v>
      </c>
      <c r="L96" s="603">
        <f>+'1.mell._Össz_Mérleg2020'!F165</f>
        <v>19162</v>
      </c>
      <c r="M96" s="603">
        <f>+H96-L96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K37"/>
  <sheetViews>
    <sheetView zoomScaleNormal="100" workbookViewId="0"/>
  </sheetViews>
  <sheetFormatPr defaultColWidth="9.140625" defaultRowHeight="12"/>
  <cols>
    <col min="1" max="1" width="4.85546875" style="1078" bestFit="1" customWidth="1"/>
    <col min="2" max="2" width="57.5703125" style="441" bestFit="1" customWidth="1"/>
    <col min="3" max="3" width="30.85546875" style="441" bestFit="1" customWidth="1"/>
    <col min="4" max="7" width="13.140625" style="441" bestFit="1" customWidth="1"/>
    <col min="8" max="8" width="9.140625" style="441"/>
    <col min="9" max="10" width="9.140625" style="441" hidden="1" customWidth="1"/>
    <col min="11" max="16384" width="9.140625" style="441"/>
  </cols>
  <sheetData>
    <row r="1" spans="1:11" s="590" customFormat="1" ht="15.75">
      <c r="A1" s="1054"/>
      <c r="B1" s="589"/>
      <c r="C1" s="589"/>
      <c r="D1" s="189"/>
      <c r="E1" s="189"/>
      <c r="F1" s="189"/>
      <c r="G1" s="189" t="s">
        <v>780</v>
      </c>
    </row>
    <row r="2" spans="1:11" s="590" customFormat="1" ht="15.75">
      <c r="A2" s="1054"/>
      <c r="B2" s="589"/>
      <c r="C2" s="589"/>
      <c r="D2" s="189"/>
      <c r="E2" s="189"/>
      <c r="F2" s="189"/>
      <c r="G2" s="189"/>
    </row>
    <row r="3" spans="1:11" s="590" customFormat="1" ht="15.75" customHeight="1">
      <c r="A3" s="1534" t="s">
        <v>353</v>
      </c>
      <c r="B3" s="1534"/>
      <c r="C3" s="1534"/>
      <c r="D3" s="1534"/>
      <c r="E3" s="1534"/>
      <c r="F3" s="1534"/>
      <c r="G3" s="1534"/>
      <c r="H3" s="455"/>
      <c r="I3" s="455"/>
      <c r="J3" s="455"/>
    </row>
    <row r="4" spans="1:11" s="885" customFormat="1" ht="15.75">
      <c r="A4" s="1539" t="s">
        <v>1493</v>
      </c>
      <c r="B4" s="1539"/>
      <c r="C4" s="1539"/>
      <c r="D4" s="1539"/>
      <c r="E4" s="1539"/>
      <c r="F4" s="1539"/>
      <c r="G4" s="1539"/>
    </row>
    <row r="5" spans="1:11" ht="12.75" thickBot="1">
      <c r="A5" s="1055"/>
      <c r="B5" s="1055"/>
      <c r="C5" s="1055"/>
      <c r="D5" s="351"/>
      <c r="E5" s="351"/>
      <c r="F5" s="351"/>
      <c r="G5" s="351" t="s">
        <v>457</v>
      </c>
    </row>
    <row r="6" spans="1:11" ht="36.75" thickBot="1">
      <c r="A6" s="437" t="s">
        <v>8</v>
      </c>
      <c r="B6" s="1056" t="s">
        <v>621</v>
      </c>
      <c r="C6" s="1057" t="s">
        <v>622</v>
      </c>
      <c r="D6" s="405" t="s">
        <v>1586</v>
      </c>
      <c r="E6" s="1368" t="s">
        <v>1587</v>
      </c>
      <c r="F6" s="1368" t="s">
        <v>1658</v>
      </c>
      <c r="G6" s="7" t="s">
        <v>1659</v>
      </c>
    </row>
    <row r="7" spans="1:11" s="1061" customFormat="1">
      <c r="A7" s="1058"/>
      <c r="B7" s="1059" t="s">
        <v>0</v>
      </c>
      <c r="C7" s="1060"/>
      <c r="D7" s="1402"/>
      <c r="E7" s="1411"/>
      <c r="F7" s="1411"/>
      <c r="G7" s="1407"/>
    </row>
    <row r="8" spans="1:11">
      <c r="A8" s="952" t="s">
        <v>4</v>
      </c>
      <c r="B8" s="467" t="s">
        <v>623</v>
      </c>
      <c r="C8" s="1062" t="s">
        <v>624</v>
      </c>
      <c r="D8" s="1304">
        <f>1000-500</f>
        <v>500</v>
      </c>
      <c r="E8" s="211">
        <f>1000-500</f>
        <v>500</v>
      </c>
      <c r="F8" s="211"/>
      <c r="G8" s="1308">
        <f>+E8+F8</f>
        <v>500</v>
      </c>
    </row>
    <row r="9" spans="1:11" ht="12.75" thickBot="1">
      <c r="A9" s="1063" t="s">
        <v>5</v>
      </c>
      <c r="B9" s="1064" t="s">
        <v>1064</v>
      </c>
      <c r="C9" s="1062" t="s">
        <v>624</v>
      </c>
      <c r="D9" s="1310">
        <f>12*736</f>
        <v>8832</v>
      </c>
      <c r="E9" s="223">
        <f>12*736</f>
        <v>8832</v>
      </c>
      <c r="F9" s="223"/>
      <c r="G9" s="1311">
        <f>+E9+F9</f>
        <v>8832</v>
      </c>
    </row>
    <row r="10" spans="1:11" s="801" customFormat="1" ht="12.75" thickBot="1">
      <c r="A10" s="1065" t="s">
        <v>23</v>
      </c>
      <c r="B10" s="1066" t="s">
        <v>628</v>
      </c>
      <c r="C10" s="1067"/>
      <c r="D10" s="1305">
        <f>SUM(D8:D9)</f>
        <v>9332</v>
      </c>
      <c r="E10" s="213">
        <f>SUM(E8:E9)</f>
        <v>9332</v>
      </c>
      <c r="F10" s="213">
        <f>SUM(F8:F9)</f>
        <v>0</v>
      </c>
      <c r="G10" s="1309">
        <f>SUM(G8:G9)</f>
        <v>9332</v>
      </c>
      <c r="I10" s="603">
        <f>+'1.mell._Össz_Mérleg2020'!F138</f>
        <v>9332</v>
      </c>
      <c r="J10" s="603">
        <f>+G10-I10</f>
        <v>0</v>
      </c>
      <c r="K10" s="441"/>
    </row>
    <row r="11" spans="1:11" s="801" customFormat="1">
      <c r="A11" s="1068"/>
      <c r="B11" s="1069"/>
      <c r="C11" s="1070"/>
      <c r="D11" s="1403"/>
      <c r="E11" s="1412"/>
      <c r="F11" s="1412"/>
      <c r="G11" s="1408"/>
      <c r="I11" s="441"/>
      <c r="J11" s="441"/>
      <c r="K11" s="441"/>
    </row>
    <row r="12" spans="1:11">
      <c r="A12" s="1071"/>
      <c r="B12" s="1072" t="s">
        <v>1</v>
      </c>
      <c r="C12" s="1073"/>
      <c r="D12" s="1404"/>
      <c r="E12" s="897"/>
      <c r="F12" s="897"/>
      <c r="G12" s="894"/>
    </row>
    <row r="13" spans="1:11">
      <c r="A13" s="952" t="s">
        <v>4</v>
      </c>
      <c r="B13" s="467" t="s">
        <v>625</v>
      </c>
      <c r="C13" s="1062" t="s">
        <v>624</v>
      </c>
      <c r="D13" s="1304">
        <f>5000*1.1-3000</f>
        <v>2500</v>
      </c>
      <c r="E13" s="211">
        <f>5000*1.1-3000</f>
        <v>2500</v>
      </c>
      <c r="F13" s="211"/>
      <c r="G13" s="1308">
        <f t="shared" ref="G13:G23" si="0">+E13+F13</f>
        <v>2500</v>
      </c>
    </row>
    <row r="14" spans="1:11">
      <c r="A14" s="952" t="s">
        <v>5</v>
      </c>
      <c r="B14" s="467" t="s">
        <v>626</v>
      </c>
      <c r="C14" s="1062" t="s">
        <v>624</v>
      </c>
      <c r="D14" s="1304">
        <f>10650*1.1+1285</f>
        <v>13000.000000000002</v>
      </c>
      <c r="E14" s="211">
        <f>10650*1.1+1285-2000</f>
        <v>11000.000000000002</v>
      </c>
      <c r="F14" s="211"/>
      <c r="G14" s="1308">
        <f t="shared" si="0"/>
        <v>11000.000000000002</v>
      </c>
    </row>
    <row r="15" spans="1:11">
      <c r="A15" s="952" t="s">
        <v>6</v>
      </c>
      <c r="B15" s="467" t="s">
        <v>1164</v>
      </c>
      <c r="C15" s="1062" t="s">
        <v>624</v>
      </c>
      <c r="D15" s="1304">
        <f>350-150+150</f>
        <v>350</v>
      </c>
      <c r="E15" s="211">
        <f>350-150+150</f>
        <v>350</v>
      </c>
      <c r="F15" s="211"/>
      <c r="G15" s="1308">
        <f t="shared" si="0"/>
        <v>350</v>
      </c>
    </row>
    <row r="16" spans="1:11">
      <c r="A16" s="952" t="s">
        <v>3</v>
      </c>
      <c r="B16" s="467" t="s">
        <v>1553</v>
      </c>
      <c r="C16" s="1062" t="s">
        <v>624</v>
      </c>
      <c r="D16" s="1304">
        <f>0+1000</f>
        <v>1000</v>
      </c>
      <c r="E16" s="211">
        <f>0+1000</f>
        <v>1000</v>
      </c>
      <c r="F16" s="211"/>
      <c r="G16" s="1308">
        <f t="shared" si="0"/>
        <v>1000</v>
      </c>
    </row>
    <row r="17" spans="1:11">
      <c r="A17" s="952" t="s">
        <v>16</v>
      </c>
      <c r="B17" s="467" t="s">
        <v>980</v>
      </c>
      <c r="C17" s="1062" t="s">
        <v>624</v>
      </c>
      <c r="D17" s="1304">
        <f>15000+10000</f>
        <v>25000</v>
      </c>
      <c r="E17" s="211">
        <f>15000+10000</f>
        <v>25000</v>
      </c>
      <c r="F17" s="211"/>
      <c r="G17" s="1308">
        <f t="shared" si="0"/>
        <v>25000</v>
      </c>
    </row>
    <row r="18" spans="1:11">
      <c r="A18" s="952" t="s">
        <v>15</v>
      </c>
      <c r="B18" s="467" t="s">
        <v>1065</v>
      </c>
      <c r="C18" s="1062" t="s">
        <v>624</v>
      </c>
      <c r="D18" s="1304">
        <f>11000-3000</f>
        <v>8000</v>
      </c>
      <c r="E18" s="211">
        <f>11000-3000</f>
        <v>8000</v>
      </c>
      <c r="F18" s="211"/>
      <c r="G18" s="1308">
        <f t="shared" si="0"/>
        <v>8000</v>
      </c>
    </row>
    <row r="19" spans="1:11">
      <c r="A19" s="952" t="s">
        <v>14</v>
      </c>
      <c r="B19" s="467" t="s">
        <v>1169</v>
      </c>
      <c r="C19" s="1062" t="s">
        <v>624</v>
      </c>
      <c r="D19" s="1304">
        <v>400</v>
      </c>
      <c r="E19" s="211">
        <v>400</v>
      </c>
      <c r="F19" s="211"/>
      <c r="G19" s="1308">
        <f t="shared" si="0"/>
        <v>400</v>
      </c>
    </row>
    <row r="20" spans="1:11">
      <c r="A20" s="952" t="s">
        <v>13</v>
      </c>
      <c r="B20" s="467" t="s">
        <v>1167</v>
      </c>
      <c r="C20" s="1062" t="s">
        <v>1168</v>
      </c>
      <c r="D20" s="1304">
        <v>200</v>
      </c>
      <c r="E20" s="211">
        <v>200</v>
      </c>
      <c r="F20" s="211"/>
      <c r="G20" s="1308">
        <f t="shared" si="0"/>
        <v>200</v>
      </c>
    </row>
    <row r="21" spans="1:11">
      <c r="A21" s="952" t="s">
        <v>12</v>
      </c>
      <c r="B21" s="467" t="s">
        <v>1218</v>
      </c>
      <c r="C21" s="1062" t="s">
        <v>624</v>
      </c>
      <c r="D21" s="1304">
        <v>100</v>
      </c>
      <c r="E21" s="211">
        <v>100</v>
      </c>
      <c r="F21" s="211"/>
      <c r="G21" s="1308">
        <f t="shared" si="0"/>
        <v>100</v>
      </c>
    </row>
    <row r="22" spans="1:11">
      <c r="A22" s="952" t="s">
        <v>11</v>
      </c>
      <c r="B22" s="467" t="s">
        <v>1345</v>
      </c>
      <c r="C22" s="1062" t="s">
        <v>624</v>
      </c>
      <c r="D22" s="1304">
        <v>500</v>
      </c>
      <c r="E22" s="211">
        <v>500</v>
      </c>
      <c r="F22" s="211"/>
      <c r="G22" s="1308">
        <f t="shared" si="0"/>
        <v>500</v>
      </c>
    </row>
    <row r="23" spans="1:11">
      <c r="A23" s="952" t="s">
        <v>10</v>
      </c>
      <c r="B23" s="467" t="s">
        <v>1349</v>
      </c>
      <c r="C23" s="1062" t="s">
        <v>624</v>
      </c>
      <c r="D23" s="1304">
        <f>0+300</f>
        <v>300</v>
      </c>
      <c r="E23" s="211">
        <f>0+300</f>
        <v>300</v>
      </c>
      <c r="F23" s="211"/>
      <c r="G23" s="1308">
        <f t="shared" si="0"/>
        <v>300</v>
      </c>
    </row>
    <row r="24" spans="1:11">
      <c r="A24" s="952" t="s">
        <v>9</v>
      </c>
      <c r="B24" s="467" t="s">
        <v>1607</v>
      </c>
      <c r="C24" s="1062" t="s">
        <v>624</v>
      </c>
      <c r="D24" s="1304"/>
      <c r="E24" s="211">
        <v>1000</v>
      </c>
      <c r="F24" s="211"/>
      <c r="G24" s="1308">
        <f t="shared" ref="G24:G25" si="1">+E24+F24</f>
        <v>1000</v>
      </c>
    </row>
    <row r="25" spans="1:11">
      <c r="A25" s="952" t="s">
        <v>45</v>
      </c>
      <c r="B25" s="467" t="s">
        <v>1608</v>
      </c>
      <c r="C25" s="1062" t="s">
        <v>624</v>
      </c>
      <c r="D25" s="1304"/>
      <c r="E25" s="211">
        <v>1000</v>
      </c>
      <c r="F25" s="211"/>
      <c r="G25" s="1308">
        <f t="shared" si="1"/>
        <v>1000</v>
      </c>
    </row>
    <row r="26" spans="1:11" ht="12.75" thickBot="1">
      <c r="A26" s="1063" t="s">
        <v>44</v>
      </c>
      <c r="B26" s="1064" t="s">
        <v>1626</v>
      </c>
      <c r="C26" s="1062" t="s">
        <v>624</v>
      </c>
      <c r="D26" s="1310"/>
      <c r="E26" s="223">
        <f>0+806</f>
        <v>806</v>
      </c>
      <c r="F26" s="223"/>
      <c r="G26" s="1311">
        <f>+E26+F26</f>
        <v>806</v>
      </c>
    </row>
    <row r="27" spans="1:11" ht="12.75" thickBot="1">
      <c r="A27" s="430" t="s">
        <v>22</v>
      </c>
      <c r="B27" s="1066" t="s">
        <v>627</v>
      </c>
      <c r="C27" s="1067"/>
      <c r="D27" s="1305">
        <f>SUM(D13:D26)</f>
        <v>51350</v>
      </c>
      <c r="E27" s="213">
        <f>SUM(E13:E26)</f>
        <v>52156</v>
      </c>
      <c r="F27" s="213">
        <f>SUM(F13:F26)</f>
        <v>0</v>
      </c>
      <c r="G27" s="1309">
        <f>SUM(G13:G26)</f>
        <v>52156</v>
      </c>
      <c r="I27" s="603">
        <f>+'1.mell._Össz_Mérleg2020'!F145</f>
        <v>52156</v>
      </c>
      <c r="J27" s="603">
        <f>+G27-I27</f>
        <v>0</v>
      </c>
    </row>
    <row r="28" spans="1:11" s="801" customFormat="1">
      <c r="A28" s="1068"/>
      <c r="B28" s="1069"/>
      <c r="C28" s="1070"/>
      <c r="D28" s="1403"/>
      <c r="E28" s="1412"/>
      <c r="F28" s="1412"/>
      <c r="G28" s="1408"/>
      <c r="I28" s="441"/>
      <c r="J28" s="441"/>
      <c r="K28" s="441"/>
    </row>
    <row r="29" spans="1:11">
      <c r="A29" s="1058"/>
      <c r="B29" s="1059" t="s">
        <v>2</v>
      </c>
      <c r="C29" s="1074"/>
      <c r="D29" s="1405"/>
      <c r="E29" s="1413"/>
      <c r="F29" s="1413"/>
      <c r="G29" s="1409"/>
    </row>
    <row r="30" spans="1:11" ht="12.75" thickBot="1">
      <c r="A30" s="1075" t="s">
        <v>4</v>
      </c>
      <c r="B30" s="852" t="s">
        <v>19</v>
      </c>
      <c r="C30" s="1062"/>
      <c r="D30" s="1304"/>
      <c r="E30" s="211"/>
      <c r="F30" s="211"/>
      <c r="G30" s="1308">
        <f>+E30+F30</f>
        <v>0</v>
      </c>
    </row>
    <row r="31" spans="1:11" ht="12.75" thickBot="1">
      <c r="A31" s="1065" t="s">
        <v>21</v>
      </c>
      <c r="B31" s="1066" t="s">
        <v>629</v>
      </c>
      <c r="C31" s="1067"/>
      <c r="D31" s="1305">
        <f>SUM(D30)</f>
        <v>0</v>
      </c>
      <c r="E31" s="213">
        <f>SUM(E30)</f>
        <v>0</v>
      </c>
      <c r="F31" s="213">
        <f>SUM(F30)</f>
        <v>0</v>
      </c>
      <c r="G31" s="1309">
        <f>SUM(G30)</f>
        <v>0</v>
      </c>
      <c r="I31" s="603">
        <f>+'1.mell._Össz_Mérleg2020'!F169</f>
        <v>0</v>
      </c>
      <c r="J31" s="603">
        <f>+G31-I31</f>
        <v>0</v>
      </c>
    </row>
    <row r="32" spans="1:11">
      <c r="A32" s="1076"/>
      <c r="B32" s="1069"/>
      <c r="C32" s="1070"/>
      <c r="D32" s="1403"/>
      <c r="E32" s="1412"/>
      <c r="F32" s="1412"/>
      <c r="G32" s="1408"/>
    </row>
    <row r="33" spans="1:10">
      <c r="A33" s="1071"/>
      <c r="B33" s="1072" t="s">
        <v>630</v>
      </c>
      <c r="C33" s="1073"/>
      <c r="D33" s="1404"/>
      <c r="E33" s="897"/>
      <c r="F33" s="897"/>
      <c r="G33" s="894"/>
    </row>
    <row r="34" spans="1:10" ht="12.75" thickBot="1">
      <c r="A34" s="1435" t="s">
        <v>4</v>
      </c>
      <c r="B34" s="852" t="s">
        <v>1656</v>
      </c>
      <c r="C34" s="1434" t="s">
        <v>1657</v>
      </c>
      <c r="D34" s="1406"/>
      <c r="E34" s="1414"/>
      <c r="F34" s="1414">
        <v>19162</v>
      </c>
      <c r="G34" s="1410">
        <f>+E34+F34</f>
        <v>19162</v>
      </c>
    </row>
    <row r="35" spans="1:10" ht="12.75" thickBot="1">
      <c r="A35" s="430" t="s">
        <v>20</v>
      </c>
      <c r="B35" s="1066" t="s">
        <v>631</v>
      </c>
      <c r="C35" s="1067"/>
      <c r="D35" s="1305">
        <f>SUM(D34)</f>
        <v>0</v>
      </c>
      <c r="E35" s="213">
        <f>SUM(E34)</f>
        <v>0</v>
      </c>
      <c r="F35" s="213">
        <f>SUM(F34)</f>
        <v>19162</v>
      </c>
      <c r="G35" s="1309">
        <f>SUM(G34)</f>
        <v>19162</v>
      </c>
      <c r="I35" s="603">
        <f>+'1.mell._Össz_Mérleg2020'!F175</f>
        <v>19162</v>
      </c>
      <c r="J35" s="603">
        <f>+G35-I35</f>
        <v>0</v>
      </c>
    </row>
    <row r="37" spans="1:10">
      <c r="A37" s="1077" t="s">
        <v>1170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7"/>
  <sheetViews>
    <sheetView zoomScaleNormal="100" workbookViewId="0"/>
  </sheetViews>
  <sheetFormatPr defaultColWidth="10.5703125" defaultRowHeight="12"/>
  <cols>
    <col min="1" max="1" width="5.42578125" style="531" bestFit="1" customWidth="1"/>
    <col min="2" max="2" width="3.7109375" style="830" hidden="1" customWidth="1"/>
    <col min="3" max="3" width="7.85546875" style="923" customWidth="1"/>
    <col min="4" max="4" width="78.42578125" style="480" customWidth="1"/>
    <col min="5" max="5" width="10.5703125" style="918" hidden="1" customWidth="1"/>
    <col min="6" max="6" width="65.28515625" style="296" customWidth="1"/>
    <col min="7" max="10" width="10.85546875" style="481" customWidth="1"/>
    <col min="11" max="14" width="10.85546875" style="482" customWidth="1"/>
    <col min="15" max="18" width="10.85546875" style="296" customWidth="1"/>
    <col min="19" max="22" width="11.42578125" style="296" customWidth="1"/>
    <col min="23" max="26" width="10.85546875" style="296" customWidth="1"/>
    <col min="27" max="30" width="11.28515625" style="296" customWidth="1"/>
    <col min="31" max="34" width="10.85546875" style="481" customWidth="1"/>
    <col min="35" max="42" width="10.85546875" style="296" customWidth="1"/>
    <col min="43" max="46" width="11.28515625" style="296" customWidth="1"/>
    <col min="47" max="51" width="10.85546875" style="296" customWidth="1"/>
    <col min="52" max="16384" width="10.5703125" style="296"/>
  </cols>
  <sheetData>
    <row r="1" spans="1:51" s="294" customFormat="1" ht="15.75">
      <c r="A1" s="530"/>
      <c r="B1" s="829"/>
      <c r="C1" s="922"/>
      <c r="D1" s="523"/>
      <c r="E1" s="917"/>
      <c r="G1" s="470"/>
      <c r="H1" s="470"/>
      <c r="I1" s="470"/>
      <c r="J1" s="470"/>
      <c r="K1" s="524"/>
      <c r="L1" s="524"/>
      <c r="M1" s="524"/>
      <c r="N1" s="524"/>
      <c r="AE1" s="470"/>
      <c r="AF1" s="470"/>
      <c r="AG1" s="470"/>
      <c r="AH1" s="470"/>
      <c r="AU1" s="189"/>
      <c r="AV1" s="189"/>
      <c r="AW1" s="189"/>
      <c r="AX1" s="189" t="s">
        <v>742</v>
      </c>
      <c r="AY1" s="189"/>
    </row>
    <row r="2" spans="1:51" s="294" customFormat="1" ht="15.75">
      <c r="A2" s="530"/>
      <c r="B2" s="829"/>
      <c r="C2" s="922"/>
      <c r="D2" s="523"/>
      <c r="E2" s="917"/>
      <c r="G2" s="470"/>
      <c r="H2" s="470"/>
      <c r="I2" s="470"/>
      <c r="J2" s="470"/>
      <c r="K2" s="524"/>
      <c r="L2" s="524"/>
      <c r="M2" s="524"/>
      <c r="N2" s="524"/>
      <c r="AA2" s="471"/>
      <c r="AB2" s="471"/>
      <c r="AC2" s="471"/>
      <c r="AD2" s="471"/>
      <c r="AE2" s="470"/>
      <c r="AF2" s="470"/>
      <c r="AG2" s="470"/>
      <c r="AH2" s="470"/>
      <c r="AQ2" s="471"/>
      <c r="AR2" s="471"/>
      <c r="AS2" s="471"/>
      <c r="AT2" s="471"/>
      <c r="AU2" s="471"/>
      <c r="AV2" s="471"/>
      <c r="AW2" s="471"/>
      <c r="AX2" s="471"/>
      <c r="AY2" s="471"/>
    </row>
    <row r="3" spans="1:51" s="294" customFormat="1" ht="15.75">
      <c r="A3" s="1474" t="s">
        <v>768</v>
      </c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4"/>
      <c r="Q3" s="1474"/>
      <c r="R3" s="1474"/>
      <c r="S3" s="1474"/>
      <c r="T3" s="1474"/>
      <c r="U3" s="1474"/>
      <c r="V3" s="1474"/>
      <c r="W3" s="1474"/>
      <c r="X3" s="1474"/>
      <c r="Y3" s="1474"/>
      <c r="Z3" s="1474"/>
      <c r="AA3" s="1474"/>
      <c r="AB3" s="1474"/>
      <c r="AC3" s="1474"/>
      <c r="AD3" s="1474"/>
      <c r="AE3" s="1474"/>
      <c r="AF3" s="1474"/>
      <c r="AG3" s="1474"/>
      <c r="AH3" s="1474"/>
      <c r="AI3" s="1474"/>
      <c r="AJ3" s="1474"/>
      <c r="AK3" s="1474"/>
      <c r="AL3" s="1474"/>
      <c r="AM3" s="1474"/>
      <c r="AN3" s="1474"/>
      <c r="AO3" s="1474"/>
      <c r="AP3" s="1474"/>
      <c r="AQ3" s="1474"/>
      <c r="AR3" s="1474"/>
      <c r="AS3" s="1474"/>
      <c r="AT3" s="1474"/>
      <c r="AU3" s="1474"/>
      <c r="AV3" s="1474"/>
      <c r="AW3" s="1474"/>
      <c r="AX3" s="1474"/>
      <c r="AY3" s="811"/>
    </row>
    <row r="4" spans="1:51" ht="12.75" thickBot="1">
      <c r="AA4" s="239"/>
      <c r="AB4" s="239"/>
      <c r="AC4" s="239"/>
      <c r="AD4" s="239"/>
      <c r="AQ4" s="239"/>
      <c r="AR4" s="239"/>
      <c r="AS4" s="239"/>
      <c r="AT4" s="239" t="s">
        <v>457</v>
      </c>
      <c r="AU4" s="483"/>
      <c r="AV4" s="483"/>
      <c r="AW4" s="483"/>
      <c r="AX4" s="483"/>
      <c r="AY4" s="483"/>
    </row>
    <row r="5" spans="1:51" s="485" customFormat="1" ht="12.75" customHeight="1" thickBot="1">
      <c r="A5" s="1543" t="s">
        <v>17</v>
      </c>
      <c r="B5" s="1570" t="s">
        <v>1041</v>
      </c>
      <c r="C5" s="1561" t="s">
        <v>761</v>
      </c>
      <c r="D5" s="1564" t="s">
        <v>760</v>
      </c>
      <c r="E5" s="1546" t="s">
        <v>744</v>
      </c>
      <c r="F5" s="1567" t="s">
        <v>743</v>
      </c>
      <c r="G5" s="1573" t="s">
        <v>1427</v>
      </c>
      <c r="H5" s="1574"/>
      <c r="I5" s="1574"/>
      <c r="J5" s="1575"/>
      <c r="K5" s="1573" t="s">
        <v>1494</v>
      </c>
      <c r="L5" s="1574"/>
      <c r="M5" s="1574"/>
      <c r="N5" s="1575"/>
      <c r="O5" s="1549" t="s">
        <v>745</v>
      </c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1"/>
      <c r="AE5" s="1573" t="s">
        <v>1495</v>
      </c>
      <c r="AF5" s="1574"/>
      <c r="AG5" s="1574"/>
      <c r="AH5" s="1575"/>
      <c r="AI5" s="1549" t="s">
        <v>745</v>
      </c>
      <c r="AJ5" s="1550"/>
      <c r="AK5" s="1550"/>
      <c r="AL5" s="1550"/>
      <c r="AM5" s="1550"/>
      <c r="AN5" s="1550"/>
      <c r="AO5" s="1550"/>
      <c r="AP5" s="1550"/>
      <c r="AQ5" s="1550"/>
      <c r="AR5" s="1550"/>
      <c r="AS5" s="1550"/>
      <c r="AT5" s="1551"/>
      <c r="AU5" s="484"/>
      <c r="AV5" s="484"/>
      <c r="AW5" s="484"/>
      <c r="AX5" s="484"/>
      <c r="AY5" s="484"/>
    </row>
    <row r="6" spans="1:51" s="485" customFormat="1" ht="12.75" customHeight="1" thickBot="1">
      <c r="A6" s="1544"/>
      <c r="B6" s="1571"/>
      <c r="C6" s="1562"/>
      <c r="D6" s="1565"/>
      <c r="E6" s="1547"/>
      <c r="F6" s="1568"/>
      <c r="G6" s="1576"/>
      <c r="H6" s="1577"/>
      <c r="I6" s="1577"/>
      <c r="J6" s="1578"/>
      <c r="K6" s="1576"/>
      <c r="L6" s="1577"/>
      <c r="M6" s="1577"/>
      <c r="N6" s="1578"/>
      <c r="O6" s="1516" t="s">
        <v>762</v>
      </c>
      <c r="P6" s="1517"/>
      <c r="Q6" s="1517"/>
      <c r="R6" s="1518"/>
      <c r="S6" s="1516" t="s">
        <v>524</v>
      </c>
      <c r="T6" s="1517"/>
      <c r="U6" s="1517"/>
      <c r="V6" s="1518"/>
      <c r="W6" s="1516" t="s">
        <v>763</v>
      </c>
      <c r="X6" s="1517"/>
      <c r="Y6" s="1517"/>
      <c r="Z6" s="1518"/>
      <c r="AA6" s="1516" t="s">
        <v>764</v>
      </c>
      <c r="AB6" s="1517"/>
      <c r="AC6" s="1517"/>
      <c r="AD6" s="1518"/>
      <c r="AE6" s="1576"/>
      <c r="AF6" s="1577"/>
      <c r="AG6" s="1577"/>
      <c r="AH6" s="1578"/>
      <c r="AI6" s="1516" t="s">
        <v>531</v>
      </c>
      <c r="AJ6" s="1517"/>
      <c r="AK6" s="1517"/>
      <c r="AL6" s="1518"/>
      <c r="AM6" s="1516" t="s">
        <v>532</v>
      </c>
      <c r="AN6" s="1517"/>
      <c r="AO6" s="1517"/>
      <c r="AP6" s="1518"/>
      <c r="AQ6" s="1516" t="s">
        <v>533</v>
      </c>
      <c r="AR6" s="1517"/>
      <c r="AS6" s="1517"/>
      <c r="AT6" s="1518"/>
      <c r="AU6" s="484"/>
      <c r="AV6" s="484"/>
      <c r="AW6" s="484"/>
      <c r="AX6" s="484"/>
      <c r="AY6" s="484"/>
    </row>
    <row r="7" spans="1:51" s="485" customFormat="1" ht="36.75" thickBot="1">
      <c r="A7" s="1545"/>
      <c r="B7" s="1572"/>
      <c r="C7" s="1563"/>
      <c r="D7" s="1566"/>
      <c r="E7" s="1548"/>
      <c r="F7" s="1569"/>
      <c r="G7" s="1415" t="s">
        <v>1586</v>
      </c>
      <c r="H7" s="1416" t="s">
        <v>1587</v>
      </c>
      <c r="I7" s="1416" t="s">
        <v>1658</v>
      </c>
      <c r="J7" s="469" t="s">
        <v>1659</v>
      </c>
      <c r="K7" s="1415" t="s">
        <v>1586</v>
      </c>
      <c r="L7" s="1416" t="s">
        <v>1587</v>
      </c>
      <c r="M7" s="1416" t="s">
        <v>1658</v>
      </c>
      <c r="N7" s="469" t="s">
        <v>1659</v>
      </c>
      <c r="O7" s="1415" t="s">
        <v>1586</v>
      </c>
      <c r="P7" s="1416" t="s">
        <v>1587</v>
      </c>
      <c r="Q7" s="1416" t="s">
        <v>1658</v>
      </c>
      <c r="R7" s="469" t="s">
        <v>1659</v>
      </c>
      <c r="S7" s="1415" t="s">
        <v>1586</v>
      </c>
      <c r="T7" s="1416" t="s">
        <v>1587</v>
      </c>
      <c r="U7" s="1416" t="s">
        <v>1658</v>
      </c>
      <c r="V7" s="469" t="s">
        <v>1659</v>
      </c>
      <c r="W7" s="1415" t="s">
        <v>1586</v>
      </c>
      <c r="X7" s="1416" t="s">
        <v>1587</v>
      </c>
      <c r="Y7" s="1416" t="s">
        <v>1658</v>
      </c>
      <c r="Z7" s="469" t="s">
        <v>1659</v>
      </c>
      <c r="AA7" s="1415" t="s">
        <v>1586</v>
      </c>
      <c r="AB7" s="1416" t="s">
        <v>1587</v>
      </c>
      <c r="AC7" s="1416" t="s">
        <v>1658</v>
      </c>
      <c r="AD7" s="469" t="s">
        <v>1659</v>
      </c>
      <c r="AE7" s="1415" t="s">
        <v>1586</v>
      </c>
      <c r="AF7" s="1416" t="s">
        <v>1587</v>
      </c>
      <c r="AG7" s="1416" t="s">
        <v>1658</v>
      </c>
      <c r="AH7" s="469" t="s">
        <v>1659</v>
      </c>
      <c r="AI7" s="1415" t="s">
        <v>1586</v>
      </c>
      <c r="AJ7" s="1416" t="s">
        <v>1587</v>
      </c>
      <c r="AK7" s="1416" t="s">
        <v>1658</v>
      </c>
      <c r="AL7" s="469" t="s">
        <v>1659</v>
      </c>
      <c r="AM7" s="1415" t="s">
        <v>1586</v>
      </c>
      <c r="AN7" s="1416" t="s">
        <v>1587</v>
      </c>
      <c r="AO7" s="1416" t="s">
        <v>1658</v>
      </c>
      <c r="AP7" s="469" t="s">
        <v>1659</v>
      </c>
      <c r="AQ7" s="1415" t="s">
        <v>1586</v>
      </c>
      <c r="AR7" s="1416" t="s">
        <v>1587</v>
      </c>
      <c r="AS7" s="1416" t="s">
        <v>1658</v>
      </c>
      <c r="AT7" s="469" t="s">
        <v>1659</v>
      </c>
      <c r="AU7" s="486"/>
      <c r="AV7" s="486"/>
      <c r="AW7" s="486"/>
      <c r="AX7" s="486"/>
      <c r="AY7" s="486"/>
    </row>
    <row r="8" spans="1:51" s="485" customFormat="1">
      <c r="A8" s="532">
        <v>1</v>
      </c>
      <c r="B8" s="831">
        <v>1</v>
      </c>
      <c r="C8" s="991" t="s">
        <v>667</v>
      </c>
      <c r="D8" s="938" t="s">
        <v>666</v>
      </c>
      <c r="E8" s="992">
        <v>999000</v>
      </c>
      <c r="F8" s="939" t="s">
        <v>414</v>
      </c>
      <c r="G8" s="1417">
        <f t="shared" ref="G8:J80" si="0">+K8+AE8</f>
        <v>0</v>
      </c>
      <c r="H8" s="1418">
        <f t="shared" si="0"/>
        <v>0</v>
      </c>
      <c r="I8" s="1418">
        <f t="shared" si="0"/>
        <v>0</v>
      </c>
      <c r="J8" s="473">
        <f t="shared" si="0"/>
        <v>0</v>
      </c>
      <c r="K8" s="1417">
        <f t="shared" ref="K8:N80" si="1">+O8+S8+W8+AA8</f>
        <v>0</v>
      </c>
      <c r="L8" s="1418">
        <f t="shared" si="1"/>
        <v>0</v>
      </c>
      <c r="M8" s="1418">
        <f t="shared" si="1"/>
        <v>0</v>
      </c>
      <c r="N8" s="473">
        <f t="shared" si="1"/>
        <v>0</v>
      </c>
      <c r="O8" s="1011"/>
      <c r="P8" s="1012"/>
      <c r="Q8" s="1012"/>
      <c r="R8" s="1013">
        <f t="shared" ref="R8:R71" si="2">+P8+Q8</f>
        <v>0</v>
      </c>
      <c r="S8" s="1011"/>
      <c r="T8" s="1012"/>
      <c r="U8" s="1012"/>
      <c r="V8" s="1013">
        <f t="shared" ref="V8:V71" si="3">+T8+U8</f>
        <v>0</v>
      </c>
      <c r="W8" s="1011"/>
      <c r="X8" s="1012"/>
      <c r="Y8" s="1012"/>
      <c r="Z8" s="1013">
        <f t="shared" ref="Z8:Z71" si="4">+X8+Y8</f>
        <v>0</v>
      </c>
      <c r="AA8" s="1011"/>
      <c r="AB8" s="1012"/>
      <c r="AC8" s="1012"/>
      <c r="AD8" s="1013">
        <f t="shared" ref="AD8:AD71" si="5">+AB8+AC8</f>
        <v>0</v>
      </c>
      <c r="AE8" s="1417">
        <f>+AI8+AM8+AQ8</f>
        <v>0</v>
      </c>
      <c r="AF8" s="1418">
        <f>+AJ8+AN8+AR8</f>
        <v>0</v>
      </c>
      <c r="AG8" s="1418">
        <f>+AK8+AO8+AS8</f>
        <v>0</v>
      </c>
      <c r="AH8" s="473">
        <f>+AL8+AP8+AT8</f>
        <v>0</v>
      </c>
      <c r="AI8" s="1011"/>
      <c r="AJ8" s="1012"/>
      <c r="AK8" s="1012"/>
      <c r="AL8" s="1013">
        <f t="shared" ref="AL8:AL71" si="6">+AJ8+AK8</f>
        <v>0</v>
      </c>
      <c r="AM8" s="1011"/>
      <c r="AN8" s="1012"/>
      <c r="AO8" s="1012"/>
      <c r="AP8" s="1013">
        <f t="shared" ref="AP8:AP71" si="7">+AN8+AO8</f>
        <v>0</v>
      </c>
      <c r="AQ8" s="1011"/>
      <c r="AR8" s="1012"/>
      <c r="AS8" s="1012"/>
      <c r="AT8" s="1013">
        <f t="shared" ref="AT8:AT71" si="8">+AR8+AS8</f>
        <v>0</v>
      </c>
      <c r="AU8" s="483"/>
      <c r="AV8" s="483"/>
      <c r="AW8" s="483"/>
      <c r="AX8" s="483"/>
      <c r="AY8" s="483"/>
    </row>
    <row r="9" spans="1:51" s="485" customFormat="1">
      <c r="A9" s="532">
        <f>+A8+1</f>
        <v>2</v>
      </c>
      <c r="B9" s="832">
        <v>8</v>
      </c>
      <c r="C9" s="993" t="s">
        <v>667</v>
      </c>
      <c r="D9" s="940" t="s">
        <v>666</v>
      </c>
      <c r="E9" s="994" t="s">
        <v>1225</v>
      </c>
      <c r="F9" s="941" t="s">
        <v>995</v>
      </c>
      <c r="G9" s="1417">
        <f t="shared" si="0"/>
        <v>60647</v>
      </c>
      <c r="H9" s="1418">
        <f t="shared" si="0"/>
        <v>70329</v>
      </c>
      <c r="I9" s="1418">
        <f t="shared" si="0"/>
        <v>0</v>
      </c>
      <c r="J9" s="473">
        <f t="shared" si="0"/>
        <v>70329</v>
      </c>
      <c r="K9" s="1417">
        <f t="shared" si="1"/>
        <v>60647</v>
      </c>
      <c r="L9" s="1418">
        <f t="shared" si="1"/>
        <v>70329</v>
      </c>
      <c r="M9" s="1418">
        <f t="shared" si="1"/>
        <v>0</v>
      </c>
      <c r="N9" s="473">
        <f t="shared" si="1"/>
        <v>70329</v>
      </c>
      <c r="O9" s="1011">
        <v>44166</v>
      </c>
      <c r="P9" s="1012">
        <v>48358</v>
      </c>
      <c r="Q9" s="1012"/>
      <c r="R9" s="1013">
        <f t="shared" si="2"/>
        <v>48358</v>
      </c>
      <c r="S9" s="1011"/>
      <c r="T9" s="1012"/>
      <c r="U9" s="1012"/>
      <c r="V9" s="1013">
        <f t="shared" si="3"/>
        <v>0</v>
      </c>
      <c r="W9" s="1011">
        <v>16481</v>
      </c>
      <c r="X9" s="1012">
        <v>16481</v>
      </c>
      <c r="Y9" s="1012"/>
      <c r="Z9" s="1013">
        <f t="shared" si="4"/>
        <v>16481</v>
      </c>
      <c r="AA9" s="1011"/>
      <c r="AB9" s="1012">
        <f>4000+1390+100</f>
        <v>5490</v>
      </c>
      <c r="AC9" s="1012"/>
      <c r="AD9" s="1013">
        <f t="shared" si="5"/>
        <v>5490</v>
      </c>
      <c r="AE9" s="1417">
        <f t="shared" ref="AE9:AH80" si="9">+AI9+AM9+AQ9</f>
        <v>0</v>
      </c>
      <c r="AF9" s="1418">
        <f t="shared" si="9"/>
        <v>0</v>
      </c>
      <c r="AG9" s="1418">
        <f t="shared" si="9"/>
        <v>0</v>
      </c>
      <c r="AH9" s="473">
        <f t="shared" si="9"/>
        <v>0</v>
      </c>
      <c r="AI9" s="1011"/>
      <c r="AJ9" s="1012"/>
      <c r="AK9" s="1012"/>
      <c r="AL9" s="1013">
        <f t="shared" si="6"/>
        <v>0</v>
      </c>
      <c r="AM9" s="1011"/>
      <c r="AN9" s="1012"/>
      <c r="AO9" s="1012"/>
      <c r="AP9" s="1013">
        <f t="shared" si="7"/>
        <v>0</v>
      </c>
      <c r="AQ9" s="1011"/>
      <c r="AR9" s="1012"/>
      <c r="AS9" s="1012"/>
      <c r="AT9" s="1013">
        <f t="shared" si="8"/>
        <v>0</v>
      </c>
      <c r="AU9" s="483"/>
      <c r="AV9" s="483"/>
      <c r="AW9" s="483"/>
      <c r="AX9" s="483"/>
      <c r="AY9" s="483"/>
    </row>
    <row r="10" spans="1:51" s="485" customFormat="1">
      <c r="A10" s="532">
        <f t="shared" ref="A10:A87" si="10">+A9+1</f>
        <v>3</v>
      </c>
      <c r="B10" s="832">
        <v>7</v>
      </c>
      <c r="C10" s="993" t="s">
        <v>667</v>
      </c>
      <c r="D10" s="940" t="s">
        <v>1503</v>
      </c>
      <c r="E10" s="994" t="s">
        <v>1225</v>
      </c>
      <c r="F10" s="941" t="s">
        <v>1504</v>
      </c>
      <c r="G10" s="1417">
        <f t="shared" si="0"/>
        <v>0</v>
      </c>
      <c r="H10" s="1418">
        <f t="shared" si="0"/>
        <v>0</v>
      </c>
      <c r="I10" s="1418">
        <f t="shared" si="0"/>
        <v>0</v>
      </c>
      <c r="J10" s="473">
        <f t="shared" si="0"/>
        <v>0</v>
      </c>
      <c r="K10" s="1417">
        <f t="shared" si="1"/>
        <v>0</v>
      </c>
      <c r="L10" s="1418">
        <f t="shared" si="1"/>
        <v>0</v>
      </c>
      <c r="M10" s="1418">
        <f t="shared" si="1"/>
        <v>0</v>
      </c>
      <c r="N10" s="473">
        <f t="shared" si="1"/>
        <v>0</v>
      </c>
      <c r="O10" s="1011"/>
      <c r="P10" s="1012"/>
      <c r="Q10" s="1012"/>
      <c r="R10" s="1013">
        <f t="shared" si="2"/>
        <v>0</v>
      </c>
      <c r="S10" s="1011"/>
      <c r="T10" s="1012"/>
      <c r="U10" s="1012"/>
      <c r="V10" s="1013">
        <f t="shared" si="3"/>
        <v>0</v>
      </c>
      <c r="W10" s="1011"/>
      <c r="X10" s="1012"/>
      <c r="Y10" s="1012"/>
      <c r="Z10" s="1013">
        <f t="shared" si="4"/>
        <v>0</v>
      </c>
      <c r="AA10" s="1011"/>
      <c r="AB10" s="1012"/>
      <c r="AC10" s="1012"/>
      <c r="AD10" s="1013">
        <f t="shared" si="5"/>
        <v>0</v>
      </c>
      <c r="AE10" s="1417">
        <f t="shared" si="9"/>
        <v>0</v>
      </c>
      <c r="AF10" s="1418">
        <f t="shared" si="9"/>
        <v>0</v>
      </c>
      <c r="AG10" s="1418">
        <f t="shared" si="9"/>
        <v>0</v>
      </c>
      <c r="AH10" s="473">
        <f t="shared" si="9"/>
        <v>0</v>
      </c>
      <c r="AI10" s="1011"/>
      <c r="AJ10" s="1012"/>
      <c r="AK10" s="1012"/>
      <c r="AL10" s="1013">
        <f t="shared" si="6"/>
        <v>0</v>
      </c>
      <c r="AM10" s="1011"/>
      <c r="AN10" s="1012"/>
      <c r="AO10" s="1012"/>
      <c r="AP10" s="1013">
        <f t="shared" si="7"/>
        <v>0</v>
      </c>
      <c r="AQ10" s="1011"/>
      <c r="AR10" s="1012"/>
      <c r="AS10" s="1012"/>
      <c r="AT10" s="1013">
        <f t="shared" si="8"/>
        <v>0</v>
      </c>
      <c r="AU10" s="483"/>
      <c r="AV10" s="483"/>
      <c r="AW10" s="483"/>
      <c r="AX10" s="483"/>
      <c r="AY10" s="483"/>
    </row>
    <row r="11" spans="1:51" s="488" customFormat="1">
      <c r="A11" s="532">
        <f t="shared" si="10"/>
        <v>4</v>
      </c>
      <c r="B11" s="832">
        <v>8</v>
      </c>
      <c r="C11" s="993" t="s">
        <v>675</v>
      </c>
      <c r="D11" s="940" t="s">
        <v>858</v>
      </c>
      <c r="E11" s="994" t="s">
        <v>1225</v>
      </c>
      <c r="F11" s="941" t="s">
        <v>674</v>
      </c>
      <c r="G11" s="1419">
        <f t="shared" si="0"/>
        <v>0</v>
      </c>
      <c r="H11" s="1420">
        <f t="shared" si="0"/>
        <v>0</v>
      </c>
      <c r="I11" s="1420">
        <f t="shared" si="0"/>
        <v>0</v>
      </c>
      <c r="J11" s="487">
        <f t="shared" si="0"/>
        <v>0</v>
      </c>
      <c r="K11" s="1419">
        <f t="shared" si="1"/>
        <v>0</v>
      </c>
      <c r="L11" s="1420">
        <f t="shared" si="1"/>
        <v>0</v>
      </c>
      <c r="M11" s="1420">
        <f t="shared" si="1"/>
        <v>0</v>
      </c>
      <c r="N11" s="487">
        <f t="shared" si="1"/>
        <v>0</v>
      </c>
      <c r="O11" s="1011"/>
      <c r="P11" s="1012"/>
      <c r="Q11" s="1012"/>
      <c r="R11" s="1013">
        <f t="shared" si="2"/>
        <v>0</v>
      </c>
      <c r="S11" s="1011"/>
      <c r="T11" s="1012"/>
      <c r="U11" s="1012"/>
      <c r="V11" s="1013">
        <f t="shared" si="3"/>
        <v>0</v>
      </c>
      <c r="W11" s="1011"/>
      <c r="X11" s="1012"/>
      <c r="Y11" s="1012"/>
      <c r="Z11" s="1013">
        <f t="shared" si="4"/>
        <v>0</v>
      </c>
      <c r="AA11" s="1011"/>
      <c r="AB11" s="1012"/>
      <c r="AC11" s="1012"/>
      <c r="AD11" s="1013">
        <f t="shared" si="5"/>
        <v>0</v>
      </c>
      <c r="AE11" s="1419">
        <f t="shared" si="9"/>
        <v>0</v>
      </c>
      <c r="AF11" s="1420">
        <f t="shared" si="9"/>
        <v>0</v>
      </c>
      <c r="AG11" s="1420">
        <f t="shared" si="9"/>
        <v>0</v>
      </c>
      <c r="AH11" s="487">
        <f t="shared" si="9"/>
        <v>0</v>
      </c>
      <c r="AI11" s="1011"/>
      <c r="AJ11" s="1012"/>
      <c r="AK11" s="1012"/>
      <c r="AL11" s="1013">
        <f t="shared" si="6"/>
        <v>0</v>
      </c>
      <c r="AM11" s="1011"/>
      <c r="AN11" s="1012"/>
      <c r="AO11" s="1012"/>
      <c r="AP11" s="1013">
        <f t="shared" si="7"/>
        <v>0</v>
      </c>
      <c r="AQ11" s="1011"/>
      <c r="AR11" s="1012"/>
      <c r="AS11" s="1012"/>
      <c r="AT11" s="1013">
        <f t="shared" si="8"/>
        <v>0</v>
      </c>
      <c r="AU11" s="483"/>
      <c r="AV11" s="483"/>
      <c r="AW11" s="483"/>
      <c r="AX11" s="483"/>
      <c r="AY11" s="483"/>
    </row>
    <row r="12" spans="1:51" s="485" customFormat="1">
      <c r="A12" s="532">
        <f t="shared" si="10"/>
        <v>5</v>
      </c>
      <c r="B12" s="832">
        <v>8</v>
      </c>
      <c r="C12" s="993" t="s">
        <v>669</v>
      </c>
      <c r="D12" s="940" t="s">
        <v>668</v>
      </c>
      <c r="E12" s="995" t="s">
        <v>1225</v>
      </c>
      <c r="F12" s="941" t="s">
        <v>634</v>
      </c>
      <c r="G12" s="1421">
        <f>+K12+AE12</f>
        <v>396552</v>
      </c>
      <c r="H12" s="1422">
        <f>+L12+AF12</f>
        <v>347952</v>
      </c>
      <c r="I12" s="1422">
        <f>+M12+AG12</f>
        <v>0</v>
      </c>
      <c r="J12" s="489">
        <f>+N12+AH12</f>
        <v>347952</v>
      </c>
      <c r="K12" s="1421">
        <f>+O12+S12+W12+AA12</f>
        <v>396552</v>
      </c>
      <c r="L12" s="1422">
        <f>+P12+T12+X12+AB12</f>
        <v>347952</v>
      </c>
      <c r="M12" s="1422">
        <f>+Q12+U12+Y12+AC12</f>
        <v>0</v>
      </c>
      <c r="N12" s="489">
        <f>+R12+V12+Z12+AD12</f>
        <v>347952</v>
      </c>
      <c r="O12" s="1011"/>
      <c r="P12" s="1012"/>
      <c r="Q12" s="1012"/>
      <c r="R12" s="1013">
        <f t="shared" si="2"/>
        <v>0</v>
      </c>
      <c r="S12" s="1011">
        <v>396552</v>
      </c>
      <c r="T12" s="1012">
        <f>(396552-27500)+(-1100-20000)</f>
        <v>347952</v>
      </c>
      <c r="U12" s="1012"/>
      <c r="V12" s="1013">
        <f t="shared" si="3"/>
        <v>347952</v>
      </c>
      <c r="W12" s="1011"/>
      <c r="X12" s="1012"/>
      <c r="Y12" s="1012"/>
      <c r="Z12" s="1013">
        <f t="shared" si="4"/>
        <v>0</v>
      </c>
      <c r="AA12" s="1011"/>
      <c r="AB12" s="1012"/>
      <c r="AC12" s="1012"/>
      <c r="AD12" s="1013">
        <f t="shared" si="5"/>
        <v>0</v>
      </c>
      <c r="AE12" s="1421">
        <f>+AI12+AM12+AQ12</f>
        <v>0</v>
      </c>
      <c r="AF12" s="1422">
        <f>+AJ12+AN12+AR12</f>
        <v>0</v>
      </c>
      <c r="AG12" s="1422">
        <f>+AK12+AO12+AS12</f>
        <v>0</v>
      </c>
      <c r="AH12" s="489">
        <f>+AL12+AP12+AT12</f>
        <v>0</v>
      </c>
      <c r="AI12" s="1011"/>
      <c r="AJ12" s="1012"/>
      <c r="AK12" s="1012"/>
      <c r="AL12" s="1013">
        <f t="shared" si="6"/>
        <v>0</v>
      </c>
      <c r="AM12" s="1011"/>
      <c r="AN12" s="1012"/>
      <c r="AO12" s="1012"/>
      <c r="AP12" s="1013">
        <f t="shared" si="7"/>
        <v>0</v>
      </c>
      <c r="AQ12" s="1011"/>
      <c r="AR12" s="1012"/>
      <c r="AS12" s="1012"/>
      <c r="AT12" s="1013">
        <f t="shared" si="8"/>
        <v>0</v>
      </c>
      <c r="AU12" s="483"/>
      <c r="AV12" s="483"/>
      <c r="AW12" s="483"/>
      <c r="AX12" s="483"/>
      <c r="AY12" s="483"/>
    </row>
    <row r="13" spans="1:51" ht="12.75" customHeight="1">
      <c r="A13" s="532">
        <f t="shared" si="10"/>
        <v>6</v>
      </c>
      <c r="B13" s="832">
        <v>2</v>
      </c>
      <c r="C13" s="993" t="s">
        <v>720</v>
      </c>
      <c r="D13" s="525" t="s">
        <v>719</v>
      </c>
      <c r="E13" s="994" t="s">
        <v>1226</v>
      </c>
      <c r="F13" s="942" t="s">
        <v>719</v>
      </c>
      <c r="G13" s="1417">
        <f t="shared" si="0"/>
        <v>1500</v>
      </c>
      <c r="H13" s="1418">
        <f t="shared" si="0"/>
        <v>1500</v>
      </c>
      <c r="I13" s="1418">
        <f t="shared" si="0"/>
        <v>0</v>
      </c>
      <c r="J13" s="473">
        <f t="shared" si="0"/>
        <v>1500</v>
      </c>
      <c r="K13" s="1417">
        <f t="shared" si="1"/>
        <v>1500</v>
      </c>
      <c r="L13" s="1418">
        <f t="shared" si="1"/>
        <v>1500</v>
      </c>
      <c r="M13" s="1418">
        <f t="shared" si="1"/>
        <v>0</v>
      </c>
      <c r="N13" s="473">
        <f t="shared" si="1"/>
        <v>1500</v>
      </c>
      <c r="O13" s="1011"/>
      <c r="P13" s="1012"/>
      <c r="Q13" s="1012"/>
      <c r="R13" s="1013">
        <f t="shared" si="2"/>
        <v>0</v>
      </c>
      <c r="S13" s="1011"/>
      <c r="T13" s="1012"/>
      <c r="U13" s="1012"/>
      <c r="V13" s="1013">
        <f t="shared" si="3"/>
        <v>0</v>
      </c>
      <c r="W13" s="1011">
        <v>1500</v>
      </c>
      <c r="X13" s="1012">
        <v>1500</v>
      </c>
      <c r="Y13" s="1012"/>
      <c r="Z13" s="1013">
        <f t="shared" si="4"/>
        <v>1500</v>
      </c>
      <c r="AA13" s="1011"/>
      <c r="AB13" s="1012"/>
      <c r="AC13" s="1012"/>
      <c r="AD13" s="1013">
        <f t="shared" si="5"/>
        <v>0</v>
      </c>
      <c r="AE13" s="1417">
        <f t="shared" si="9"/>
        <v>0</v>
      </c>
      <c r="AF13" s="1418">
        <f t="shared" si="9"/>
        <v>0</v>
      </c>
      <c r="AG13" s="1418">
        <f t="shared" si="9"/>
        <v>0</v>
      </c>
      <c r="AH13" s="473">
        <f t="shared" si="9"/>
        <v>0</v>
      </c>
      <c r="AI13" s="1011"/>
      <c r="AJ13" s="1012"/>
      <c r="AK13" s="1012"/>
      <c r="AL13" s="1013">
        <f t="shared" si="6"/>
        <v>0</v>
      </c>
      <c r="AM13" s="1011"/>
      <c r="AN13" s="1012"/>
      <c r="AO13" s="1012"/>
      <c r="AP13" s="1013">
        <f t="shared" si="7"/>
        <v>0</v>
      </c>
      <c r="AQ13" s="1011"/>
      <c r="AR13" s="1012"/>
      <c r="AS13" s="1012"/>
      <c r="AT13" s="1013">
        <f t="shared" si="8"/>
        <v>0</v>
      </c>
      <c r="AU13" s="483"/>
      <c r="AV13" s="483"/>
      <c r="AW13" s="483"/>
      <c r="AX13" s="483"/>
      <c r="AY13" s="483"/>
    </row>
    <row r="14" spans="1:51" ht="12.75" customHeight="1">
      <c r="A14" s="532">
        <f t="shared" si="10"/>
        <v>7</v>
      </c>
      <c r="B14" s="832">
        <v>8</v>
      </c>
      <c r="C14" s="993" t="s">
        <v>704</v>
      </c>
      <c r="D14" s="940" t="s">
        <v>1056</v>
      </c>
      <c r="E14" s="995" t="s">
        <v>1227</v>
      </c>
      <c r="F14" s="943" t="s">
        <v>1058</v>
      </c>
      <c r="G14" s="1421">
        <f t="shared" si="0"/>
        <v>350</v>
      </c>
      <c r="H14" s="1422">
        <f t="shared" si="0"/>
        <v>350</v>
      </c>
      <c r="I14" s="1422">
        <f t="shared" si="0"/>
        <v>0</v>
      </c>
      <c r="J14" s="489">
        <f t="shared" si="0"/>
        <v>350</v>
      </c>
      <c r="K14" s="1421">
        <f t="shared" si="1"/>
        <v>0</v>
      </c>
      <c r="L14" s="1422">
        <f t="shared" si="1"/>
        <v>0</v>
      </c>
      <c r="M14" s="1422">
        <f t="shared" si="1"/>
        <v>0</v>
      </c>
      <c r="N14" s="489">
        <f t="shared" si="1"/>
        <v>0</v>
      </c>
      <c r="O14" s="1011"/>
      <c r="P14" s="1012"/>
      <c r="Q14" s="1012"/>
      <c r="R14" s="1013">
        <f t="shared" si="2"/>
        <v>0</v>
      </c>
      <c r="S14" s="1011"/>
      <c r="T14" s="1012"/>
      <c r="U14" s="1012"/>
      <c r="V14" s="1013">
        <f t="shared" si="3"/>
        <v>0</v>
      </c>
      <c r="W14" s="1011"/>
      <c r="X14" s="1012"/>
      <c r="Y14" s="1012"/>
      <c r="Z14" s="1013">
        <f t="shared" si="4"/>
        <v>0</v>
      </c>
      <c r="AA14" s="1011"/>
      <c r="AB14" s="1012"/>
      <c r="AC14" s="1012"/>
      <c r="AD14" s="1013">
        <f t="shared" si="5"/>
        <v>0</v>
      </c>
      <c r="AE14" s="1421">
        <f t="shared" si="9"/>
        <v>350</v>
      </c>
      <c r="AF14" s="1422">
        <f t="shared" si="9"/>
        <v>350</v>
      </c>
      <c r="AG14" s="1422">
        <f t="shared" si="9"/>
        <v>0</v>
      </c>
      <c r="AH14" s="489">
        <f t="shared" si="9"/>
        <v>350</v>
      </c>
      <c r="AI14" s="1011"/>
      <c r="AJ14" s="1012"/>
      <c r="AK14" s="1012"/>
      <c r="AL14" s="1013">
        <f t="shared" si="6"/>
        <v>0</v>
      </c>
      <c r="AM14" s="1011">
        <v>350</v>
      </c>
      <c r="AN14" s="1012">
        <v>350</v>
      </c>
      <c r="AO14" s="1012"/>
      <c r="AP14" s="1013">
        <f t="shared" si="7"/>
        <v>350</v>
      </c>
      <c r="AQ14" s="1011"/>
      <c r="AR14" s="1012"/>
      <c r="AS14" s="1012"/>
      <c r="AT14" s="1013">
        <f t="shared" si="8"/>
        <v>0</v>
      </c>
      <c r="AU14" s="483"/>
      <c r="AV14" s="483"/>
      <c r="AW14" s="483"/>
      <c r="AX14" s="483"/>
      <c r="AY14" s="483"/>
    </row>
    <row r="15" spans="1:51" s="493" customFormat="1" ht="12.75" customHeight="1">
      <c r="A15" s="532">
        <f t="shared" si="10"/>
        <v>8</v>
      </c>
      <c r="B15" s="832">
        <v>8</v>
      </c>
      <c r="C15" s="993" t="s">
        <v>704</v>
      </c>
      <c r="D15" s="944" t="s">
        <v>1056</v>
      </c>
      <c r="E15" s="995" t="s">
        <v>1228</v>
      </c>
      <c r="F15" s="945" t="s">
        <v>650</v>
      </c>
      <c r="G15" s="1421">
        <f t="shared" si="0"/>
        <v>20887</v>
      </c>
      <c r="H15" s="1422">
        <f t="shared" si="0"/>
        <v>20887</v>
      </c>
      <c r="I15" s="1422">
        <f t="shared" si="0"/>
        <v>0</v>
      </c>
      <c r="J15" s="489">
        <f t="shared" si="0"/>
        <v>20887</v>
      </c>
      <c r="K15" s="1421">
        <f t="shared" si="1"/>
        <v>20887</v>
      </c>
      <c r="L15" s="1422">
        <f t="shared" si="1"/>
        <v>20887</v>
      </c>
      <c r="M15" s="1422">
        <f t="shared" si="1"/>
        <v>0</v>
      </c>
      <c r="N15" s="489">
        <f t="shared" si="1"/>
        <v>20887</v>
      </c>
      <c r="O15" s="1011"/>
      <c r="P15" s="1012"/>
      <c r="Q15" s="1012"/>
      <c r="R15" s="1013">
        <f t="shared" si="2"/>
        <v>0</v>
      </c>
      <c r="S15" s="1011"/>
      <c r="T15" s="1012"/>
      <c r="U15" s="1012"/>
      <c r="V15" s="1013">
        <f t="shared" si="3"/>
        <v>0</v>
      </c>
      <c r="W15" s="1011">
        <v>20887</v>
      </c>
      <c r="X15" s="1012">
        <v>20887</v>
      </c>
      <c r="Y15" s="1012"/>
      <c r="Z15" s="1013">
        <f t="shared" si="4"/>
        <v>20887</v>
      </c>
      <c r="AA15" s="1011"/>
      <c r="AB15" s="1012"/>
      <c r="AC15" s="1012"/>
      <c r="AD15" s="1013">
        <f t="shared" si="5"/>
        <v>0</v>
      </c>
      <c r="AE15" s="1421">
        <f t="shared" si="9"/>
        <v>0</v>
      </c>
      <c r="AF15" s="1422">
        <f t="shared" si="9"/>
        <v>0</v>
      </c>
      <c r="AG15" s="1422">
        <f t="shared" si="9"/>
        <v>0</v>
      </c>
      <c r="AH15" s="489">
        <f t="shared" si="9"/>
        <v>0</v>
      </c>
      <c r="AI15" s="1011"/>
      <c r="AJ15" s="1012"/>
      <c r="AK15" s="1012"/>
      <c r="AL15" s="1013">
        <f t="shared" si="6"/>
        <v>0</v>
      </c>
      <c r="AM15" s="1011"/>
      <c r="AN15" s="1012"/>
      <c r="AO15" s="1012"/>
      <c r="AP15" s="1013">
        <f t="shared" si="7"/>
        <v>0</v>
      </c>
      <c r="AQ15" s="1011"/>
      <c r="AR15" s="1012"/>
      <c r="AS15" s="1012"/>
      <c r="AT15" s="1013">
        <f t="shared" si="8"/>
        <v>0</v>
      </c>
      <c r="AU15" s="483"/>
      <c r="AV15" s="483"/>
      <c r="AW15" s="483"/>
      <c r="AX15" s="483"/>
      <c r="AY15" s="483"/>
    </row>
    <row r="16" spans="1:51">
      <c r="A16" s="532">
        <f t="shared" si="10"/>
        <v>9</v>
      </c>
      <c r="B16" s="832">
        <v>8</v>
      </c>
      <c r="C16" s="993" t="s">
        <v>701</v>
      </c>
      <c r="D16" s="940" t="s">
        <v>700</v>
      </c>
      <c r="E16" s="995" t="s">
        <v>1229</v>
      </c>
      <c r="F16" s="943" t="s">
        <v>776</v>
      </c>
      <c r="G16" s="1421">
        <f t="shared" si="0"/>
        <v>0</v>
      </c>
      <c r="H16" s="1422">
        <f t="shared" si="0"/>
        <v>0</v>
      </c>
      <c r="I16" s="1422">
        <f t="shared" si="0"/>
        <v>0</v>
      </c>
      <c r="J16" s="489">
        <f t="shared" si="0"/>
        <v>0</v>
      </c>
      <c r="K16" s="1421">
        <f t="shared" si="1"/>
        <v>0</v>
      </c>
      <c r="L16" s="1422">
        <f t="shared" si="1"/>
        <v>0</v>
      </c>
      <c r="M16" s="1422">
        <f t="shared" si="1"/>
        <v>0</v>
      </c>
      <c r="N16" s="489">
        <f t="shared" si="1"/>
        <v>0</v>
      </c>
      <c r="O16" s="1011"/>
      <c r="P16" s="1012"/>
      <c r="Q16" s="1012"/>
      <c r="R16" s="1013">
        <f t="shared" si="2"/>
        <v>0</v>
      </c>
      <c r="S16" s="1011"/>
      <c r="T16" s="1012"/>
      <c r="U16" s="1012"/>
      <c r="V16" s="1013">
        <f t="shared" si="3"/>
        <v>0</v>
      </c>
      <c r="W16" s="1011"/>
      <c r="X16" s="1012"/>
      <c r="Y16" s="1012"/>
      <c r="Z16" s="1013">
        <f t="shared" si="4"/>
        <v>0</v>
      </c>
      <c r="AA16" s="1011"/>
      <c r="AB16" s="1012"/>
      <c r="AC16" s="1012"/>
      <c r="AD16" s="1013">
        <f t="shared" si="5"/>
        <v>0</v>
      </c>
      <c r="AE16" s="1421">
        <f t="shared" si="9"/>
        <v>0</v>
      </c>
      <c r="AF16" s="1422">
        <f t="shared" si="9"/>
        <v>0</v>
      </c>
      <c r="AG16" s="1422">
        <f t="shared" si="9"/>
        <v>0</v>
      </c>
      <c r="AH16" s="489">
        <f t="shared" si="9"/>
        <v>0</v>
      </c>
      <c r="AI16" s="1011"/>
      <c r="AJ16" s="1012"/>
      <c r="AK16" s="1012"/>
      <c r="AL16" s="1013">
        <f t="shared" si="6"/>
        <v>0</v>
      </c>
      <c r="AM16" s="1011"/>
      <c r="AN16" s="1012"/>
      <c r="AO16" s="1012"/>
      <c r="AP16" s="1013">
        <f t="shared" si="7"/>
        <v>0</v>
      </c>
      <c r="AQ16" s="1011"/>
      <c r="AR16" s="1012"/>
      <c r="AS16" s="1012"/>
      <c r="AT16" s="1013">
        <f t="shared" si="8"/>
        <v>0</v>
      </c>
      <c r="AU16" s="483"/>
      <c r="AV16" s="483"/>
      <c r="AW16" s="483"/>
      <c r="AX16" s="483"/>
      <c r="AY16" s="483"/>
    </row>
    <row r="17" spans="1:51">
      <c r="A17" s="532">
        <f t="shared" si="10"/>
        <v>10</v>
      </c>
      <c r="B17" s="832">
        <v>8</v>
      </c>
      <c r="C17" s="993" t="s">
        <v>999</v>
      </c>
      <c r="D17" s="940" t="s">
        <v>1000</v>
      </c>
      <c r="E17" s="995" t="s">
        <v>1225</v>
      </c>
      <c r="F17" s="943" t="s">
        <v>1001</v>
      </c>
      <c r="G17" s="1421">
        <f t="shared" si="0"/>
        <v>0</v>
      </c>
      <c r="H17" s="1422">
        <f t="shared" si="0"/>
        <v>0</v>
      </c>
      <c r="I17" s="1422">
        <f t="shared" si="0"/>
        <v>0</v>
      </c>
      <c r="J17" s="489">
        <f t="shared" si="0"/>
        <v>0</v>
      </c>
      <c r="K17" s="1421">
        <f t="shared" si="1"/>
        <v>0</v>
      </c>
      <c r="L17" s="1422">
        <f t="shared" si="1"/>
        <v>0</v>
      </c>
      <c r="M17" s="1422">
        <f t="shared" si="1"/>
        <v>0</v>
      </c>
      <c r="N17" s="489">
        <f t="shared" si="1"/>
        <v>0</v>
      </c>
      <c r="O17" s="1011"/>
      <c r="P17" s="1012"/>
      <c r="Q17" s="1012"/>
      <c r="R17" s="1013">
        <f t="shared" si="2"/>
        <v>0</v>
      </c>
      <c r="S17" s="1011"/>
      <c r="T17" s="1012"/>
      <c r="U17" s="1012"/>
      <c r="V17" s="1013">
        <f t="shared" si="3"/>
        <v>0</v>
      </c>
      <c r="W17" s="1011"/>
      <c r="X17" s="1012"/>
      <c r="Y17" s="1012"/>
      <c r="Z17" s="1013">
        <f t="shared" si="4"/>
        <v>0</v>
      </c>
      <c r="AA17" s="1011"/>
      <c r="AB17" s="1012"/>
      <c r="AC17" s="1012"/>
      <c r="AD17" s="1013">
        <f t="shared" si="5"/>
        <v>0</v>
      </c>
      <c r="AE17" s="1421">
        <f t="shared" si="9"/>
        <v>0</v>
      </c>
      <c r="AF17" s="1422">
        <f t="shared" si="9"/>
        <v>0</v>
      </c>
      <c r="AG17" s="1422">
        <f t="shared" si="9"/>
        <v>0</v>
      </c>
      <c r="AH17" s="489">
        <f t="shared" si="9"/>
        <v>0</v>
      </c>
      <c r="AI17" s="1011"/>
      <c r="AJ17" s="1012"/>
      <c r="AK17" s="1012"/>
      <c r="AL17" s="1013">
        <f t="shared" si="6"/>
        <v>0</v>
      </c>
      <c r="AM17" s="1011"/>
      <c r="AN17" s="1012"/>
      <c r="AO17" s="1012"/>
      <c r="AP17" s="1013">
        <f t="shared" si="7"/>
        <v>0</v>
      </c>
      <c r="AQ17" s="1011"/>
      <c r="AR17" s="1012"/>
      <c r="AS17" s="1012"/>
      <c r="AT17" s="1013">
        <f t="shared" si="8"/>
        <v>0</v>
      </c>
      <c r="AU17" s="483"/>
      <c r="AV17" s="483"/>
      <c r="AW17" s="483"/>
      <c r="AX17" s="483"/>
      <c r="AY17" s="483"/>
    </row>
    <row r="18" spans="1:51">
      <c r="A18" s="532">
        <f t="shared" si="10"/>
        <v>11</v>
      </c>
      <c r="B18" s="832">
        <v>8</v>
      </c>
      <c r="C18" s="993" t="s">
        <v>725</v>
      </c>
      <c r="D18" s="940" t="s">
        <v>723</v>
      </c>
      <c r="E18" s="995" t="s">
        <v>1225</v>
      </c>
      <c r="F18" s="943" t="s">
        <v>721</v>
      </c>
      <c r="G18" s="1421">
        <f t="shared" si="0"/>
        <v>917056</v>
      </c>
      <c r="H18" s="1422">
        <f t="shared" si="0"/>
        <v>985221</v>
      </c>
      <c r="I18" s="1422">
        <f t="shared" si="0"/>
        <v>19935</v>
      </c>
      <c r="J18" s="489">
        <f t="shared" si="0"/>
        <v>1005156</v>
      </c>
      <c r="K18" s="1421">
        <f t="shared" si="1"/>
        <v>917056</v>
      </c>
      <c r="L18" s="1422">
        <f t="shared" si="1"/>
        <v>985221</v>
      </c>
      <c r="M18" s="1422">
        <f t="shared" si="1"/>
        <v>19935</v>
      </c>
      <c r="N18" s="489">
        <f t="shared" si="1"/>
        <v>1005156</v>
      </c>
      <c r="O18" s="1011">
        <v>917056</v>
      </c>
      <c r="P18" s="1012">
        <f>(917056+(6938+929+210))+(21100+791+18025+9982+4540+5017+533+100)</f>
        <v>985221</v>
      </c>
      <c r="Q18" s="1012">
        <f>2585+11695+5029+527+99</f>
        <v>19935</v>
      </c>
      <c r="R18" s="1013">
        <f t="shared" si="2"/>
        <v>1005156</v>
      </c>
      <c r="S18" s="1011"/>
      <c r="T18" s="1012"/>
      <c r="U18" s="1012"/>
      <c r="V18" s="1013">
        <f t="shared" si="3"/>
        <v>0</v>
      </c>
      <c r="W18" s="1011"/>
      <c r="X18" s="1012"/>
      <c r="Y18" s="1012"/>
      <c r="Z18" s="1013">
        <f t="shared" si="4"/>
        <v>0</v>
      </c>
      <c r="AA18" s="1011"/>
      <c r="AB18" s="1012"/>
      <c r="AC18" s="1012"/>
      <c r="AD18" s="1013">
        <f t="shared" si="5"/>
        <v>0</v>
      </c>
      <c r="AE18" s="1421">
        <f t="shared" si="9"/>
        <v>0</v>
      </c>
      <c r="AF18" s="1422">
        <f t="shared" si="9"/>
        <v>0</v>
      </c>
      <c r="AG18" s="1422">
        <f t="shared" si="9"/>
        <v>0</v>
      </c>
      <c r="AH18" s="489">
        <f t="shared" si="9"/>
        <v>0</v>
      </c>
      <c r="AI18" s="1011"/>
      <c r="AJ18" s="1012"/>
      <c r="AK18" s="1012"/>
      <c r="AL18" s="1013">
        <f t="shared" si="6"/>
        <v>0</v>
      </c>
      <c r="AM18" s="1011"/>
      <c r="AN18" s="1012"/>
      <c r="AO18" s="1012"/>
      <c r="AP18" s="1013">
        <f t="shared" si="7"/>
        <v>0</v>
      </c>
      <c r="AQ18" s="1011"/>
      <c r="AR18" s="1012"/>
      <c r="AS18" s="1012"/>
      <c r="AT18" s="1013">
        <f t="shared" si="8"/>
        <v>0</v>
      </c>
      <c r="AU18" s="483"/>
      <c r="AV18" s="483"/>
      <c r="AW18" s="483"/>
      <c r="AX18" s="483"/>
      <c r="AY18" s="483"/>
    </row>
    <row r="19" spans="1:51">
      <c r="A19" s="532">
        <f t="shared" si="10"/>
        <v>12</v>
      </c>
      <c r="B19" s="832">
        <v>8</v>
      </c>
      <c r="C19" s="993" t="s">
        <v>722</v>
      </c>
      <c r="D19" s="940" t="s">
        <v>724</v>
      </c>
      <c r="E19" s="995" t="s">
        <v>1225</v>
      </c>
      <c r="F19" s="943" t="s">
        <v>651</v>
      </c>
      <c r="G19" s="1421">
        <f t="shared" si="0"/>
        <v>0</v>
      </c>
      <c r="H19" s="1422">
        <f t="shared" si="0"/>
        <v>0</v>
      </c>
      <c r="I19" s="1422">
        <f t="shared" si="0"/>
        <v>0</v>
      </c>
      <c r="J19" s="489">
        <f t="shared" si="0"/>
        <v>0</v>
      </c>
      <c r="K19" s="1421">
        <f t="shared" si="1"/>
        <v>0</v>
      </c>
      <c r="L19" s="1422">
        <f t="shared" si="1"/>
        <v>0</v>
      </c>
      <c r="M19" s="1422">
        <f t="shared" si="1"/>
        <v>0</v>
      </c>
      <c r="N19" s="489">
        <f t="shared" si="1"/>
        <v>0</v>
      </c>
      <c r="O19" s="1011"/>
      <c r="P19" s="1012"/>
      <c r="Q19" s="1012"/>
      <c r="R19" s="1013">
        <f t="shared" si="2"/>
        <v>0</v>
      </c>
      <c r="S19" s="1011"/>
      <c r="T19" s="1012"/>
      <c r="U19" s="1012"/>
      <c r="V19" s="1013">
        <f t="shared" si="3"/>
        <v>0</v>
      </c>
      <c r="W19" s="1011"/>
      <c r="X19" s="1012"/>
      <c r="Y19" s="1012"/>
      <c r="Z19" s="1013">
        <f t="shared" si="4"/>
        <v>0</v>
      </c>
      <c r="AA19" s="1011"/>
      <c r="AB19" s="1012"/>
      <c r="AC19" s="1012"/>
      <c r="AD19" s="1013">
        <f t="shared" si="5"/>
        <v>0</v>
      </c>
      <c r="AE19" s="1421">
        <f t="shared" si="9"/>
        <v>0</v>
      </c>
      <c r="AF19" s="1422">
        <f t="shared" si="9"/>
        <v>0</v>
      </c>
      <c r="AG19" s="1422">
        <f t="shared" si="9"/>
        <v>0</v>
      </c>
      <c r="AH19" s="489">
        <f t="shared" si="9"/>
        <v>0</v>
      </c>
      <c r="AI19" s="1011"/>
      <c r="AJ19" s="1012"/>
      <c r="AK19" s="1012"/>
      <c r="AL19" s="1013">
        <f t="shared" si="6"/>
        <v>0</v>
      </c>
      <c r="AM19" s="1011"/>
      <c r="AN19" s="1012"/>
      <c r="AO19" s="1012"/>
      <c r="AP19" s="1013">
        <f t="shared" si="7"/>
        <v>0</v>
      </c>
      <c r="AQ19" s="1011"/>
      <c r="AR19" s="1012"/>
      <c r="AS19" s="1012"/>
      <c r="AT19" s="1013">
        <f t="shared" si="8"/>
        <v>0</v>
      </c>
      <c r="AU19" s="483"/>
      <c r="AV19" s="483"/>
      <c r="AW19" s="483"/>
      <c r="AX19" s="483"/>
      <c r="AY19" s="483"/>
    </row>
    <row r="20" spans="1:51">
      <c r="A20" s="532">
        <f t="shared" si="10"/>
        <v>13</v>
      </c>
      <c r="B20" s="832">
        <v>8</v>
      </c>
      <c r="C20" s="993" t="s">
        <v>1002</v>
      </c>
      <c r="D20" s="940" t="s">
        <v>1003</v>
      </c>
      <c r="E20" s="995" t="s">
        <v>1225</v>
      </c>
      <c r="F20" s="943" t="s">
        <v>995</v>
      </c>
      <c r="G20" s="1421">
        <f t="shared" si="0"/>
        <v>8014</v>
      </c>
      <c r="H20" s="1422">
        <f t="shared" si="0"/>
        <v>32148</v>
      </c>
      <c r="I20" s="1422">
        <f t="shared" si="0"/>
        <v>0</v>
      </c>
      <c r="J20" s="489">
        <f t="shared" si="0"/>
        <v>32148</v>
      </c>
      <c r="K20" s="1421">
        <f t="shared" si="1"/>
        <v>8014</v>
      </c>
      <c r="L20" s="1422">
        <f t="shared" si="1"/>
        <v>32148</v>
      </c>
      <c r="M20" s="1422">
        <f t="shared" si="1"/>
        <v>0</v>
      </c>
      <c r="N20" s="489">
        <f t="shared" si="1"/>
        <v>32148</v>
      </c>
      <c r="O20" s="1011">
        <v>8014</v>
      </c>
      <c r="P20" s="1012">
        <v>32148</v>
      </c>
      <c r="Q20" s="1012"/>
      <c r="R20" s="1013">
        <f t="shared" si="2"/>
        <v>32148</v>
      </c>
      <c r="S20" s="1011"/>
      <c r="T20" s="1012"/>
      <c r="U20" s="1012"/>
      <c r="V20" s="1013">
        <f t="shared" si="3"/>
        <v>0</v>
      </c>
      <c r="W20" s="1011"/>
      <c r="X20" s="1012"/>
      <c r="Y20" s="1012"/>
      <c r="Z20" s="1013">
        <f t="shared" si="4"/>
        <v>0</v>
      </c>
      <c r="AA20" s="1011"/>
      <c r="AB20" s="1012"/>
      <c r="AC20" s="1012"/>
      <c r="AD20" s="1013">
        <f t="shared" si="5"/>
        <v>0</v>
      </c>
      <c r="AE20" s="1421">
        <f t="shared" si="9"/>
        <v>0</v>
      </c>
      <c r="AF20" s="1422">
        <f t="shared" si="9"/>
        <v>0</v>
      </c>
      <c r="AG20" s="1422">
        <f t="shared" si="9"/>
        <v>0</v>
      </c>
      <c r="AH20" s="489">
        <f t="shared" si="9"/>
        <v>0</v>
      </c>
      <c r="AI20" s="1011"/>
      <c r="AJ20" s="1012"/>
      <c r="AK20" s="1012"/>
      <c r="AL20" s="1013">
        <f t="shared" si="6"/>
        <v>0</v>
      </c>
      <c r="AM20" s="1011"/>
      <c r="AN20" s="1012"/>
      <c r="AO20" s="1012"/>
      <c r="AP20" s="1013">
        <f t="shared" si="7"/>
        <v>0</v>
      </c>
      <c r="AQ20" s="1011"/>
      <c r="AR20" s="1012"/>
      <c r="AS20" s="1012"/>
      <c r="AT20" s="1013">
        <f t="shared" si="8"/>
        <v>0</v>
      </c>
      <c r="AU20" s="483"/>
      <c r="AV20" s="483"/>
      <c r="AW20" s="483"/>
      <c r="AX20" s="483"/>
      <c r="AY20" s="483"/>
    </row>
    <row r="21" spans="1:51">
      <c r="A21" s="532">
        <f t="shared" si="10"/>
        <v>14</v>
      </c>
      <c r="B21" s="832">
        <v>8</v>
      </c>
      <c r="C21" s="993" t="s">
        <v>727</v>
      </c>
      <c r="D21" s="940" t="s">
        <v>726</v>
      </c>
      <c r="E21" s="995" t="s">
        <v>1225</v>
      </c>
      <c r="F21" s="943" t="s">
        <v>652</v>
      </c>
      <c r="G21" s="1421">
        <f t="shared" si="0"/>
        <v>0</v>
      </c>
      <c r="H21" s="1422">
        <f t="shared" si="0"/>
        <v>0</v>
      </c>
      <c r="I21" s="1422">
        <f t="shared" si="0"/>
        <v>0</v>
      </c>
      <c r="J21" s="489">
        <f t="shared" si="0"/>
        <v>0</v>
      </c>
      <c r="K21" s="1421">
        <f t="shared" si="1"/>
        <v>0</v>
      </c>
      <c r="L21" s="1422">
        <f t="shared" si="1"/>
        <v>0</v>
      </c>
      <c r="M21" s="1422">
        <f t="shared" si="1"/>
        <v>0</v>
      </c>
      <c r="N21" s="489">
        <f t="shared" si="1"/>
        <v>0</v>
      </c>
      <c r="O21" s="1011"/>
      <c r="P21" s="1012"/>
      <c r="Q21" s="1012"/>
      <c r="R21" s="1013">
        <f t="shared" si="2"/>
        <v>0</v>
      </c>
      <c r="S21" s="1011"/>
      <c r="T21" s="1012"/>
      <c r="U21" s="1012"/>
      <c r="V21" s="1013">
        <f t="shared" si="3"/>
        <v>0</v>
      </c>
      <c r="W21" s="1011"/>
      <c r="X21" s="1012"/>
      <c r="Y21" s="1012"/>
      <c r="Z21" s="1013">
        <f t="shared" si="4"/>
        <v>0</v>
      </c>
      <c r="AA21" s="1011"/>
      <c r="AB21" s="1012"/>
      <c r="AC21" s="1012"/>
      <c r="AD21" s="1013">
        <f t="shared" si="5"/>
        <v>0</v>
      </c>
      <c r="AE21" s="1421">
        <f t="shared" si="9"/>
        <v>0</v>
      </c>
      <c r="AF21" s="1422">
        <f t="shared" si="9"/>
        <v>0</v>
      </c>
      <c r="AG21" s="1422">
        <f t="shared" si="9"/>
        <v>0</v>
      </c>
      <c r="AH21" s="489">
        <f t="shared" si="9"/>
        <v>0</v>
      </c>
      <c r="AI21" s="1011"/>
      <c r="AJ21" s="1012"/>
      <c r="AK21" s="1012"/>
      <c r="AL21" s="1013">
        <f t="shared" si="6"/>
        <v>0</v>
      </c>
      <c r="AM21" s="1011"/>
      <c r="AN21" s="1012"/>
      <c r="AO21" s="1012"/>
      <c r="AP21" s="1013">
        <f t="shared" si="7"/>
        <v>0</v>
      </c>
      <c r="AQ21" s="1011"/>
      <c r="AR21" s="1012"/>
      <c r="AS21" s="1012"/>
      <c r="AT21" s="1013">
        <f t="shared" si="8"/>
        <v>0</v>
      </c>
      <c r="AU21" s="483"/>
      <c r="AV21" s="483"/>
      <c r="AW21" s="483"/>
      <c r="AX21" s="483"/>
      <c r="AY21" s="483"/>
    </row>
    <row r="22" spans="1:51">
      <c r="A22" s="532">
        <f t="shared" si="10"/>
        <v>15</v>
      </c>
      <c r="B22" s="832">
        <v>8</v>
      </c>
      <c r="C22" s="993" t="s">
        <v>709</v>
      </c>
      <c r="D22" s="940" t="s">
        <v>661</v>
      </c>
      <c r="E22" s="995" t="s">
        <v>1225</v>
      </c>
      <c r="F22" s="943" t="s">
        <v>708</v>
      </c>
      <c r="G22" s="1421">
        <f t="shared" si="0"/>
        <v>0</v>
      </c>
      <c r="H22" s="1422">
        <f t="shared" si="0"/>
        <v>0</v>
      </c>
      <c r="I22" s="1422">
        <f t="shared" si="0"/>
        <v>0</v>
      </c>
      <c r="J22" s="489">
        <f t="shared" si="0"/>
        <v>0</v>
      </c>
      <c r="K22" s="1421">
        <f t="shared" si="1"/>
        <v>0</v>
      </c>
      <c r="L22" s="1422">
        <f t="shared" si="1"/>
        <v>0</v>
      </c>
      <c r="M22" s="1422">
        <f t="shared" si="1"/>
        <v>0</v>
      </c>
      <c r="N22" s="489">
        <f t="shared" si="1"/>
        <v>0</v>
      </c>
      <c r="O22" s="1011"/>
      <c r="P22" s="1012"/>
      <c r="Q22" s="1012"/>
      <c r="R22" s="1013">
        <f t="shared" si="2"/>
        <v>0</v>
      </c>
      <c r="S22" s="1011"/>
      <c r="T22" s="1012"/>
      <c r="U22" s="1012"/>
      <c r="V22" s="1013">
        <f t="shared" si="3"/>
        <v>0</v>
      </c>
      <c r="W22" s="1011"/>
      <c r="X22" s="1012"/>
      <c r="Y22" s="1012"/>
      <c r="Z22" s="1013">
        <f t="shared" si="4"/>
        <v>0</v>
      </c>
      <c r="AA22" s="1011"/>
      <c r="AB22" s="1012"/>
      <c r="AC22" s="1012"/>
      <c r="AD22" s="1013">
        <f t="shared" si="5"/>
        <v>0</v>
      </c>
      <c r="AE22" s="1421">
        <f t="shared" si="9"/>
        <v>0</v>
      </c>
      <c r="AF22" s="1422">
        <f t="shared" si="9"/>
        <v>0</v>
      </c>
      <c r="AG22" s="1422">
        <f t="shared" si="9"/>
        <v>0</v>
      </c>
      <c r="AH22" s="489">
        <f t="shared" si="9"/>
        <v>0</v>
      </c>
      <c r="AI22" s="1011"/>
      <c r="AJ22" s="1012"/>
      <c r="AK22" s="1012"/>
      <c r="AL22" s="1013">
        <f t="shared" si="6"/>
        <v>0</v>
      </c>
      <c r="AM22" s="1011"/>
      <c r="AN22" s="1012"/>
      <c r="AO22" s="1012"/>
      <c r="AP22" s="1013">
        <f t="shared" si="7"/>
        <v>0</v>
      </c>
      <c r="AQ22" s="1011"/>
      <c r="AR22" s="1012"/>
      <c r="AS22" s="1012"/>
      <c r="AT22" s="1013">
        <f t="shared" si="8"/>
        <v>0</v>
      </c>
      <c r="AU22" s="483"/>
      <c r="AV22" s="483"/>
      <c r="AW22" s="483"/>
      <c r="AX22" s="483"/>
      <c r="AY22" s="483"/>
    </row>
    <row r="23" spans="1:51">
      <c r="A23" s="532">
        <f t="shared" si="10"/>
        <v>16</v>
      </c>
      <c r="B23" s="832">
        <v>8</v>
      </c>
      <c r="C23" s="993" t="s">
        <v>710</v>
      </c>
      <c r="D23" s="940" t="s">
        <v>662</v>
      </c>
      <c r="E23" s="995" t="s">
        <v>1225</v>
      </c>
      <c r="F23" s="943" t="s">
        <v>708</v>
      </c>
      <c r="G23" s="1421">
        <f t="shared" si="0"/>
        <v>0</v>
      </c>
      <c r="H23" s="1422">
        <f t="shared" si="0"/>
        <v>0</v>
      </c>
      <c r="I23" s="1422">
        <f t="shared" si="0"/>
        <v>0</v>
      </c>
      <c r="J23" s="489">
        <f t="shared" si="0"/>
        <v>0</v>
      </c>
      <c r="K23" s="1421">
        <f t="shared" si="1"/>
        <v>0</v>
      </c>
      <c r="L23" s="1422">
        <f t="shared" si="1"/>
        <v>0</v>
      </c>
      <c r="M23" s="1422">
        <f t="shared" si="1"/>
        <v>0</v>
      </c>
      <c r="N23" s="489">
        <f t="shared" si="1"/>
        <v>0</v>
      </c>
      <c r="O23" s="1011"/>
      <c r="P23" s="1012"/>
      <c r="Q23" s="1012"/>
      <c r="R23" s="1013">
        <f t="shared" si="2"/>
        <v>0</v>
      </c>
      <c r="S23" s="1011"/>
      <c r="T23" s="1012"/>
      <c r="U23" s="1012"/>
      <c r="V23" s="1013">
        <f t="shared" si="3"/>
        <v>0</v>
      </c>
      <c r="W23" s="1011"/>
      <c r="X23" s="1012"/>
      <c r="Y23" s="1012"/>
      <c r="Z23" s="1013">
        <f t="shared" si="4"/>
        <v>0</v>
      </c>
      <c r="AA23" s="1011"/>
      <c r="AB23" s="1012"/>
      <c r="AC23" s="1012"/>
      <c r="AD23" s="1013">
        <f t="shared" si="5"/>
        <v>0</v>
      </c>
      <c r="AE23" s="1421">
        <f t="shared" si="9"/>
        <v>0</v>
      </c>
      <c r="AF23" s="1422">
        <f t="shared" si="9"/>
        <v>0</v>
      </c>
      <c r="AG23" s="1422">
        <f t="shared" si="9"/>
        <v>0</v>
      </c>
      <c r="AH23" s="489">
        <f t="shared" si="9"/>
        <v>0</v>
      </c>
      <c r="AI23" s="1011"/>
      <c r="AJ23" s="1012"/>
      <c r="AK23" s="1012"/>
      <c r="AL23" s="1013">
        <f t="shared" si="6"/>
        <v>0</v>
      </c>
      <c r="AM23" s="1011"/>
      <c r="AN23" s="1012"/>
      <c r="AO23" s="1012"/>
      <c r="AP23" s="1013">
        <f t="shared" si="7"/>
        <v>0</v>
      </c>
      <c r="AQ23" s="1011"/>
      <c r="AR23" s="1012"/>
      <c r="AS23" s="1012"/>
      <c r="AT23" s="1013">
        <f t="shared" si="8"/>
        <v>0</v>
      </c>
      <c r="AU23" s="483"/>
      <c r="AV23" s="483"/>
      <c r="AW23" s="483"/>
      <c r="AX23" s="483"/>
      <c r="AY23" s="483"/>
    </row>
    <row r="24" spans="1:51">
      <c r="A24" s="532">
        <f t="shared" si="10"/>
        <v>17</v>
      </c>
      <c r="B24" s="832">
        <v>8</v>
      </c>
      <c r="C24" s="993" t="s">
        <v>712</v>
      </c>
      <c r="D24" s="940" t="s">
        <v>713</v>
      </c>
      <c r="E24" s="995" t="s">
        <v>1225</v>
      </c>
      <c r="F24" s="943" t="s">
        <v>711</v>
      </c>
      <c r="G24" s="1421">
        <f t="shared" si="0"/>
        <v>11612</v>
      </c>
      <c r="H24" s="1422">
        <f t="shared" si="0"/>
        <v>58704</v>
      </c>
      <c r="I24" s="1422">
        <f t="shared" si="0"/>
        <v>669</v>
      </c>
      <c r="J24" s="489">
        <f t="shared" si="0"/>
        <v>59373</v>
      </c>
      <c r="K24" s="1421">
        <f t="shared" si="1"/>
        <v>11612</v>
      </c>
      <c r="L24" s="1422">
        <f t="shared" si="1"/>
        <v>58704</v>
      </c>
      <c r="M24" s="1422">
        <f t="shared" si="1"/>
        <v>669</v>
      </c>
      <c r="N24" s="489">
        <f t="shared" si="1"/>
        <v>59373</v>
      </c>
      <c r="O24" s="1011">
        <v>11612</v>
      </c>
      <c r="P24" s="1012">
        <v>58704</v>
      </c>
      <c r="Q24" s="1012">
        <v>669</v>
      </c>
      <c r="R24" s="1013">
        <f t="shared" si="2"/>
        <v>59373</v>
      </c>
      <c r="S24" s="1011"/>
      <c r="T24" s="1012"/>
      <c r="U24" s="1012"/>
      <c r="V24" s="1013">
        <f t="shared" si="3"/>
        <v>0</v>
      </c>
      <c r="W24" s="1011"/>
      <c r="X24" s="1012"/>
      <c r="Y24" s="1012"/>
      <c r="Z24" s="1013">
        <f t="shared" si="4"/>
        <v>0</v>
      </c>
      <c r="AA24" s="1011"/>
      <c r="AB24" s="1012"/>
      <c r="AC24" s="1012"/>
      <c r="AD24" s="1013">
        <f t="shared" si="5"/>
        <v>0</v>
      </c>
      <c r="AE24" s="1421">
        <f t="shared" si="9"/>
        <v>0</v>
      </c>
      <c r="AF24" s="1422">
        <f t="shared" si="9"/>
        <v>0</v>
      </c>
      <c r="AG24" s="1422">
        <f t="shared" si="9"/>
        <v>0</v>
      </c>
      <c r="AH24" s="489">
        <f t="shared" si="9"/>
        <v>0</v>
      </c>
      <c r="AI24" s="1011"/>
      <c r="AJ24" s="1012"/>
      <c r="AK24" s="1012"/>
      <c r="AL24" s="1013">
        <f t="shared" si="6"/>
        <v>0</v>
      </c>
      <c r="AM24" s="1011"/>
      <c r="AN24" s="1012"/>
      <c r="AO24" s="1012"/>
      <c r="AP24" s="1013">
        <f t="shared" si="7"/>
        <v>0</v>
      </c>
      <c r="AQ24" s="1011"/>
      <c r="AR24" s="1012"/>
      <c r="AS24" s="1012"/>
      <c r="AT24" s="1013">
        <f t="shared" si="8"/>
        <v>0</v>
      </c>
      <c r="AU24" s="483"/>
      <c r="AV24" s="483"/>
      <c r="AW24" s="483"/>
      <c r="AX24" s="483"/>
      <c r="AY24" s="483"/>
    </row>
    <row r="25" spans="1:51">
      <c r="A25" s="532">
        <f t="shared" si="10"/>
        <v>18</v>
      </c>
      <c r="B25" s="832">
        <v>8</v>
      </c>
      <c r="C25" s="993" t="s">
        <v>716</v>
      </c>
      <c r="D25" s="940" t="s">
        <v>717</v>
      </c>
      <c r="E25" s="995" t="s">
        <v>1225</v>
      </c>
      <c r="F25" s="943" t="s">
        <v>714</v>
      </c>
      <c r="G25" s="1421">
        <f t="shared" si="0"/>
        <v>0</v>
      </c>
      <c r="H25" s="1422">
        <f t="shared" si="0"/>
        <v>0</v>
      </c>
      <c r="I25" s="1422">
        <f t="shared" si="0"/>
        <v>0</v>
      </c>
      <c r="J25" s="489">
        <f t="shared" si="0"/>
        <v>0</v>
      </c>
      <c r="K25" s="1421">
        <f t="shared" si="1"/>
        <v>0</v>
      </c>
      <c r="L25" s="1422">
        <f t="shared" si="1"/>
        <v>0</v>
      </c>
      <c r="M25" s="1422">
        <f t="shared" si="1"/>
        <v>0</v>
      </c>
      <c r="N25" s="489">
        <f t="shared" si="1"/>
        <v>0</v>
      </c>
      <c r="O25" s="1011"/>
      <c r="P25" s="1012"/>
      <c r="Q25" s="1012"/>
      <c r="R25" s="1013">
        <f t="shared" si="2"/>
        <v>0</v>
      </c>
      <c r="S25" s="1011"/>
      <c r="T25" s="1012"/>
      <c r="U25" s="1012"/>
      <c r="V25" s="1013">
        <f t="shared" si="3"/>
        <v>0</v>
      </c>
      <c r="W25" s="1011"/>
      <c r="X25" s="1012"/>
      <c r="Y25" s="1012"/>
      <c r="Z25" s="1013">
        <f t="shared" si="4"/>
        <v>0</v>
      </c>
      <c r="AA25" s="1011"/>
      <c r="AB25" s="1012"/>
      <c r="AC25" s="1012"/>
      <c r="AD25" s="1013">
        <f t="shared" si="5"/>
        <v>0</v>
      </c>
      <c r="AE25" s="1421">
        <f t="shared" si="9"/>
        <v>0</v>
      </c>
      <c r="AF25" s="1422">
        <f t="shared" si="9"/>
        <v>0</v>
      </c>
      <c r="AG25" s="1422">
        <f t="shared" si="9"/>
        <v>0</v>
      </c>
      <c r="AH25" s="489">
        <f t="shared" si="9"/>
        <v>0</v>
      </c>
      <c r="AI25" s="1011"/>
      <c r="AJ25" s="1012"/>
      <c r="AK25" s="1012"/>
      <c r="AL25" s="1013">
        <f t="shared" si="6"/>
        <v>0</v>
      </c>
      <c r="AM25" s="1011"/>
      <c r="AN25" s="1012"/>
      <c r="AO25" s="1012"/>
      <c r="AP25" s="1013">
        <f t="shared" si="7"/>
        <v>0</v>
      </c>
      <c r="AQ25" s="1011"/>
      <c r="AR25" s="1012"/>
      <c r="AS25" s="1012"/>
      <c r="AT25" s="1013">
        <f t="shared" si="8"/>
        <v>0</v>
      </c>
      <c r="AU25" s="483"/>
      <c r="AV25" s="483"/>
      <c r="AW25" s="483"/>
      <c r="AX25" s="483"/>
      <c r="AY25" s="483"/>
    </row>
    <row r="26" spans="1:51">
      <c r="A26" s="532">
        <f t="shared" si="10"/>
        <v>19</v>
      </c>
      <c r="B26" s="832">
        <v>8</v>
      </c>
      <c r="C26" s="996" t="s">
        <v>715</v>
      </c>
      <c r="D26" s="940" t="s">
        <v>663</v>
      </c>
      <c r="E26" s="995" t="s">
        <v>1225</v>
      </c>
      <c r="F26" s="943" t="s">
        <v>714</v>
      </c>
      <c r="G26" s="1421">
        <f t="shared" si="0"/>
        <v>11238</v>
      </c>
      <c r="H26" s="1422">
        <f t="shared" si="0"/>
        <v>60714</v>
      </c>
      <c r="I26" s="1422">
        <f t="shared" si="0"/>
        <v>0</v>
      </c>
      <c r="J26" s="489">
        <f t="shared" si="0"/>
        <v>60714</v>
      </c>
      <c r="K26" s="1421">
        <f t="shared" si="1"/>
        <v>11238</v>
      </c>
      <c r="L26" s="1422">
        <f t="shared" si="1"/>
        <v>60714</v>
      </c>
      <c r="M26" s="1422">
        <f t="shared" si="1"/>
        <v>0</v>
      </c>
      <c r="N26" s="489">
        <f t="shared" si="1"/>
        <v>60714</v>
      </c>
      <c r="O26" s="1011">
        <v>3238</v>
      </c>
      <c r="P26" s="1012">
        <v>52714</v>
      </c>
      <c r="Q26" s="1012"/>
      <c r="R26" s="1013">
        <f t="shared" si="2"/>
        <v>52714</v>
      </c>
      <c r="S26" s="1011"/>
      <c r="T26" s="1012"/>
      <c r="U26" s="1012"/>
      <c r="V26" s="1013">
        <f t="shared" si="3"/>
        <v>0</v>
      </c>
      <c r="W26" s="1011">
        <v>8000</v>
      </c>
      <c r="X26" s="1012">
        <v>8000</v>
      </c>
      <c r="Y26" s="1012"/>
      <c r="Z26" s="1013">
        <f t="shared" si="4"/>
        <v>8000</v>
      </c>
      <c r="AA26" s="1011"/>
      <c r="AB26" s="1012"/>
      <c r="AC26" s="1012"/>
      <c r="AD26" s="1013">
        <f t="shared" si="5"/>
        <v>0</v>
      </c>
      <c r="AE26" s="1421">
        <f t="shared" si="9"/>
        <v>0</v>
      </c>
      <c r="AF26" s="1422">
        <f t="shared" si="9"/>
        <v>0</v>
      </c>
      <c r="AG26" s="1422">
        <f t="shared" si="9"/>
        <v>0</v>
      </c>
      <c r="AH26" s="489">
        <f t="shared" si="9"/>
        <v>0</v>
      </c>
      <c r="AI26" s="1011"/>
      <c r="AJ26" s="1012"/>
      <c r="AK26" s="1012"/>
      <c r="AL26" s="1013">
        <f t="shared" si="6"/>
        <v>0</v>
      </c>
      <c r="AM26" s="1011"/>
      <c r="AN26" s="1012"/>
      <c r="AO26" s="1012"/>
      <c r="AP26" s="1013">
        <f t="shared" si="7"/>
        <v>0</v>
      </c>
      <c r="AQ26" s="1011"/>
      <c r="AR26" s="1012"/>
      <c r="AS26" s="1012"/>
      <c r="AT26" s="1013">
        <f t="shared" si="8"/>
        <v>0</v>
      </c>
      <c r="AU26" s="483"/>
      <c r="AV26" s="483"/>
      <c r="AW26" s="483"/>
      <c r="AX26" s="483"/>
      <c r="AY26" s="483"/>
    </row>
    <row r="27" spans="1:51">
      <c r="A27" s="532">
        <f t="shared" si="10"/>
        <v>20</v>
      </c>
      <c r="B27" s="833">
        <v>8</v>
      </c>
      <c r="C27" s="997" t="s">
        <v>706</v>
      </c>
      <c r="D27" s="946" t="s">
        <v>705</v>
      </c>
      <c r="E27" s="998" t="s">
        <v>1230</v>
      </c>
      <c r="F27" s="947" t="s">
        <v>1004</v>
      </c>
      <c r="G27" s="1423">
        <f t="shared" si="0"/>
        <v>0</v>
      </c>
      <c r="H27" s="1424">
        <f t="shared" si="0"/>
        <v>0</v>
      </c>
      <c r="I27" s="1424">
        <f t="shared" si="0"/>
        <v>0</v>
      </c>
      <c r="J27" s="492">
        <f t="shared" si="0"/>
        <v>0</v>
      </c>
      <c r="K27" s="1423">
        <f t="shared" si="1"/>
        <v>0</v>
      </c>
      <c r="L27" s="1424">
        <f t="shared" si="1"/>
        <v>0</v>
      </c>
      <c r="M27" s="1424">
        <f t="shared" si="1"/>
        <v>0</v>
      </c>
      <c r="N27" s="492">
        <f t="shared" si="1"/>
        <v>0</v>
      </c>
      <c r="O27" s="1011"/>
      <c r="P27" s="1012"/>
      <c r="Q27" s="1012"/>
      <c r="R27" s="1013">
        <f t="shared" si="2"/>
        <v>0</v>
      </c>
      <c r="S27" s="1011"/>
      <c r="T27" s="1012"/>
      <c r="U27" s="1012"/>
      <c r="V27" s="1013">
        <f t="shared" si="3"/>
        <v>0</v>
      </c>
      <c r="W27" s="1011"/>
      <c r="X27" s="1012"/>
      <c r="Y27" s="1012"/>
      <c r="Z27" s="1013">
        <f t="shared" si="4"/>
        <v>0</v>
      </c>
      <c r="AA27" s="1011"/>
      <c r="AB27" s="1012"/>
      <c r="AC27" s="1012"/>
      <c r="AD27" s="1013">
        <f t="shared" si="5"/>
        <v>0</v>
      </c>
      <c r="AE27" s="1423">
        <f t="shared" si="9"/>
        <v>0</v>
      </c>
      <c r="AF27" s="1424">
        <f t="shared" si="9"/>
        <v>0</v>
      </c>
      <c r="AG27" s="1424">
        <f t="shared" si="9"/>
        <v>0</v>
      </c>
      <c r="AH27" s="492">
        <f t="shared" si="9"/>
        <v>0</v>
      </c>
      <c r="AI27" s="1011"/>
      <c r="AJ27" s="1012"/>
      <c r="AK27" s="1012"/>
      <c r="AL27" s="1013">
        <f t="shared" si="6"/>
        <v>0</v>
      </c>
      <c r="AM27" s="1011"/>
      <c r="AN27" s="1012"/>
      <c r="AO27" s="1012"/>
      <c r="AP27" s="1013">
        <f t="shared" si="7"/>
        <v>0</v>
      </c>
      <c r="AQ27" s="1011"/>
      <c r="AR27" s="1012"/>
      <c r="AS27" s="1012"/>
      <c r="AT27" s="1013">
        <f t="shared" si="8"/>
        <v>0</v>
      </c>
      <c r="AU27" s="483"/>
      <c r="AV27" s="483"/>
      <c r="AW27" s="483"/>
      <c r="AX27" s="483"/>
      <c r="AY27" s="483"/>
    </row>
    <row r="28" spans="1:51">
      <c r="A28" s="532">
        <f t="shared" si="10"/>
        <v>21</v>
      </c>
      <c r="B28" s="834">
        <v>5</v>
      </c>
      <c r="C28" s="997" t="s">
        <v>694</v>
      </c>
      <c r="D28" s="946" t="s">
        <v>642</v>
      </c>
      <c r="E28" s="998" t="s">
        <v>1225</v>
      </c>
      <c r="F28" s="947" t="s">
        <v>642</v>
      </c>
      <c r="G28" s="1423">
        <f t="shared" si="0"/>
        <v>0</v>
      </c>
      <c r="H28" s="1424">
        <f t="shared" si="0"/>
        <v>0</v>
      </c>
      <c r="I28" s="1424">
        <f t="shared" si="0"/>
        <v>0</v>
      </c>
      <c r="J28" s="492">
        <f t="shared" si="0"/>
        <v>0</v>
      </c>
      <c r="K28" s="1423">
        <f t="shared" si="1"/>
        <v>0</v>
      </c>
      <c r="L28" s="1424">
        <f t="shared" si="1"/>
        <v>0</v>
      </c>
      <c r="M28" s="1424">
        <f t="shared" si="1"/>
        <v>0</v>
      </c>
      <c r="N28" s="492">
        <f t="shared" si="1"/>
        <v>0</v>
      </c>
      <c r="O28" s="1011"/>
      <c r="P28" s="1012"/>
      <c r="Q28" s="1012"/>
      <c r="R28" s="1013">
        <f t="shared" si="2"/>
        <v>0</v>
      </c>
      <c r="S28" s="1011"/>
      <c r="T28" s="1012"/>
      <c r="U28" s="1012"/>
      <c r="V28" s="1013">
        <f t="shared" si="3"/>
        <v>0</v>
      </c>
      <c r="W28" s="1011"/>
      <c r="X28" s="1012"/>
      <c r="Y28" s="1012"/>
      <c r="Z28" s="1013">
        <f t="shared" si="4"/>
        <v>0</v>
      </c>
      <c r="AA28" s="1011"/>
      <c r="AB28" s="1012"/>
      <c r="AC28" s="1012"/>
      <c r="AD28" s="1013">
        <f t="shared" si="5"/>
        <v>0</v>
      </c>
      <c r="AE28" s="1423">
        <f t="shared" si="9"/>
        <v>0</v>
      </c>
      <c r="AF28" s="1424">
        <f t="shared" si="9"/>
        <v>0</v>
      </c>
      <c r="AG28" s="1424">
        <f t="shared" si="9"/>
        <v>0</v>
      </c>
      <c r="AH28" s="492">
        <f t="shared" si="9"/>
        <v>0</v>
      </c>
      <c r="AI28" s="1011"/>
      <c r="AJ28" s="1012"/>
      <c r="AK28" s="1012"/>
      <c r="AL28" s="1013">
        <f t="shared" si="6"/>
        <v>0</v>
      </c>
      <c r="AM28" s="1011"/>
      <c r="AN28" s="1012"/>
      <c r="AO28" s="1012"/>
      <c r="AP28" s="1013">
        <f t="shared" si="7"/>
        <v>0</v>
      </c>
      <c r="AQ28" s="1011"/>
      <c r="AR28" s="1012"/>
      <c r="AS28" s="1012"/>
      <c r="AT28" s="1013">
        <f t="shared" si="8"/>
        <v>0</v>
      </c>
      <c r="AU28" s="483"/>
      <c r="AV28" s="483"/>
      <c r="AW28" s="483"/>
      <c r="AX28" s="483"/>
      <c r="AY28" s="483"/>
    </row>
    <row r="29" spans="1:51" s="493" customFormat="1">
      <c r="A29" s="532">
        <f t="shared" si="10"/>
        <v>22</v>
      </c>
      <c r="B29" s="834">
        <v>8</v>
      </c>
      <c r="C29" s="996" t="s">
        <v>696</v>
      </c>
      <c r="D29" s="940" t="s">
        <v>695</v>
      </c>
      <c r="E29" s="995" t="s">
        <v>1247</v>
      </c>
      <c r="F29" s="943" t="s">
        <v>695</v>
      </c>
      <c r="G29" s="1421">
        <f t="shared" si="0"/>
        <v>0</v>
      </c>
      <c r="H29" s="1422">
        <f t="shared" si="0"/>
        <v>0</v>
      </c>
      <c r="I29" s="1422">
        <f t="shared" si="0"/>
        <v>0</v>
      </c>
      <c r="J29" s="489">
        <f t="shared" si="0"/>
        <v>0</v>
      </c>
      <c r="K29" s="1421">
        <f t="shared" si="1"/>
        <v>0</v>
      </c>
      <c r="L29" s="1422">
        <f t="shared" si="1"/>
        <v>0</v>
      </c>
      <c r="M29" s="1422">
        <f t="shared" si="1"/>
        <v>0</v>
      </c>
      <c r="N29" s="489">
        <f t="shared" si="1"/>
        <v>0</v>
      </c>
      <c r="O29" s="1011"/>
      <c r="P29" s="1012"/>
      <c r="Q29" s="1012"/>
      <c r="R29" s="1013">
        <f t="shared" si="2"/>
        <v>0</v>
      </c>
      <c r="S29" s="1011"/>
      <c r="T29" s="1012"/>
      <c r="U29" s="1012"/>
      <c r="V29" s="1013">
        <f t="shared" si="3"/>
        <v>0</v>
      </c>
      <c r="W29" s="1011"/>
      <c r="X29" s="1012"/>
      <c r="Y29" s="1012"/>
      <c r="Z29" s="1013">
        <f t="shared" si="4"/>
        <v>0</v>
      </c>
      <c r="AA29" s="1011"/>
      <c r="AB29" s="1012"/>
      <c r="AC29" s="1012"/>
      <c r="AD29" s="1013">
        <f t="shared" si="5"/>
        <v>0</v>
      </c>
      <c r="AE29" s="1421">
        <f t="shared" si="9"/>
        <v>0</v>
      </c>
      <c r="AF29" s="1422">
        <f t="shared" si="9"/>
        <v>0</v>
      </c>
      <c r="AG29" s="1422">
        <f t="shared" si="9"/>
        <v>0</v>
      </c>
      <c r="AH29" s="489">
        <f t="shared" si="9"/>
        <v>0</v>
      </c>
      <c r="AI29" s="1011"/>
      <c r="AJ29" s="1012"/>
      <c r="AK29" s="1012"/>
      <c r="AL29" s="1013">
        <f t="shared" si="6"/>
        <v>0</v>
      </c>
      <c r="AM29" s="1011"/>
      <c r="AN29" s="1012"/>
      <c r="AO29" s="1012"/>
      <c r="AP29" s="1013">
        <f t="shared" si="7"/>
        <v>0</v>
      </c>
      <c r="AQ29" s="1011"/>
      <c r="AR29" s="1012"/>
      <c r="AS29" s="1012"/>
      <c r="AT29" s="1013">
        <f t="shared" si="8"/>
        <v>0</v>
      </c>
      <c r="AU29" s="483"/>
      <c r="AV29" s="483"/>
      <c r="AW29" s="483"/>
      <c r="AX29" s="483"/>
      <c r="AY29" s="483"/>
    </row>
    <row r="30" spans="1:51" s="493" customFormat="1">
      <c r="A30" s="532">
        <f t="shared" si="10"/>
        <v>23</v>
      </c>
      <c r="B30" s="833">
        <v>5</v>
      </c>
      <c r="C30" s="996" t="s">
        <v>697</v>
      </c>
      <c r="D30" s="940" t="s">
        <v>643</v>
      </c>
      <c r="E30" s="995" t="s">
        <v>1225</v>
      </c>
      <c r="F30" s="943" t="s">
        <v>643</v>
      </c>
      <c r="G30" s="1421">
        <f t="shared" si="0"/>
        <v>0</v>
      </c>
      <c r="H30" s="1422">
        <f t="shared" si="0"/>
        <v>0</v>
      </c>
      <c r="I30" s="1422">
        <f t="shared" si="0"/>
        <v>0</v>
      </c>
      <c r="J30" s="489">
        <f t="shared" si="0"/>
        <v>0</v>
      </c>
      <c r="K30" s="1421">
        <f t="shared" si="1"/>
        <v>0</v>
      </c>
      <c r="L30" s="1422">
        <f t="shared" si="1"/>
        <v>0</v>
      </c>
      <c r="M30" s="1422">
        <f t="shared" si="1"/>
        <v>0</v>
      </c>
      <c r="N30" s="489">
        <f t="shared" si="1"/>
        <v>0</v>
      </c>
      <c r="O30" s="1011"/>
      <c r="P30" s="1012"/>
      <c r="Q30" s="1012"/>
      <c r="R30" s="1013">
        <f t="shared" si="2"/>
        <v>0</v>
      </c>
      <c r="S30" s="1011"/>
      <c r="T30" s="1012"/>
      <c r="U30" s="1012"/>
      <c r="V30" s="1013">
        <f t="shared" si="3"/>
        <v>0</v>
      </c>
      <c r="W30" s="1011"/>
      <c r="X30" s="1012"/>
      <c r="Y30" s="1012"/>
      <c r="Z30" s="1013">
        <f t="shared" si="4"/>
        <v>0</v>
      </c>
      <c r="AA30" s="1011"/>
      <c r="AB30" s="1012"/>
      <c r="AC30" s="1012"/>
      <c r="AD30" s="1013">
        <f t="shared" si="5"/>
        <v>0</v>
      </c>
      <c r="AE30" s="1421">
        <f t="shared" si="9"/>
        <v>0</v>
      </c>
      <c r="AF30" s="1422">
        <f t="shared" si="9"/>
        <v>0</v>
      </c>
      <c r="AG30" s="1422">
        <f t="shared" si="9"/>
        <v>0</v>
      </c>
      <c r="AH30" s="489">
        <f t="shared" si="9"/>
        <v>0</v>
      </c>
      <c r="AI30" s="1011"/>
      <c r="AJ30" s="1012"/>
      <c r="AK30" s="1012"/>
      <c r="AL30" s="1013">
        <f t="shared" si="6"/>
        <v>0</v>
      </c>
      <c r="AM30" s="1011"/>
      <c r="AN30" s="1012"/>
      <c r="AO30" s="1012"/>
      <c r="AP30" s="1013">
        <f t="shared" si="7"/>
        <v>0</v>
      </c>
      <c r="AQ30" s="1011"/>
      <c r="AR30" s="1012"/>
      <c r="AS30" s="1012"/>
      <c r="AT30" s="1013">
        <f t="shared" si="8"/>
        <v>0</v>
      </c>
      <c r="AU30" s="483"/>
      <c r="AV30" s="483"/>
      <c r="AW30" s="483"/>
      <c r="AX30" s="483"/>
      <c r="AY30" s="483"/>
    </row>
    <row r="31" spans="1:51" s="493" customFormat="1">
      <c r="A31" s="532">
        <f t="shared" si="10"/>
        <v>24</v>
      </c>
      <c r="B31" s="833">
        <v>8</v>
      </c>
      <c r="C31" s="996" t="s">
        <v>718</v>
      </c>
      <c r="D31" s="940" t="s">
        <v>648</v>
      </c>
      <c r="E31" s="995" t="s">
        <v>1225</v>
      </c>
      <c r="F31" s="943" t="s">
        <v>648</v>
      </c>
      <c r="G31" s="1421">
        <f t="shared" si="0"/>
        <v>0</v>
      </c>
      <c r="H31" s="1422">
        <f t="shared" si="0"/>
        <v>0</v>
      </c>
      <c r="I31" s="1422">
        <f t="shared" si="0"/>
        <v>0</v>
      </c>
      <c r="J31" s="489">
        <f t="shared" si="0"/>
        <v>0</v>
      </c>
      <c r="K31" s="1421">
        <f t="shared" si="1"/>
        <v>0</v>
      </c>
      <c r="L31" s="1422">
        <f t="shared" si="1"/>
        <v>0</v>
      </c>
      <c r="M31" s="1422">
        <f t="shared" si="1"/>
        <v>0</v>
      </c>
      <c r="N31" s="489">
        <f t="shared" si="1"/>
        <v>0</v>
      </c>
      <c r="O31" s="1011"/>
      <c r="P31" s="1012"/>
      <c r="Q31" s="1012"/>
      <c r="R31" s="1013">
        <f t="shared" si="2"/>
        <v>0</v>
      </c>
      <c r="S31" s="1011"/>
      <c r="T31" s="1012"/>
      <c r="U31" s="1012"/>
      <c r="V31" s="1013">
        <f t="shared" si="3"/>
        <v>0</v>
      </c>
      <c r="W31" s="1011"/>
      <c r="X31" s="1012"/>
      <c r="Y31" s="1012"/>
      <c r="Z31" s="1013">
        <f t="shared" si="4"/>
        <v>0</v>
      </c>
      <c r="AA31" s="1011"/>
      <c r="AB31" s="1012"/>
      <c r="AC31" s="1012"/>
      <c r="AD31" s="1013">
        <f t="shared" si="5"/>
        <v>0</v>
      </c>
      <c r="AE31" s="1421">
        <f t="shared" si="9"/>
        <v>0</v>
      </c>
      <c r="AF31" s="1422">
        <f t="shared" si="9"/>
        <v>0</v>
      </c>
      <c r="AG31" s="1422">
        <f t="shared" si="9"/>
        <v>0</v>
      </c>
      <c r="AH31" s="489">
        <f t="shared" si="9"/>
        <v>0</v>
      </c>
      <c r="AI31" s="1011"/>
      <c r="AJ31" s="1012"/>
      <c r="AK31" s="1012"/>
      <c r="AL31" s="1013">
        <f t="shared" si="6"/>
        <v>0</v>
      </c>
      <c r="AM31" s="1011"/>
      <c r="AN31" s="1012"/>
      <c r="AO31" s="1012"/>
      <c r="AP31" s="1013">
        <f t="shared" si="7"/>
        <v>0</v>
      </c>
      <c r="AQ31" s="1011"/>
      <c r="AR31" s="1012"/>
      <c r="AS31" s="1012"/>
      <c r="AT31" s="1013">
        <f t="shared" si="8"/>
        <v>0</v>
      </c>
      <c r="AU31" s="483"/>
      <c r="AV31" s="483"/>
      <c r="AW31" s="483"/>
      <c r="AX31" s="483"/>
      <c r="AY31" s="483"/>
    </row>
    <row r="32" spans="1:51" s="493" customFormat="1">
      <c r="A32" s="532">
        <f t="shared" si="10"/>
        <v>25</v>
      </c>
      <c r="B32" s="833">
        <v>8</v>
      </c>
      <c r="C32" s="996" t="s">
        <v>692</v>
      </c>
      <c r="D32" s="940" t="s">
        <v>693</v>
      </c>
      <c r="E32" s="995" t="s">
        <v>1225</v>
      </c>
      <c r="F32" s="943" t="s">
        <v>1007</v>
      </c>
      <c r="G32" s="1421">
        <f t="shared" si="0"/>
        <v>0</v>
      </c>
      <c r="H32" s="1422">
        <f t="shared" si="0"/>
        <v>0</v>
      </c>
      <c r="I32" s="1422">
        <f t="shared" si="0"/>
        <v>0</v>
      </c>
      <c r="J32" s="489">
        <f t="shared" si="0"/>
        <v>0</v>
      </c>
      <c r="K32" s="1421">
        <f t="shared" si="1"/>
        <v>0</v>
      </c>
      <c r="L32" s="1422">
        <f t="shared" si="1"/>
        <v>0</v>
      </c>
      <c r="M32" s="1422">
        <f t="shared" si="1"/>
        <v>0</v>
      </c>
      <c r="N32" s="489">
        <f t="shared" si="1"/>
        <v>0</v>
      </c>
      <c r="O32" s="1011"/>
      <c r="P32" s="1012"/>
      <c r="Q32" s="1012"/>
      <c r="R32" s="1013">
        <f t="shared" si="2"/>
        <v>0</v>
      </c>
      <c r="S32" s="1011"/>
      <c r="T32" s="1012"/>
      <c r="U32" s="1012"/>
      <c r="V32" s="1013">
        <f t="shared" si="3"/>
        <v>0</v>
      </c>
      <c r="W32" s="1011"/>
      <c r="X32" s="1012"/>
      <c r="Y32" s="1012"/>
      <c r="Z32" s="1013">
        <f t="shared" si="4"/>
        <v>0</v>
      </c>
      <c r="AA32" s="1011"/>
      <c r="AB32" s="1012"/>
      <c r="AC32" s="1012"/>
      <c r="AD32" s="1013">
        <f t="shared" si="5"/>
        <v>0</v>
      </c>
      <c r="AE32" s="1421">
        <f t="shared" si="9"/>
        <v>0</v>
      </c>
      <c r="AF32" s="1422">
        <f t="shared" si="9"/>
        <v>0</v>
      </c>
      <c r="AG32" s="1422">
        <f t="shared" si="9"/>
        <v>0</v>
      </c>
      <c r="AH32" s="489">
        <f t="shared" si="9"/>
        <v>0</v>
      </c>
      <c r="AI32" s="1011"/>
      <c r="AJ32" s="1012"/>
      <c r="AK32" s="1012"/>
      <c r="AL32" s="1013">
        <f t="shared" si="6"/>
        <v>0</v>
      </c>
      <c r="AM32" s="1011"/>
      <c r="AN32" s="1012"/>
      <c r="AO32" s="1012"/>
      <c r="AP32" s="1013">
        <f t="shared" si="7"/>
        <v>0</v>
      </c>
      <c r="AQ32" s="1011"/>
      <c r="AR32" s="1012"/>
      <c r="AS32" s="1012"/>
      <c r="AT32" s="1013">
        <f t="shared" si="8"/>
        <v>0</v>
      </c>
      <c r="AU32" s="483"/>
      <c r="AV32" s="483"/>
      <c r="AW32" s="483"/>
      <c r="AX32" s="483"/>
      <c r="AY32" s="483"/>
    </row>
    <row r="33" spans="1:51" s="493" customFormat="1">
      <c r="A33" s="532">
        <f t="shared" si="10"/>
        <v>26</v>
      </c>
      <c r="B33" s="833">
        <v>8</v>
      </c>
      <c r="C33" s="996" t="s">
        <v>690</v>
      </c>
      <c r="D33" s="940" t="s">
        <v>691</v>
      </c>
      <c r="E33" s="995" t="s">
        <v>1225</v>
      </c>
      <c r="F33" s="943" t="s">
        <v>641</v>
      </c>
      <c r="G33" s="1421">
        <f t="shared" si="0"/>
        <v>11527</v>
      </c>
      <c r="H33" s="1422">
        <f t="shared" si="0"/>
        <v>11527</v>
      </c>
      <c r="I33" s="1422">
        <f t="shared" si="0"/>
        <v>0</v>
      </c>
      <c r="J33" s="489">
        <f t="shared" si="0"/>
        <v>11527</v>
      </c>
      <c r="K33" s="1421">
        <f t="shared" si="1"/>
        <v>11527</v>
      </c>
      <c r="L33" s="1422">
        <f t="shared" si="1"/>
        <v>11527</v>
      </c>
      <c r="M33" s="1422">
        <f t="shared" si="1"/>
        <v>0</v>
      </c>
      <c r="N33" s="489">
        <f t="shared" si="1"/>
        <v>11527</v>
      </c>
      <c r="O33" s="1011"/>
      <c r="P33" s="1012"/>
      <c r="Q33" s="1012"/>
      <c r="R33" s="1013">
        <f t="shared" si="2"/>
        <v>0</v>
      </c>
      <c r="S33" s="1011"/>
      <c r="T33" s="1012"/>
      <c r="U33" s="1012"/>
      <c r="V33" s="1013">
        <f t="shared" si="3"/>
        <v>0</v>
      </c>
      <c r="W33" s="1011">
        <v>11527</v>
      </c>
      <c r="X33" s="1012">
        <v>11527</v>
      </c>
      <c r="Y33" s="1012"/>
      <c r="Z33" s="1013">
        <f t="shared" si="4"/>
        <v>11527</v>
      </c>
      <c r="AA33" s="1011"/>
      <c r="AB33" s="1012"/>
      <c r="AC33" s="1012"/>
      <c r="AD33" s="1013">
        <f t="shared" si="5"/>
        <v>0</v>
      </c>
      <c r="AE33" s="1421">
        <f t="shared" si="9"/>
        <v>0</v>
      </c>
      <c r="AF33" s="1422">
        <f t="shared" si="9"/>
        <v>0</v>
      </c>
      <c r="AG33" s="1422">
        <f t="shared" si="9"/>
        <v>0</v>
      </c>
      <c r="AH33" s="489">
        <f t="shared" si="9"/>
        <v>0</v>
      </c>
      <c r="AI33" s="1011"/>
      <c r="AJ33" s="1012"/>
      <c r="AK33" s="1012"/>
      <c r="AL33" s="1013">
        <f t="shared" si="6"/>
        <v>0</v>
      </c>
      <c r="AM33" s="1011"/>
      <c r="AN33" s="1012"/>
      <c r="AO33" s="1012"/>
      <c r="AP33" s="1013">
        <f t="shared" si="7"/>
        <v>0</v>
      </c>
      <c r="AQ33" s="1011"/>
      <c r="AR33" s="1012"/>
      <c r="AS33" s="1012"/>
      <c r="AT33" s="1013">
        <f t="shared" si="8"/>
        <v>0</v>
      </c>
      <c r="AU33" s="483"/>
      <c r="AV33" s="483"/>
      <c r="AW33" s="483"/>
      <c r="AX33" s="483"/>
      <c r="AY33" s="483"/>
    </row>
    <row r="34" spans="1:51" s="493" customFormat="1">
      <c r="A34" s="532">
        <f t="shared" si="10"/>
        <v>27</v>
      </c>
      <c r="B34" s="833">
        <v>3</v>
      </c>
      <c r="C34" s="996" t="s">
        <v>698</v>
      </c>
      <c r="D34" s="940" t="s">
        <v>644</v>
      </c>
      <c r="E34" s="995" t="s">
        <v>1225</v>
      </c>
      <c r="F34" s="943" t="s">
        <v>644</v>
      </c>
      <c r="G34" s="1421">
        <f t="shared" si="0"/>
        <v>0</v>
      </c>
      <c r="H34" s="1422">
        <f t="shared" si="0"/>
        <v>0</v>
      </c>
      <c r="I34" s="1422">
        <f t="shared" si="0"/>
        <v>0</v>
      </c>
      <c r="J34" s="489">
        <f t="shared" si="0"/>
        <v>0</v>
      </c>
      <c r="K34" s="1421">
        <f t="shared" si="1"/>
        <v>0</v>
      </c>
      <c r="L34" s="1422">
        <f t="shared" si="1"/>
        <v>0</v>
      </c>
      <c r="M34" s="1422">
        <f t="shared" si="1"/>
        <v>0</v>
      </c>
      <c r="N34" s="489">
        <f t="shared" si="1"/>
        <v>0</v>
      </c>
      <c r="O34" s="1011"/>
      <c r="P34" s="1012"/>
      <c r="Q34" s="1012"/>
      <c r="R34" s="1013">
        <f t="shared" si="2"/>
        <v>0</v>
      </c>
      <c r="S34" s="1011"/>
      <c r="T34" s="1012"/>
      <c r="U34" s="1012"/>
      <c r="V34" s="1013">
        <f t="shared" si="3"/>
        <v>0</v>
      </c>
      <c r="W34" s="1011"/>
      <c r="X34" s="1012"/>
      <c r="Y34" s="1012"/>
      <c r="Z34" s="1013">
        <f t="shared" si="4"/>
        <v>0</v>
      </c>
      <c r="AA34" s="1011"/>
      <c r="AB34" s="1012"/>
      <c r="AC34" s="1012"/>
      <c r="AD34" s="1013">
        <f t="shared" si="5"/>
        <v>0</v>
      </c>
      <c r="AE34" s="1421">
        <f t="shared" si="9"/>
        <v>0</v>
      </c>
      <c r="AF34" s="1422">
        <f t="shared" si="9"/>
        <v>0</v>
      </c>
      <c r="AG34" s="1422">
        <f t="shared" si="9"/>
        <v>0</v>
      </c>
      <c r="AH34" s="489">
        <f t="shared" si="9"/>
        <v>0</v>
      </c>
      <c r="AI34" s="1011"/>
      <c r="AJ34" s="1012"/>
      <c r="AK34" s="1012"/>
      <c r="AL34" s="1013">
        <f t="shared" si="6"/>
        <v>0</v>
      </c>
      <c r="AM34" s="1011"/>
      <c r="AN34" s="1012"/>
      <c r="AO34" s="1012"/>
      <c r="AP34" s="1013">
        <f t="shared" si="7"/>
        <v>0</v>
      </c>
      <c r="AQ34" s="1011"/>
      <c r="AR34" s="1012"/>
      <c r="AS34" s="1012"/>
      <c r="AT34" s="1013">
        <f t="shared" si="8"/>
        <v>0</v>
      </c>
      <c r="AU34" s="483"/>
      <c r="AV34" s="483"/>
      <c r="AW34" s="483"/>
      <c r="AX34" s="483"/>
      <c r="AY34" s="483"/>
    </row>
    <row r="35" spans="1:51" s="493" customFormat="1">
      <c r="A35" s="532">
        <f t="shared" si="10"/>
        <v>28</v>
      </c>
      <c r="B35" s="833">
        <v>4</v>
      </c>
      <c r="C35" s="996" t="s">
        <v>707</v>
      </c>
      <c r="D35" s="940" t="s">
        <v>646</v>
      </c>
      <c r="E35" s="995" t="s">
        <v>1232</v>
      </c>
      <c r="F35" s="943" t="s">
        <v>646</v>
      </c>
      <c r="G35" s="1421">
        <f>+K35+AE35</f>
        <v>0</v>
      </c>
      <c r="H35" s="1422">
        <f>+L35+AF35</f>
        <v>0</v>
      </c>
      <c r="I35" s="1422">
        <f>+M35+AG35</f>
        <v>0</v>
      </c>
      <c r="J35" s="489">
        <f>+N35+AH35</f>
        <v>0</v>
      </c>
      <c r="K35" s="1421">
        <f t="shared" si="1"/>
        <v>0</v>
      </c>
      <c r="L35" s="1422">
        <f t="shared" si="1"/>
        <v>0</v>
      </c>
      <c r="M35" s="1422">
        <f t="shared" si="1"/>
        <v>0</v>
      </c>
      <c r="N35" s="489">
        <f t="shared" si="1"/>
        <v>0</v>
      </c>
      <c r="O35" s="1011"/>
      <c r="P35" s="1012"/>
      <c r="Q35" s="1012"/>
      <c r="R35" s="1013">
        <f t="shared" si="2"/>
        <v>0</v>
      </c>
      <c r="S35" s="1011"/>
      <c r="T35" s="1012"/>
      <c r="U35" s="1012"/>
      <c r="V35" s="1013">
        <f t="shared" si="3"/>
        <v>0</v>
      </c>
      <c r="W35" s="1011"/>
      <c r="X35" s="1012"/>
      <c r="Y35" s="1012"/>
      <c r="Z35" s="1013">
        <f t="shared" si="4"/>
        <v>0</v>
      </c>
      <c r="AA35" s="1011"/>
      <c r="AB35" s="1012"/>
      <c r="AC35" s="1012"/>
      <c r="AD35" s="1013">
        <f t="shared" si="5"/>
        <v>0</v>
      </c>
      <c r="AE35" s="1421">
        <f t="shared" si="9"/>
        <v>0</v>
      </c>
      <c r="AF35" s="1422">
        <f t="shared" si="9"/>
        <v>0</v>
      </c>
      <c r="AG35" s="1422">
        <f t="shared" si="9"/>
        <v>0</v>
      </c>
      <c r="AH35" s="489">
        <f t="shared" si="9"/>
        <v>0</v>
      </c>
      <c r="AI35" s="1011"/>
      <c r="AJ35" s="1012"/>
      <c r="AK35" s="1012"/>
      <c r="AL35" s="1013">
        <f t="shared" si="6"/>
        <v>0</v>
      </c>
      <c r="AM35" s="1011"/>
      <c r="AN35" s="1012"/>
      <c r="AO35" s="1012"/>
      <c r="AP35" s="1013">
        <f t="shared" si="7"/>
        <v>0</v>
      </c>
      <c r="AQ35" s="1011"/>
      <c r="AR35" s="1012"/>
      <c r="AS35" s="1012"/>
      <c r="AT35" s="1013">
        <f t="shared" si="8"/>
        <v>0</v>
      </c>
      <c r="AU35" s="483"/>
      <c r="AV35" s="483"/>
      <c r="AW35" s="483"/>
      <c r="AX35" s="483"/>
      <c r="AY35" s="483"/>
    </row>
    <row r="36" spans="1:51" s="493" customFormat="1">
      <c r="A36" s="532">
        <f t="shared" si="10"/>
        <v>29</v>
      </c>
      <c r="B36" s="833">
        <v>8</v>
      </c>
      <c r="C36" s="993" t="s">
        <v>699</v>
      </c>
      <c r="D36" s="944" t="s">
        <v>645</v>
      </c>
      <c r="E36" s="995" t="s">
        <v>1225</v>
      </c>
      <c r="F36" s="945" t="s">
        <v>645</v>
      </c>
      <c r="G36" s="1421">
        <f t="shared" si="0"/>
        <v>109542</v>
      </c>
      <c r="H36" s="1422">
        <f t="shared" si="0"/>
        <v>109542</v>
      </c>
      <c r="I36" s="1422">
        <f t="shared" si="0"/>
        <v>0</v>
      </c>
      <c r="J36" s="489">
        <f t="shared" si="0"/>
        <v>109542</v>
      </c>
      <c r="K36" s="1421">
        <f t="shared" si="1"/>
        <v>67243</v>
      </c>
      <c r="L36" s="1422">
        <f t="shared" si="1"/>
        <v>67243</v>
      </c>
      <c r="M36" s="1422">
        <f t="shared" si="1"/>
        <v>0</v>
      </c>
      <c r="N36" s="489">
        <f t="shared" si="1"/>
        <v>67243</v>
      </c>
      <c r="O36" s="1011">
        <v>4900</v>
      </c>
      <c r="P36" s="1012">
        <v>4900</v>
      </c>
      <c r="Q36" s="1012"/>
      <c r="R36" s="1013">
        <f t="shared" si="2"/>
        <v>4900</v>
      </c>
      <c r="S36" s="1011"/>
      <c r="T36" s="1012"/>
      <c r="U36" s="1012"/>
      <c r="V36" s="1013">
        <f t="shared" si="3"/>
        <v>0</v>
      </c>
      <c r="W36" s="1011">
        <v>62343</v>
      </c>
      <c r="X36" s="1012">
        <v>62343</v>
      </c>
      <c r="Y36" s="1012"/>
      <c r="Z36" s="1013">
        <f t="shared" si="4"/>
        <v>62343</v>
      </c>
      <c r="AA36" s="1011"/>
      <c r="AB36" s="1012"/>
      <c r="AC36" s="1012"/>
      <c r="AD36" s="1013">
        <f t="shared" si="5"/>
        <v>0</v>
      </c>
      <c r="AE36" s="1421">
        <f t="shared" si="9"/>
        <v>42299</v>
      </c>
      <c r="AF36" s="1422">
        <f t="shared" si="9"/>
        <v>42299</v>
      </c>
      <c r="AG36" s="1422">
        <f t="shared" si="9"/>
        <v>0</v>
      </c>
      <c r="AH36" s="489">
        <f t="shared" si="9"/>
        <v>42299</v>
      </c>
      <c r="AI36" s="1011">
        <v>2299</v>
      </c>
      <c r="AJ36" s="1012">
        <v>2299</v>
      </c>
      <c r="AK36" s="1012"/>
      <c r="AL36" s="1013">
        <f t="shared" si="6"/>
        <v>2299</v>
      </c>
      <c r="AM36" s="1011">
        <v>40000</v>
      </c>
      <c r="AN36" s="1012">
        <v>40000</v>
      </c>
      <c r="AO36" s="1012"/>
      <c r="AP36" s="1013">
        <f t="shared" si="7"/>
        <v>40000</v>
      </c>
      <c r="AQ36" s="1011"/>
      <c r="AR36" s="1012"/>
      <c r="AS36" s="1012"/>
      <c r="AT36" s="1013">
        <f t="shared" si="8"/>
        <v>0</v>
      </c>
      <c r="AU36" s="483"/>
      <c r="AV36" s="483"/>
      <c r="AW36" s="483"/>
      <c r="AX36" s="483"/>
      <c r="AY36" s="483"/>
    </row>
    <row r="37" spans="1:51" s="493" customFormat="1" ht="24">
      <c r="A37" s="532">
        <f t="shared" si="10"/>
        <v>30</v>
      </c>
      <c r="B37" s="832">
        <v>7</v>
      </c>
      <c r="C37" s="993" t="s">
        <v>696</v>
      </c>
      <c r="D37" s="944" t="s">
        <v>1258</v>
      </c>
      <c r="E37" s="995" t="s">
        <v>1247</v>
      </c>
      <c r="F37" s="945" t="s">
        <v>1249</v>
      </c>
      <c r="G37" s="1421">
        <f>+K37+AE37</f>
        <v>0</v>
      </c>
      <c r="H37" s="1422">
        <f>+L37+AF37</f>
        <v>0</v>
      </c>
      <c r="I37" s="1422">
        <f>+M37+AG37</f>
        <v>0</v>
      </c>
      <c r="J37" s="489">
        <f>+N37+AH37</f>
        <v>0</v>
      </c>
      <c r="K37" s="1421">
        <f>+O37+S37+W37+AA37</f>
        <v>0</v>
      </c>
      <c r="L37" s="1422">
        <f>+P37+T37+X37+AB37</f>
        <v>0</v>
      </c>
      <c r="M37" s="1422">
        <f>+Q37+U37+Y37+AC37</f>
        <v>0</v>
      </c>
      <c r="N37" s="489">
        <f>+R37+V37+Z37+AD37</f>
        <v>0</v>
      </c>
      <c r="O37" s="1011"/>
      <c r="P37" s="1012"/>
      <c r="Q37" s="1012"/>
      <c r="R37" s="1013">
        <f t="shared" si="2"/>
        <v>0</v>
      </c>
      <c r="S37" s="1011"/>
      <c r="T37" s="1012"/>
      <c r="U37" s="1012"/>
      <c r="V37" s="1013">
        <f t="shared" si="3"/>
        <v>0</v>
      </c>
      <c r="W37" s="1011"/>
      <c r="X37" s="1012"/>
      <c r="Y37" s="1012"/>
      <c r="Z37" s="1013">
        <f t="shared" si="4"/>
        <v>0</v>
      </c>
      <c r="AA37" s="1011"/>
      <c r="AB37" s="1012"/>
      <c r="AC37" s="1012"/>
      <c r="AD37" s="1013">
        <f t="shared" si="5"/>
        <v>0</v>
      </c>
      <c r="AE37" s="1421">
        <f>+AI37+AM37+AQ37</f>
        <v>0</v>
      </c>
      <c r="AF37" s="1422">
        <f>+AJ37+AN37+AR37</f>
        <v>0</v>
      </c>
      <c r="AG37" s="1422">
        <f>+AK37+AO37+AS37</f>
        <v>0</v>
      </c>
      <c r="AH37" s="489">
        <f>+AL37+AP37+AT37</f>
        <v>0</v>
      </c>
      <c r="AI37" s="1011"/>
      <c r="AJ37" s="1012"/>
      <c r="AK37" s="1012"/>
      <c r="AL37" s="1013">
        <f t="shared" si="6"/>
        <v>0</v>
      </c>
      <c r="AM37" s="1011"/>
      <c r="AN37" s="1012"/>
      <c r="AO37" s="1012"/>
      <c r="AP37" s="1013">
        <f t="shared" si="7"/>
        <v>0</v>
      </c>
      <c r="AQ37" s="1011"/>
      <c r="AR37" s="1012"/>
      <c r="AS37" s="1012"/>
      <c r="AT37" s="1013">
        <f t="shared" si="8"/>
        <v>0</v>
      </c>
      <c r="AU37" s="483"/>
      <c r="AV37" s="483"/>
      <c r="AW37" s="483"/>
      <c r="AX37" s="483"/>
      <c r="AY37" s="483"/>
    </row>
    <row r="38" spans="1:51" s="493" customFormat="1" ht="24">
      <c r="A38" s="532">
        <f t="shared" si="10"/>
        <v>31</v>
      </c>
      <c r="B38" s="832">
        <v>7</v>
      </c>
      <c r="C38" s="993" t="s">
        <v>696</v>
      </c>
      <c r="D38" s="944" t="s">
        <v>1258</v>
      </c>
      <c r="E38" s="995" t="s">
        <v>1247</v>
      </c>
      <c r="F38" s="945" t="s">
        <v>1250</v>
      </c>
      <c r="G38" s="1421">
        <f t="shared" si="0"/>
        <v>0</v>
      </c>
      <c r="H38" s="1422">
        <f t="shared" si="0"/>
        <v>0</v>
      </c>
      <c r="I38" s="1422">
        <f t="shared" si="0"/>
        <v>0</v>
      </c>
      <c r="J38" s="489">
        <f t="shared" si="0"/>
        <v>0</v>
      </c>
      <c r="K38" s="1421">
        <f t="shared" si="1"/>
        <v>0</v>
      </c>
      <c r="L38" s="1422">
        <f t="shared" si="1"/>
        <v>0</v>
      </c>
      <c r="M38" s="1422">
        <f t="shared" si="1"/>
        <v>0</v>
      </c>
      <c r="N38" s="489">
        <f t="shared" si="1"/>
        <v>0</v>
      </c>
      <c r="O38" s="1011"/>
      <c r="P38" s="1012"/>
      <c r="Q38" s="1012"/>
      <c r="R38" s="1013">
        <f t="shared" si="2"/>
        <v>0</v>
      </c>
      <c r="S38" s="1011"/>
      <c r="T38" s="1012"/>
      <c r="U38" s="1012"/>
      <c r="V38" s="1013">
        <f t="shared" si="3"/>
        <v>0</v>
      </c>
      <c r="W38" s="1011"/>
      <c r="X38" s="1012"/>
      <c r="Y38" s="1012"/>
      <c r="Z38" s="1013">
        <f t="shared" si="4"/>
        <v>0</v>
      </c>
      <c r="AA38" s="1011"/>
      <c r="AB38" s="1012"/>
      <c r="AC38" s="1012"/>
      <c r="AD38" s="1013">
        <f t="shared" si="5"/>
        <v>0</v>
      </c>
      <c r="AE38" s="1421">
        <f t="shared" si="9"/>
        <v>0</v>
      </c>
      <c r="AF38" s="1422">
        <f t="shared" si="9"/>
        <v>0</v>
      </c>
      <c r="AG38" s="1422">
        <f t="shared" si="9"/>
        <v>0</v>
      </c>
      <c r="AH38" s="489">
        <f t="shared" si="9"/>
        <v>0</v>
      </c>
      <c r="AI38" s="1011"/>
      <c r="AJ38" s="1012"/>
      <c r="AK38" s="1012"/>
      <c r="AL38" s="1013">
        <f t="shared" si="6"/>
        <v>0</v>
      </c>
      <c r="AM38" s="1011"/>
      <c r="AN38" s="1012"/>
      <c r="AO38" s="1012"/>
      <c r="AP38" s="1013">
        <f t="shared" si="7"/>
        <v>0</v>
      </c>
      <c r="AQ38" s="1011"/>
      <c r="AR38" s="1012"/>
      <c r="AS38" s="1012"/>
      <c r="AT38" s="1013">
        <f t="shared" si="8"/>
        <v>0</v>
      </c>
      <c r="AU38" s="483"/>
      <c r="AV38" s="483"/>
      <c r="AW38" s="483"/>
      <c r="AX38" s="483"/>
      <c r="AY38" s="483"/>
    </row>
    <row r="39" spans="1:51" s="493" customFormat="1" ht="24">
      <c r="A39" s="532">
        <f t="shared" si="10"/>
        <v>32</v>
      </c>
      <c r="B39" s="832">
        <v>7</v>
      </c>
      <c r="C39" s="993" t="s">
        <v>696</v>
      </c>
      <c r="D39" s="944" t="s">
        <v>1258</v>
      </c>
      <c r="E39" s="995" t="s">
        <v>1247</v>
      </c>
      <c r="F39" s="945" t="s">
        <v>1251</v>
      </c>
      <c r="G39" s="1421">
        <f t="shared" si="0"/>
        <v>0</v>
      </c>
      <c r="H39" s="1422">
        <f t="shared" si="0"/>
        <v>0</v>
      </c>
      <c r="I39" s="1422">
        <f t="shared" si="0"/>
        <v>0</v>
      </c>
      <c r="J39" s="489">
        <f t="shared" si="0"/>
        <v>0</v>
      </c>
      <c r="K39" s="1421">
        <f t="shared" si="1"/>
        <v>0</v>
      </c>
      <c r="L39" s="1422">
        <f t="shared" si="1"/>
        <v>0</v>
      </c>
      <c r="M39" s="1422">
        <f t="shared" si="1"/>
        <v>0</v>
      </c>
      <c r="N39" s="489">
        <f t="shared" si="1"/>
        <v>0</v>
      </c>
      <c r="O39" s="1011"/>
      <c r="P39" s="1012"/>
      <c r="Q39" s="1012"/>
      <c r="R39" s="1013">
        <f t="shared" si="2"/>
        <v>0</v>
      </c>
      <c r="S39" s="1011"/>
      <c r="T39" s="1012"/>
      <c r="U39" s="1012"/>
      <c r="V39" s="1013">
        <f t="shared" si="3"/>
        <v>0</v>
      </c>
      <c r="W39" s="1011"/>
      <c r="X39" s="1012"/>
      <c r="Y39" s="1012"/>
      <c r="Z39" s="1013">
        <f t="shared" si="4"/>
        <v>0</v>
      </c>
      <c r="AA39" s="1011"/>
      <c r="AB39" s="1012"/>
      <c r="AC39" s="1012"/>
      <c r="AD39" s="1013">
        <f t="shared" si="5"/>
        <v>0</v>
      </c>
      <c r="AE39" s="1421">
        <f t="shared" si="9"/>
        <v>0</v>
      </c>
      <c r="AF39" s="1422">
        <f t="shared" si="9"/>
        <v>0</v>
      </c>
      <c r="AG39" s="1422">
        <f t="shared" si="9"/>
        <v>0</v>
      </c>
      <c r="AH39" s="489">
        <f t="shared" si="9"/>
        <v>0</v>
      </c>
      <c r="AI39" s="1011"/>
      <c r="AJ39" s="1012"/>
      <c r="AK39" s="1012"/>
      <c r="AL39" s="1013">
        <f t="shared" si="6"/>
        <v>0</v>
      </c>
      <c r="AM39" s="1011"/>
      <c r="AN39" s="1012"/>
      <c r="AO39" s="1012"/>
      <c r="AP39" s="1013">
        <f t="shared" si="7"/>
        <v>0</v>
      </c>
      <c r="AQ39" s="1011"/>
      <c r="AR39" s="1012"/>
      <c r="AS39" s="1012"/>
      <c r="AT39" s="1013">
        <f t="shared" si="8"/>
        <v>0</v>
      </c>
      <c r="AU39" s="483"/>
      <c r="AV39" s="483"/>
      <c r="AW39" s="483"/>
      <c r="AX39" s="483"/>
      <c r="AY39" s="483"/>
    </row>
    <row r="40" spans="1:51" s="493" customFormat="1" ht="24">
      <c r="A40" s="532">
        <f t="shared" si="10"/>
        <v>33</v>
      </c>
      <c r="B40" s="832">
        <v>7</v>
      </c>
      <c r="C40" s="993" t="s">
        <v>1254</v>
      </c>
      <c r="D40" s="944" t="s">
        <v>1252</v>
      </c>
      <c r="E40" s="995" t="s">
        <v>1225</v>
      </c>
      <c r="F40" s="945" t="s">
        <v>1253</v>
      </c>
      <c r="G40" s="1421">
        <f t="shared" si="0"/>
        <v>0</v>
      </c>
      <c r="H40" s="1422">
        <f t="shared" si="0"/>
        <v>0</v>
      </c>
      <c r="I40" s="1422">
        <f t="shared" si="0"/>
        <v>0</v>
      </c>
      <c r="J40" s="489">
        <f t="shared" si="0"/>
        <v>0</v>
      </c>
      <c r="K40" s="1421">
        <f t="shared" si="1"/>
        <v>0</v>
      </c>
      <c r="L40" s="1422">
        <f t="shared" si="1"/>
        <v>0</v>
      </c>
      <c r="M40" s="1422">
        <f t="shared" si="1"/>
        <v>0</v>
      </c>
      <c r="N40" s="489">
        <f t="shared" si="1"/>
        <v>0</v>
      </c>
      <c r="O40" s="1011"/>
      <c r="P40" s="1012"/>
      <c r="Q40" s="1012"/>
      <c r="R40" s="1013">
        <f t="shared" si="2"/>
        <v>0</v>
      </c>
      <c r="S40" s="1011"/>
      <c r="T40" s="1012"/>
      <c r="U40" s="1012"/>
      <c r="V40" s="1013">
        <f t="shared" si="3"/>
        <v>0</v>
      </c>
      <c r="W40" s="1011"/>
      <c r="X40" s="1012"/>
      <c r="Y40" s="1012"/>
      <c r="Z40" s="1013">
        <f t="shared" si="4"/>
        <v>0</v>
      </c>
      <c r="AA40" s="1011"/>
      <c r="AB40" s="1012"/>
      <c r="AC40" s="1012"/>
      <c r="AD40" s="1013">
        <f t="shared" si="5"/>
        <v>0</v>
      </c>
      <c r="AE40" s="1421">
        <f t="shared" si="9"/>
        <v>0</v>
      </c>
      <c r="AF40" s="1422">
        <f t="shared" si="9"/>
        <v>0</v>
      </c>
      <c r="AG40" s="1422">
        <f t="shared" si="9"/>
        <v>0</v>
      </c>
      <c r="AH40" s="489">
        <f t="shared" si="9"/>
        <v>0</v>
      </c>
      <c r="AI40" s="1011"/>
      <c r="AJ40" s="1012"/>
      <c r="AK40" s="1012"/>
      <c r="AL40" s="1013">
        <f t="shared" si="6"/>
        <v>0</v>
      </c>
      <c r="AM40" s="1011"/>
      <c r="AN40" s="1012"/>
      <c r="AO40" s="1012"/>
      <c r="AP40" s="1013">
        <f t="shared" si="7"/>
        <v>0</v>
      </c>
      <c r="AQ40" s="1011"/>
      <c r="AR40" s="1012"/>
      <c r="AS40" s="1012"/>
      <c r="AT40" s="1013">
        <f t="shared" si="8"/>
        <v>0</v>
      </c>
      <c r="AU40" s="483"/>
      <c r="AV40" s="483"/>
      <c r="AW40" s="483"/>
      <c r="AX40" s="483"/>
      <c r="AY40" s="483"/>
    </row>
    <row r="41" spans="1:51" s="493" customFormat="1" ht="24">
      <c r="A41" s="532">
        <f t="shared" si="10"/>
        <v>34</v>
      </c>
      <c r="B41" s="832">
        <v>7</v>
      </c>
      <c r="C41" s="993" t="s">
        <v>1076</v>
      </c>
      <c r="D41" s="944" t="s">
        <v>1257</v>
      </c>
      <c r="E41" s="995" t="s">
        <v>1225</v>
      </c>
      <c r="F41" s="945" t="s">
        <v>1256</v>
      </c>
      <c r="G41" s="1421">
        <f t="shared" ref="G41:J43" si="11">+K41+AE41</f>
        <v>0</v>
      </c>
      <c r="H41" s="1422">
        <f t="shared" si="11"/>
        <v>0</v>
      </c>
      <c r="I41" s="1422">
        <f t="shared" si="11"/>
        <v>0</v>
      </c>
      <c r="J41" s="489">
        <f t="shared" si="11"/>
        <v>0</v>
      </c>
      <c r="K41" s="1421">
        <f t="shared" ref="K41:N43" si="12">+O41+S41+W41+AA41</f>
        <v>0</v>
      </c>
      <c r="L41" s="1422">
        <f t="shared" si="12"/>
        <v>0</v>
      </c>
      <c r="M41" s="1422">
        <f t="shared" si="12"/>
        <v>0</v>
      </c>
      <c r="N41" s="489">
        <f t="shared" si="12"/>
        <v>0</v>
      </c>
      <c r="O41" s="1011"/>
      <c r="P41" s="1012"/>
      <c r="Q41" s="1012"/>
      <c r="R41" s="1013">
        <f t="shared" si="2"/>
        <v>0</v>
      </c>
      <c r="S41" s="1011"/>
      <c r="T41" s="1012"/>
      <c r="U41" s="1012"/>
      <c r="V41" s="1013">
        <f t="shared" si="3"/>
        <v>0</v>
      </c>
      <c r="W41" s="1011"/>
      <c r="X41" s="1012"/>
      <c r="Y41" s="1012"/>
      <c r="Z41" s="1013">
        <f t="shared" si="4"/>
        <v>0</v>
      </c>
      <c r="AA41" s="1011"/>
      <c r="AB41" s="1012"/>
      <c r="AC41" s="1012"/>
      <c r="AD41" s="1013">
        <f t="shared" si="5"/>
        <v>0</v>
      </c>
      <c r="AE41" s="1421">
        <f t="shared" ref="AE41:AH43" si="13">+AI41+AM41+AQ41</f>
        <v>0</v>
      </c>
      <c r="AF41" s="1422">
        <f t="shared" si="13"/>
        <v>0</v>
      </c>
      <c r="AG41" s="1422">
        <f t="shared" si="13"/>
        <v>0</v>
      </c>
      <c r="AH41" s="489">
        <f t="shared" si="13"/>
        <v>0</v>
      </c>
      <c r="AI41" s="1011"/>
      <c r="AJ41" s="1012"/>
      <c r="AK41" s="1012"/>
      <c r="AL41" s="1013">
        <f t="shared" si="6"/>
        <v>0</v>
      </c>
      <c r="AM41" s="1011"/>
      <c r="AN41" s="1012"/>
      <c r="AO41" s="1012"/>
      <c r="AP41" s="1013">
        <f t="shared" si="7"/>
        <v>0</v>
      </c>
      <c r="AQ41" s="1011"/>
      <c r="AR41" s="1012"/>
      <c r="AS41" s="1012"/>
      <c r="AT41" s="1013">
        <f t="shared" si="8"/>
        <v>0</v>
      </c>
      <c r="AU41" s="483"/>
      <c r="AV41" s="483"/>
      <c r="AW41" s="483"/>
      <c r="AX41" s="483"/>
      <c r="AY41" s="483"/>
    </row>
    <row r="42" spans="1:51" s="493" customFormat="1" ht="24">
      <c r="A42" s="532">
        <f t="shared" si="10"/>
        <v>35</v>
      </c>
      <c r="B42" s="832">
        <v>7</v>
      </c>
      <c r="C42" s="993" t="s">
        <v>1259</v>
      </c>
      <c r="D42" s="944" t="s">
        <v>1260</v>
      </c>
      <c r="E42" s="995" t="s">
        <v>1225</v>
      </c>
      <c r="F42" s="945" t="s">
        <v>1261</v>
      </c>
      <c r="G42" s="1421">
        <f t="shared" si="11"/>
        <v>0</v>
      </c>
      <c r="H42" s="1422">
        <f t="shared" si="11"/>
        <v>0</v>
      </c>
      <c r="I42" s="1422">
        <f t="shared" si="11"/>
        <v>0</v>
      </c>
      <c r="J42" s="489">
        <f t="shared" si="11"/>
        <v>0</v>
      </c>
      <c r="K42" s="1421">
        <f t="shared" si="12"/>
        <v>0</v>
      </c>
      <c r="L42" s="1422">
        <f t="shared" si="12"/>
        <v>0</v>
      </c>
      <c r="M42" s="1422">
        <f t="shared" si="12"/>
        <v>0</v>
      </c>
      <c r="N42" s="489">
        <f t="shared" si="12"/>
        <v>0</v>
      </c>
      <c r="O42" s="1011"/>
      <c r="P42" s="1012"/>
      <c r="Q42" s="1012"/>
      <c r="R42" s="1013">
        <f t="shared" si="2"/>
        <v>0</v>
      </c>
      <c r="S42" s="1011"/>
      <c r="T42" s="1012"/>
      <c r="U42" s="1012"/>
      <c r="V42" s="1013">
        <f t="shared" si="3"/>
        <v>0</v>
      </c>
      <c r="W42" s="1011"/>
      <c r="X42" s="1012"/>
      <c r="Y42" s="1012"/>
      <c r="Z42" s="1013">
        <f t="shared" si="4"/>
        <v>0</v>
      </c>
      <c r="AA42" s="1011"/>
      <c r="AB42" s="1012"/>
      <c r="AC42" s="1012"/>
      <c r="AD42" s="1013">
        <f t="shared" si="5"/>
        <v>0</v>
      </c>
      <c r="AE42" s="1421">
        <f t="shared" si="13"/>
        <v>0</v>
      </c>
      <c r="AF42" s="1422">
        <f t="shared" si="13"/>
        <v>0</v>
      </c>
      <c r="AG42" s="1422">
        <f t="shared" si="13"/>
        <v>0</v>
      </c>
      <c r="AH42" s="489">
        <f t="shared" si="13"/>
        <v>0</v>
      </c>
      <c r="AI42" s="1011"/>
      <c r="AJ42" s="1012"/>
      <c r="AK42" s="1012"/>
      <c r="AL42" s="1013">
        <f t="shared" si="6"/>
        <v>0</v>
      </c>
      <c r="AM42" s="1011"/>
      <c r="AN42" s="1012"/>
      <c r="AO42" s="1012"/>
      <c r="AP42" s="1013">
        <f t="shared" si="7"/>
        <v>0</v>
      </c>
      <c r="AQ42" s="1011"/>
      <c r="AR42" s="1012"/>
      <c r="AS42" s="1012"/>
      <c r="AT42" s="1013">
        <f t="shared" si="8"/>
        <v>0</v>
      </c>
      <c r="AU42" s="483"/>
      <c r="AV42" s="483"/>
      <c r="AW42" s="483"/>
      <c r="AX42" s="483"/>
      <c r="AY42" s="483"/>
    </row>
    <row r="43" spans="1:51" s="493" customFormat="1" ht="24">
      <c r="A43" s="532">
        <f t="shared" si="10"/>
        <v>36</v>
      </c>
      <c r="B43" s="832">
        <v>7</v>
      </c>
      <c r="C43" s="993" t="s">
        <v>704</v>
      </c>
      <c r="D43" s="944" t="s">
        <v>1263</v>
      </c>
      <c r="E43" s="995" t="s">
        <v>1228</v>
      </c>
      <c r="F43" s="945" t="s">
        <v>1262</v>
      </c>
      <c r="G43" s="1421">
        <f t="shared" si="11"/>
        <v>0</v>
      </c>
      <c r="H43" s="1422">
        <f t="shared" si="11"/>
        <v>0</v>
      </c>
      <c r="I43" s="1422">
        <f t="shared" si="11"/>
        <v>0</v>
      </c>
      <c r="J43" s="489">
        <f t="shared" si="11"/>
        <v>0</v>
      </c>
      <c r="K43" s="1421">
        <f t="shared" si="12"/>
        <v>0</v>
      </c>
      <c r="L43" s="1422">
        <f t="shared" si="12"/>
        <v>0</v>
      </c>
      <c r="M43" s="1422">
        <f t="shared" si="12"/>
        <v>0</v>
      </c>
      <c r="N43" s="489">
        <f t="shared" si="12"/>
        <v>0</v>
      </c>
      <c r="O43" s="1011"/>
      <c r="P43" s="1012"/>
      <c r="Q43" s="1012"/>
      <c r="R43" s="1013">
        <f t="shared" si="2"/>
        <v>0</v>
      </c>
      <c r="S43" s="1011"/>
      <c r="T43" s="1012"/>
      <c r="U43" s="1012"/>
      <c r="V43" s="1013">
        <f t="shared" si="3"/>
        <v>0</v>
      </c>
      <c r="W43" s="1011"/>
      <c r="X43" s="1012"/>
      <c r="Y43" s="1012"/>
      <c r="Z43" s="1013">
        <f t="shared" si="4"/>
        <v>0</v>
      </c>
      <c r="AA43" s="1011"/>
      <c r="AB43" s="1012"/>
      <c r="AC43" s="1012"/>
      <c r="AD43" s="1013">
        <f t="shared" si="5"/>
        <v>0</v>
      </c>
      <c r="AE43" s="1421">
        <f t="shared" si="13"/>
        <v>0</v>
      </c>
      <c r="AF43" s="1422">
        <f t="shared" si="13"/>
        <v>0</v>
      </c>
      <c r="AG43" s="1422">
        <f t="shared" si="13"/>
        <v>0</v>
      </c>
      <c r="AH43" s="489">
        <f t="shared" si="13"/>
        <v>0</v>
      </c>
      <c r="AI43" s="1011"/>
      <c r="AJ43" s="1012"/>
      <c r="AK43" s="1012"/>
      <c r="AL43" s="1013">
        <f t="shared" si="6"/>
        <v>0</v>
      </c>
      <c r="AM43" s="1011"/>
      <c r="AN43" s="1012"/>
      <c r="AO43" s="1012"/>
      <c r="AP43" s="1013">
        <f t="shared" si="7"/>
        <v>0</v>
      </c>
      <c r="AQ43" s="1011"/>
      <c r="AR43" s="1012"/>
      <c r="AS43" s="1012"/>
      <c r="AT43" s="1013">
        <f t="shared" si="8"/>
        <v>0</v>
      </c>
      <c r="AU43" s="483"/>
      <c r="AV43" s="483"/>
      <c r="AW43" s="483"/>
      <c r="AX43" s="483"/>
      <c r="AY43" s="483"/>
    </row>
    <row r="44" spans="1:51" s="493" customFormat="1">
      <c r="A44" s="532">
        <f t="shared" si="10"/>
        <v>37</v>
      </c>
      <c r="B44" s="832">
        <v>7</v>
      </c>
      <c r="C44" s="996" t="s">
        <v>1264</v>
      </c>
      <c r="D44" s="940" t="s">
        <v>1266</v>
      </c>
      <c r="E44" s="995" t="s">
        <v>1225</v>
      </c>
      <c r="F44" s="943" t="s">
        <v>1265</v>
      </c>
      <c r="G44" s="1421">
        <f t="shared" si="0"/>
        <v>0</v>
      </c>
      <c r="H44" s="1422">
        <f t="shared" si="0"/>
        <v>0</v>
      </c>
      <c r="I44" s="1422">
        <f t="shared" si="0"/>
        <v>0</v>
      </c>
      <c r="J44" s="489">
        <f t="shared" si="0"/>
        <v>0</v>
      </c>
      <c r="K44" s="1421">
        <f t="shared" si="1"/>
        <v>0</v>
      </c>
      <c r="L44" s="1422">
        <f t="shared" si="1"/>
        <v>0</v>
      </c>
      <c r="M44" s="1422">
        <f t="shared" si="1"/>
        <v>0</v>
      </c>
      <c r="N44" s="489">
        <f t="shared" si="1"/>
        <v>0</v>
      </c>
      <c r="O44" s="1011"/>
      <c r="P44" s="1012"/>
      <c r="Q44" s="1012"/>
      <c r="R44" s="1013">
        <f t="shared" si="2"/>
        <v>0</v>
      </c>
      <c r="S44" s="1011"/>
      <c r="T44" s="1012"/>
      <c r="U44" s="1012"/>
      <c r="V44" s="1013">
        <f t="shared" si="3"/>
        <v>0</v>
      </c>
      <c r="W44" s="1011"/>
      <c r="X44" s="1012"/>
      <c r="Y44" s="1012"/>
      <c r="Z44" s="1013">
        <f t="shared" si="4"/>
        <v>0</v>
      </c>
      <c r="AA44" s="1011"/>
      <c r="AB44" s="1012"/>
      <c r="AC44" s="1012"/>
      <c r="AD44" s="1013">
        <f t="shared" si="5"/>
        <v>0</v>
      </c>
      <c r="AE44" s="1421">
        <f t="shared" si="9"/>
        <v>0</v>
      </c>
      <c r="AF44" s="1422">
        <f t="shared" si="9"/>
        <v>0</v>
      </c>
      <c r="AG44" s="1422">
        <f t="shared" si="9"/>
        <v>0</v>
      </c>
      <c r="AH44" s="489">
        <f t="shared" si="9"/>
        <v>0</v>
      </c>
      <c r="AI44" s="1011"/>
      <c r="AJ44" s="1012"/>
      <c r="AK44" s="1012"/>
      <c r="AL44" s="1013">
        <f t="shared" si="6"/>
        <v>0</v>
      </c>
      <c r="AM44" s="1011"/>
      <c r="AN44" s="1012"/>
      <c r="AO44" s="1012"/>
      <c r="AP44" s="1013">
        <f t="shared" si="7"/>
        <v>0</v>
      </c>
      <c r="AQ44" s="1011"/>
      <c r="AR44" s="1012"/>
      <c r="AS44" s="1012"/>
      <c r="AT44" s="1013">
        <f t="shared" si="8"/>
        <v>0</v>
      </c>
      <c r="AU44" s="483"/>
      <c r="AV44" s="483"/>
      <c r="AW44" s="483"/>
      <c r="AX44" s="483"/>
      <c r="AY44" s="483"/>
    </row>
    <row r="45" spans="1:51" s="493" customFormat="1">
      <c r="A45" s="532">
        <f t="shared" si="10"/>
        <v>38</v>
      </c>
      <c r="B45" s="832">
        <v>7</v>
      </c>
      <c r="C45" s="996" t="s">
        <v>704</v>
      </c>
      <c r="D45" s="940" t="s">
        <v>1268</v>
      </c>
      <c r="E45" s="995" t="s">
        <v>1228</v>
      </c>
      <c r="F45" s="943" t="s">
        <v>1267</v>
      </c>
      <c r="G45" s="1421">
        <f t="shared" si="0"/>
        <v>0</v>
      </c>
      <c r="H45" s="1422">
        <f t="shared" si="0"/>
        <v>0</v>
      </c>
      <c r="I45" s="1422">
        <f t="shared" si="0"/>
        <v>0</v>
      </c>
      <c r="J45" s="489">
        <f t="shared" si="0"/>
        <v>0</v>
      </c>
      <c r="K45" s="1421">
        <f t="shared" si="1"/>
        <v>0</v>
      </c>
      <c r="L45" s="1422">
        <f t="shared" si="1"/>
        <v>0</v>
      </c>
      <c r="M45" s="1422">
        <f t="shared" si="1"/>
        <v>0</v>
      </c>
      <c r="N45" s="489">
        <f t="shared" si="1"/>
        <v>0</v>
      </c>
      <c r="O45" s="1011"/>
      <c r="P45" s="1012"/>
      <c r="Q45" s="1012"/>
      <c r="R45" s="1013">
        <f t="shared" si="2"/>
        <v>0</v>
      </c>
      <c r="S45" s="1011"/>
      <c r="T45" s="1012"/>
      <c r="U45" s="1012"/>
      <c r="V45" s="1013">
        <f t="shared" si="3"/>
        <v>0</v>
      </c>
      <c r="W45" s="1011"/>
      <c r="X45" s="1012"/>
      <c r="Y45" s="1012"/>
      <c r="Z45" s="1013">
        <f t="shared" si="4"/>
        <v>0</v>
      </c>
      <c r="AA45" s="1011"/>
      <c r="AB45" s="1012"/>
      <c r="AC45" s="1012"/>
      <c r="AD45" s="1013">
        <f t="shared" si="5"/>
        <v>0</v>
      </c>
      <c r="AE45" s="1421">
        <f t="shared" si="9"/>
        <v>0</v>
      </c>
      <c r="AF45" s="1422">
        <f t="shared" si="9"/>
        <v>0</v>
      </c>
      <c r="AG45" s="1422">
        <f t="shared" si="9"/>
        <v>0</v>
      </c>
      <c r="AH45" s="489">
        <f t="shared" si="9"/>
        <v>0</v>
      </c>
      <c r="AI45" s="1011"/>
      <c r="AJ45" s="1012"/>
      <c r="AK45" s="1012"/>
      <c r="AL45" s="1013">
        <f t="shared" si="6"/>
        <v>0</v>
      </c>
      <c r="AM45" s="1011"/>
      <c r="AN45" s="1012"/>
      <c r="AO45" s="1012"/>
      <c r="AP45" s="1013">
        <f t="shared" si="7"/>
        <v>0</v>
      </c>
      <c r="AQ45" s="1011"/>
      <c r="AR45" s="1012"/>
      <c r="AS45" s="1012"/>
      <c r="AT45" s="1013">
        <f t="shared" si="8"/>
        <v>0</v>
      </c>
      <c r="AU45" s="483"/>
      <c r="AV45" s="483"/>
      <c r="AW45" s="483"/>
      <c r="AX45" s="483"/>
      <c r="AY45" s="483"/>
    </row>
    <row r="46" spans="1:51" s="493" customFormat="1">
      <c r="A46" s="532">
        <f t="shared" si="10"/>
        <v>39</v>
      </c>
      <c r="B46" s="832">
        <v>7</v>
      </c>
      <c r="C46" s="996" t="s">
        <v>1023</v>
      </c>
      <c r="D46" s="940" t="s">
        <v>1269</v>
      </c>
      <c r="E46" s="995" t="s">
        <v>1245</v>
      </c>
      <c r="F46" s="943" t="s">
        <v>1270</v>
      </c>
      <c r="G46" s="1421">
        <f t="shared" si="0"/>
        <v>0</v>
      </c>
      <c r="H46" s="1422">
        <f t="shared" si="0"/>
        <v>0</v>
      </c>
      <c r="I46" s="1422">
        <f t="shared" si="0"/>
        <v>0</v>
      </c>
      <c r="J46" s="489">
        <f t="shared" si="0"/>
        <v>0</v>
      </c>
      <c r="K46" s="1421">
        <f t="shared" si="1"/>
        <v>0</v>
      </c>
      <c r="L46" s="1422">
        <f t="shared" si="1"/>
        <v>0</v>
      </c>
      <c r="M46" s="1422">
        <f t="shared" si="1"/>
        <v>0</v>
      </c>
      <c r="N46" s="489">
        <f t="shared" si="1"/>
        <v>0</v>
      </c>
      <c r="O46" s="1011"/>
      <c r="P46" s="1012"/>
      <c r="Q46" s="1012"/>
      <c r="R46" s="1013">
        <f t="shared" si="2"/>
        <v>0</v>
      </c>
      <c r="S46" s="1011"/>
      <c r="T46" s="1012"/>
      <c r="U46" s="1012"/>
      <c r="V46" s="1013">
        <f t="shared" si="3"/>
        <v>0</v>
      </c>
      <c r="W46" s="1011"/>
      <c r="X46" s="1012"/>
      <c r="Y46" s="1012"/>
      <c r="Z46" s="1013">
        <f t="shared" si="4"/>
        <v>0</v>
      </c>
      <c r="AA46" s="1011"/>
      <c r="AB46" s="1012"/>
      <c r="AC46" s="1012"/>
      <c r="AD46" s="1013">
        <f t="shared" si="5"/>
        <v>0</v>
      </c>
      <c r="AE46" s="1421">
        <f t="shared" si="9"/>
        <v>0</v>
      </c>
      <c r="AF46" s="1422">
        <f t="shared" si="9"/>
        <v>0</v>
      </c>
      <c r="AG46" s="1422">
        <f t="shared" si="9"/>
        <v>0</v>
      </c>
      <c r="AH46" s="489">
        <f t="shared" si="9"/>
        <v>0</v>
      </c>
      <c r="AI46" s="1011"/>
      <c r="AJ46" s="1012"/>
      <c r="AK46" s="1012"/>
      <c r="AL46" s="1013">
        <f t="shared" si="6"/>
        <v>0</v>
      </c>
      <c r="AM46" s="1011"/>
      <c r="AN46" s="1012"/>
      <c r="AO46" s="1012"/>
      <c r="AP46" s="1013">
        <f t="shared" si="7"/>
        <v>0</v>
      </c>
      <c r="AQ46" s="1011"/>
      <c r="AR46" s="1012"/>
      <c r="AS46" s="1012"/>
      <c r="AT46" s="1013">
        <f t="shared" si="8"/>
        <v>0</v>
      </c>
      <c r="AU46" s="483"/>
      <c r="AV46" s="483"/>
      <c r="AW46" s="483"/>
      <c r="AX46" s="483"/>
      <c r="AY46" s="483"/>
    </row>
    <row r="47" spans="1:51">
      <c r="A47" s="532">
        <f t="shared" si="10"/>
        <v>40</v>
      </c>
      <c r="B47" s="832">
        <v>7</v>
      </c>
      <c r="C47" s="996" t="s">
        <v>699</v>
      </c>
      <c r="D47" s="940" t="s">
        <v>1172</v>
      </c>
      <c r="E47" s="999" t="s">
        <v>1225</v>
      </c>
      <c r="F47" s="943" t="s">
        <v>1173</v>
      </c>
      <c r="G47" s="1421">
        <f t="shared" si="0"/>
        <v>0</v>
      </c>
      <c r="H47" s="1422">
        <f t="shared" si="0"/>
        <v>0</v>
      </c>
      <c r="I47" s="1422">
        <f t="shared" si="0"/>
        <v>0</v>
      </c>
      <c r="J47" s="489">
        <f t="shared" si="0"/>
        <v>0</v>
      </c>
      <c r="K47" s="1421">
        <f t="shared" si="1"/>
        <v>0</v>
      </c>
      <c r="L47" s="1422">
        <f t="shared" si="1"/>
        <v>0</v>
      </c>
      <c r="M47" s="1422">
        <f t="shared" si="1"/>
        <v>0</v>
      </c>
      <c r="N47" s="489">
        <f t="shared" si="1"/>
        <v>0</v>
      </c>
      <c r="O47" s="1011"/>
      <c r="P47" s="1012"/>
      <c r="Q47" s="1012"/>
      <c r="R47" s="1013">
        <f t="shared" si="2"/>
        <v>0</v>
      </c>
      <c r="S47" s="1011"/>
      <c r="T47" s="1012"/>
      <c r="U47" s="1012"/>
      <c r="V47" s="1013">
        <f t="shared" si="3"/>
        <v>0</v>
      </c>
      <c r="W47" s="1011"/>
      <c r="X47" s="1012"/>
      <c r="Y47" s="1012"/>
      <c r="Z47" s="1013">
        <f t="shared" si="4"/>
        <v>0</v>
      </c>
      <c r="AA47" s="1011"/>
      <c r="AB47" s="1012"/>
      <c r="AC47" s="1012"/>
      <c r="AD47" s="1013">
        <f t="shared" si="5"/>
        <v>0</v>
      </c>
      <c r="AE47" s="1421">
        <f t="shared" si="9"/>
        <v>0</v>
      </c>
      <c r="AF47" s="1422">
        <f t="shared" si="9"/>
        <v>0</v>
      </c>
      <c r="AG47" s="1422">
        <f t="shared" si="9"/>
        <v>0</v>
      </c>
      <c r="AH47" s="489">
        <f t="shared" si="9"/>
        <v>0</v>
      </c>
      <c r="AI47" s="1011"/>
      <c r="AJ47" s="1012"/>
      <c r="AK47" s="1012"/>
      <c r="AL47" s="1013">
        <f t="shared" si="6"/>
        <v>0</v>
      </c>
      <c r="AM47" s="1011"/>
      <c r="AN47" s="1012"/>
      <c r="AO47" s="1012"/>
      <c r="AP47" s="1013">
        <f t="shared" si="7"/>
        <v>0</v>
      </c>
      <c r="AQ47" s="1011"/>
      <c r="AR47" s="1012"/>
      <c r="AS47" s="1012"/>
      <c r="AT47" s="1013">
        <f t="shared" si="8"/>
        <v>0</v>
      </c>
      <c r="AU47" s="483"/>
      <c r="AV47" s="483"/>
      <c r="AW47" s="483"/>
      <c r="AX47" s="483"/>
      <c r="AY47" s="483"/>
    </row>
    <row r="48" spans="1:51">
      <c r="A48" s="532">
        <f t="shared" si="10"/>
        <v>41</v>
      </c>
      <c r="B48" s="832">
        <v>8</v>
      </c>
      <c r="C48" s="996" t="s">
        <v>1008</v>
      </c>
      <c r="D48" s="940" t="s">
        <v>1009</v>
      </c>
      <c r="E48" s="995" t="s">
        <v>1225</v>
      </c>
      <c r="F48" s="943" t="s">
        <v>1010</v>
      </c>
      <c r="G48" s="1421">
        <f t="shared" si="0"/>
        <v>0</v>
      </c>
      <c r="H48" s="1422">
        <f t="shared" si="0"/>
        <v>0</v>
      </c>
      <c r="I48" s="1422">
        <f t="shared" si="0"/>
        <v>0</v>
      </c>
      <c r="J48" s="489">
        <f t="shared" si="0"/>
        <v>0</v>
      </c>
      <c r="K48" s="1421">
        <f t="shared" si="1"/>
        <v>0</v>
      </c>
      <c r="L48" s="1422">
        <f t="shared" si="1"/>
        <v>0</v>
      </c>
      <c r="M48" s="1422">
        <f t="shared" si="1"/>
        <v>0</v>
      </c>
      <c r="N48" s="489">
        <f t="shared" si="1"/>
        <v>0</v>
      </c>
      <c r="O48" s="1011"/>
      <c r="P48" s="1012"/>
      <c r="Q48" s="1012"/>
      <c r="R48" s="1013">
        <f t="shared" si="2"/>
        <v>0</v>
      </c>
      <c r="S48" s="1011"/>
      <c r="T48" s="1012"/>
      <c r="U48" s="1012"/>
      <c r="V48" s="1013">
        <f t="shared" si="3"/>
        <v>0</v>
      </c>
      <c r="W48" s="1011"/>
      <c r="X48" s="1012"/>
      <c r="Y48" s="1012"/>
      <c r="Z48" s="1013">
        <f t="shared" si="4"/>
        <v>0</v>
      </c>
      <c r="AA48" s="1011"/>
      <c r="AB48" s="1012"/>
      <c r="AC48" s="1012"/>
      <c r="AD48" s="1013">
        <f t="shared" si="5"/>
        <v>0</v>
      </c>
      <c r="AE48" s="1421">
        <f t="shared" si="9"/>
        <v>0</v>
      </c>
      <c r="AF48" s="1422">
        <f t="shared" si="9"/>
        <v>0</v>
      </c>
      <c r="AG48" s="1422">
        <f t="shared" si="9"/>
        <v>0</v>
      </c>
      <c r="AH48" s="489">
        <f t="shared" si="9"/>
        <v>0</v>
      </c>
      <c r="AI48" s="1011"/>
      <c r="AJ48" s="1012"/>
      <c r="AK48" s="1012"/>
      <c r="AL48" s="1013">
        <f t="shared" si="6"/>
        <v>0</v>
      </c>
      <c r="AM48" s="1011"/>
      <c r="AN48" s="1012"/>
      <c r="AO48" s="1012"/>
      <c r="AP48" s="1013">
        <f t="shared" si="7"/>
        <v>0</v>
      </c>
      <c r="AQ48" s="1011"/>
      <c r="AR48" s="1012"/>
      <c r="AS48" s="1012"/>
      <c r="AT48" s="1013">
        <f t="shared" si="8"/>
        <v>0</v>
      </c>
      <c r="AU48" s="483"/>
      <c r="AV48" s="483"/>
      <c r="AW48" s="483"/>
      <c r="AX48" s="483"/>
      <c r="AY48" s="483"/>
    </row>
    <row r="49" spans="1:51">
      <c r="A49" s="532">
        <f t="shared" si="10"/>
        <v>42</v>
      </c>
      <c r="B49" s="832">
        <v>8</v>
      </c>
      <c r="C49" s="996" t="s">
        <v>1011</v>
      </c>
      <c r="D49" s="940" t="s">
        <v>1012</v>
      </c>
      <c r="E49" s="995" t="s">
        <v>1225</v>
      </c>
      <c r="F49" s="943" t="s">
        <v>1012</v>
      </c>
      <c r="G49" s="1421">
        <f>+K49+AE49</f>
        <v>0</v>
      </c>
      <c r="H49" s="1422">
        <f>+L49+AF49</f>
        <v>0</v>
      </c>
      <c r="I49" s="1422">
        <f>+M49+AG49</f>
        <v>0</v>
      </c>
      <c r="J49" s="489">
        <f>+N49+AH49</f>
        <v>0</v>
      </c>
      <c r="K49" s="1421">
        <f>+O49+S49+W49+AA49</f>
        <v>0</v>
      </c>
      <c r="L49" s="1422">
        <f>+P49+T49+X49+AB49</f>
        <v>0</v>
      </c>
      <c r="M49" s="1422">
        <f>+Q49+U49+Y49+AC49</f>
        <v>0</v>
      </c>
      <c r="N49" s="489">
        <f>+R49+V49+Z49+AD49</f>
        <v>0</v>
      </c>
      <c r="O49" s="1011"/>
      <c r="P49" s="1012"/>
      <c r="Q49" s="1012"/>
      <c r="R49" s="1013">
        <f t="shared" si="2"/>
        <v>0</v>
      </c>
      <c r="S49" s="1011"/>
      <c r="T49" s="1012"/>
      <c r="U49" s="1012"/>
      <c r="V49" s="1013">
        <f t="shared" si="3"/>
        <v>0</v>
      </c>
      <c r="W49" s="1011"/>
      <c r="X49" s="1012"/>
      <c r="Y49" s="1012"/>
      <c r="Z49" s="1013">
        <f t="shared" si="4"/>
        <v>0</v>
      </c>
      <c r="AA49" s="1011"/>
      <c r="AB49" s="1012"/>
      <c r="AC49" s="1012"/>
      <c r="AD49" s="1013">
        <f t="shared" si="5"/>
        <v>0</v>
      </c>
      <c r="AE49" s="1421">
        <f>+AI49+AM49+AQ49</f>
        <v>0</v>
      </c>
      <c r="AF49" s="1422">
        <f>+AJ49+AN49+AR49</f>
        <v>0</v>
      </c>
      <c r="AG49" s="1422">
        <f>+AK49+AO49+AS49</f>
        <v>0</v>
      </c>
      <c r="AH49" s="489">
        <f>+AL49+AP49+AT49</f>
        <v>0</v>
      </c>
      <c r="AI49" s="1011"/>
      <c r="AJ49" s="1012"/>
      <c r="AK49" s="1012"/>
      <c r="AL49" s="1013">
        <f t="shared" si="6"/>
        <v>0</v>
      </c>
      <c r="AM49" s="1011"/>
      <c r="AN49" s="1012"/>
      <c r="AO49" s="1012"/>
      <c r="AP49" s="1013">
        <f t="shared" si="7"/>
        <v>0</v>
      </c>
      <c r="AQ49" s="1011"/>
      <c r="AR49" s="1012"/>
      <c r="AS49" s="1012"/>
      <c r="AT49" s="1013">
        <f t="shared" si="8"/>
        <v>0</v>
      </c>
      <c r="AU49" s="483"/>
      <c r="AV49" s="483"/>
      <c r="AW49" s="483"/>
      <c r="AX49" s="483"/>
      <c r="AY49" s="483"/>
    </row>
    <row r="50" spans="1:51">
      <c r="A50" s="532">
        <f t="shared" si="10"/>
        <v>43</v>
      </c>
      <c r="B50" s="832">
        <v>8</v>
      </c>
      <c r="C50" s="996" t="s">
        <v>702</v>
      </c>
      <c r="D50" s="940" t="s">
        <v>703</v>
      </c>
      <c r="E50" s="995" t="s">
        <v>1231</v>
      </c>
      <c r="F50" s="943" t="s">
        <v>703</v>
      </c>
      <c r="G50" s="1421">
        <f t="shared" si="0"/>
        <v>29977</v>
      </c>
      <c r="H50" s="1422">
        <f t="shared" si="0"/>
        <v>29977</v>
      </c>
      <c r="I50" s="1422">
        <f t="shared" si="0"/>
        <v>0</v>
      </c>
      <c r="J50" s="489">
        <f t="shared" si="0"/>
        <v>29977</v>
      </c>
      <c r="K50" s="1421">
        <f t="shared" si="1"/>
        <v>0</v>
      </c>
      <c r="L50" s="1422">
        <f t="shared" si="1"/>
        <v>0</v>
      </c>
      <c r="M50" s="1422">
        <f t="shared" si="1"/>
        <v>0</v>
      </c>
      <c r="N50" s="489">
        <f t="shared" si="1"/>
        <v>0</v>
      </c>
      <c r="O50" s="1011"/>
      <c r="P50" s="1012"/>
      <c r="Q50" s="1012"/>
      <c r="R50" s="1013">
        <f t="shared" si="2"/>
        <v>0</v>
      </c>
      <c r="S50" s="1011"/>
      <c r="T50" s="1012"/>
      <c r="U50" s="1012"/>
      <c r="V50" s="1013">
        <f t="shared" si="3"/>
        <v>0</v>
      </c>
      <c r="W50" s="1011"/>
      <c r="X50" s="1012"/>
      <c r="Y50" s="1012"/>
      <c r="Z50" s="1013">
        <f t="shared" si="4"/>
        <v>0</v>
      </c>
      <c r="AA50" s="1011"/>
      <c r="AB50" s="1012"/>
      <c r="AC50" s="1012"/>
      <c r="AD50" s="1013">
        <f t="shared" si="5"/>
        <v>0</v>
      </c>
      <c r="AE50" s="1421">
        <f t="shared" si="9"/>
        <v>29977</v>
      </c>
      <c r="AF50" s="1422">
        <f t="shared" si="9"/>
        <v>29977</v>
      </c>
      <c r="AG50" s="1422">
        <f t="shared" si="9"/>
        <v>0</v>
      </c>
      <c r="AH50" s="489">
        <f t="shared" si="9"/>
        <v>29977</v>
      </c>
      <c r="AI50" s="1011">
        <v>29977</v>
      </c>
      <c r="AJ50" s="1012">
        <v>29977</v>
      </c>
      <c r="AK50" s="1012"/>
      <c r="AL50" s="1013">
        <f t="shared" si="6"/>
        <v>29977</v>
      </c>
      <c r="AM50" s="1011"/>
      <c r="AN50" s="1012"/>
      <c r="AO50" s="1012"/>
      <c r="AP50" s="1013">
        <f t="shared" si="7"/>
        <v>0</v>
      </c>
      <c r="AQ50" s="1011"/>
      <c r="AR50" s="1012"/>
      <c r="AS50" s="1012"/>
      <c r="AT50" s="1013">
        <f t="shared" si="8"/>
        <v>0</v>
      </c>
      <c r="AU50" s="483"/>
      <c r="AV50" s="483"/>
      <c r="AW50" s="483"/>
      <c r="AX50" s="483"/>
      <c r="AY50" s="483"/>
    </row>
    <row r="51" spans="1:51">
      <c r="A51" s="532">
        <f t="shared" si="10"/>
        <v>44</v>
      </c>
      <c r="B51" s="832">
        <v>8</v>
      </c>
      <c r="C51" s="996" t="s">
        <v>1015</v>
      </c>
      <c r="D51" s="940" t="s">
        <v>1013</v>
      </c>
      <c r="E51" s="995" t="s">
        <v>1233</v>
      </c>
      <c r="F51" s="943" t="s">
        <v>1013</v>
      </c>
      <c r="G51" s="1421">
        <f t="shared" si="0"/>
        <v>0</v>
      </c>
      <c r="H51" s="1422">
        <f t="shared" si="0"/>
        <v>0</v>
      </c>
      <c r="I51" s="1422">
        <f t="shared" si="0"/>
        <v>0</v>
      </c>
      <c r="J51" s="489">
        <f t="shared" si="0"/>
        <v>0</v>
      </c>
      <c r="K51" s="1421">
        <f t="shared" si="1"/>
        <v>0</v>
      </c>
      <c r="L51" s="1422">
        <f t="shared" si="1"/>
        <v>0</v>
      </c>
      <c r="M51" s="1422">
        <f t="shared" si="1"/>
        <v>0</v>
      </c>
      <c r="N51" s="489">
        <f t="shared" si="1"/>
        <v>0</v>
      </c>
      <c r="O51" s="1011"/>
      <c r="P51" s="1012"/>
      <c r="Q51" s="1012"/>
      <c r="R51" s="1013">
        <f t="shared" si="2"/>
        <v>0</v>
      </c>
      <c r="S51" s="1011"/>
      <c r="T51" s="1012"/>
      <c r="U51" s="1012"/>
      <c r="V51" s="1013">
        <f t="shared" si="3"/>
        <v>0</v>
      </c>
      <c r="W51" s="1011"/>
      <c r="X51" s="1012"/>
      <c r="Y51" s="1012"/>
      <c r="Z51" s="1013">
        <f t="shared" si="4"/>
        <v>0</v>
      </c>
      <c r="AA51" s="1011"/>
      <c r="AB51" s="1012"/>
      <c r="AC51" s="1012"/>
      <c r="AD51" s="1013">
        <f t="shared" si="5"/>
        <v>0</v>
      </c>
      <c r="AE51" s="1421">
        <f t="shared" si="9"/>
        <v>0</v>
      </c>
      <c r="AF51" s="1422">
        <f t="shared" si="9"/>
        <v>0</v>
      </c>
      <c r="AG51" s="1422">
        <f t="shared" si="9"/>
        <v>0</v>
      </c>
      <c r="AH51" s="489">
        <f t="shared" si="9"/>
        <v>0</v>
      </c>
      <c r="AI51" s="1011"/>
      <c r="AJ51" s="1012"/>
      <c r="AK51" s="1012"/>
      <c r="AL51" s="1013">
        <f t="shared" si="6"/>
        <v>0</v>
      </c>
      <c r="AM51" s="1011"/>
      <c r="AN51" s="1012"/>
      <c r="AO51" s="1012"/>
      <c r="AP51" s="1013">
        <f t="shared" si="7"/>
        <v>0</v>
      </c>
      <c r="AQ51" s="1011"/>
      <c r="AR51" s="1012"/>
      <c r="AS51" s="1012"/>
      <c r="AT51" s="1013">
        <f t="shared" si="8"/>
        <v>0</v>
      </c>
      <c r="AU51" s="483"/>
      <c r="AV51" s="483"/>
      <c r="AW51" s="483"/>
      <c r="AX51" s="483"/>
      <c r="AY51" s="483"/>
    </row>
    <row r="52" spans="1:51">
      <c r="A52" s="532">
        <f t="shared" si="10"/>
        <v>45</v>
      </c>
      <c r="B52" s="832">
        <v>8</v>
      </c>
      <c r="C52" s="996" t="s">
        <v>1016</v>
      </c>
      <c r="D52" s="940" t="s">
        <v>1014</v>
      </c>
      <c r="E52" s="995" t="s">
        <v>1225</v>
      </c>
      <c r="F52" s="943" t="s">
        <v>1017</v>
      </c>
      <c r="G52" s="1421">
        <f t="shared" si="0"/>
        <v>0</v>
      </c>
      <c r="H52" s="1422">
        <f t="shared" si="0"/>
        <v>0</v>
      </c>
      <c r="I52" s="1422">
        <f t="shared" si="0"/>
        <v>0</v>
      </c>
      <c r="J52" s="489">
        <f t="shared" si="0"/>
        <v>0</v>
      </c>
      <c r="K52" s="1421">
        <f t="shared" si="1"/>
        <v>0</v>
      </c>
      <c r="L52" s="1422">
        <f t="shared" si="1"/>
        <v>0</v>
      </c>
      <c r="M52" s="1422">
        <f t="shared" si="1"/>
        <v>0</v>
      </c>
      <c r="N52" s="489">
        <f t="shared" si="1"/>
        <v>0</v>
      </c>
      <c r="O52" s="1011"/>
      <c r="P52" s="1012"/>
      <c r="Q52" s="1012"/>
      <c r="R52" s="1013">
        <f t="shared" si="2"/>
        <v>0</v>
      </c>
      <c r="S52" s="1011"/>
      <c r="T52" s="1012"/>
      <c r="U52" s="1012"/>
      <c r="V52" s="1013">
        <f t="shared" si="3"/>
        <v>0</v>
      </c>
      <c r="W52" s="1011"/>
      <c r="X52" s="1012"/>
      <c r="Y52" s="1012"/>
      <c r="Z52" s="1013">
        <f t="shared" si="4"/>
        <v>0</v>
      </c>
      <c r="AA52" s="1011"/>
      <c r="AB52" s="1012"/>
      <c r="AC52" s="1012"/>
      <c r="AD52" s="1013">
        <f t="shared" si="5"/>
        <v>0</v>
      </c>
      <c r="AE52" s="1421">
        <f t="shared" si="9"/>
        <v>0</v>
      </c>
      <c r="AF52" s="1422">
        <f t="shared" si="9"/>
        <v>0</v>
      </c>
      <c r="AG52" s="1422">
        <f t="shared" si="9"/>
        <v>0</v>
      </c>
      <c r="AH52" s="489">
        <f t="shared" si="9"/>
        <v>0</v>
      </c>
      <c r="AI52" s="1011"/>
      <c r="AJ52" s="1012"/>
      <c r="AK52" s="1012"/>
      <c r="AL52" s="1013">
        <f t="shared" si="6"/>
        <v>0</v>
      </c>
      <c r="AM52" s="1011"/>
      <c r="AN52" s="1012"/>
      <c r="AO52" s="1012"/>
      <c r="AP52" s="1013">
        <f t="shared" si="7"/>
        <v>0</v>
      </c>
      <c r="AQ52" s="1011"/>
      <c r="AR52" s="1012"/>
      <c r="AS52" s="1012"/>
      <c r="AT52" s="1013">
        <f t="shared" si="8"/>
        <v>0</v>
      </c>
      <c r="AU52" s="483"/>
      <c r="AV52" s="483"/>
      <c r="AW52" s="483"/>
      <c r="AX52" s="483"/>
      <c r="AY52" s="483"/>
    </row>
    <row r="53" spans="1:51">
      <c r="A53" s="532">
        <f t="shared" si="10"/>
        <v>46</v>
      </c>
      <c r="B53" s="833">
        <v>8</v>
      </c>
      <c r="C53" s="997" t="s">
        <v>1018</v>
      </c>
      <c r="D53" s="946" t="s">
        <v>1019</v>
      </c>
      <c r="E53" s="998" t="s">
        <v>1225</v>
      </c>
      <c r="F53" s="947" t="s">
        <v>1019</v>
      </c>
      <c r="G53" s="1423">
        <f t="shared" si="0"/>
        <v>0</v>
      </c>
      <c r="H53" s="1424">
        <f t="shared" si="0"/>
        <v>0</v>
      </c>
      <c r="I53" s="1424">
        <f t="shared" si="0"/>
        <v>0</v>
      </c>
      <c r="J53" s="492">
        <f t="shared" si="0"/>
        <v>0</v>
      </c>
      <c r="K53" s="1423">
        <f t="shared" si="1"/>
        <v>0</v>
      </c>
      <c r="L53" s="1424">
        <f t="shared" si="1"/>
        <v>0</v>
      </c>
      <c r="M53" s="1424">
        <f t="shared" si="1"/>
        <v>0</v>
      </c>
      <c r="N53" s="492">
        <f t="shared" si="1"/>
        <v>0</v>
      </c>
      <c r="O53" s="1011"/>
      <c r="P53" s="1012"/>
      <c r="Q53" s="1012"/>
      <c r="R53" s="1013">
        <f t="shared" si="2"/>
        <v>0</v>
      </c>
      <c r="S53" s="1011"/>
      <c r="T53" s="1012"/>
      <c r="U53" s="1012"/>
      <c r="V53" s="1013">
        <f t="shared" si="3"/>
        <v>0</v>
      </c>
      <c r="W53" s="1011"/>
      <c r="X53" s="1012"/>
      <c r="Y53" s="1012"/>
      <c r="Z53" s="1013">
        <f t="shared" si="4"/>
        <v>0</v>
      </c>
      <c r="AA53" s="1011"/>
      <c r="AB53" s="1012"/>
      <c r="AC53" s="1012"/>
      <c r="AD53" s="1013">
        <f t="shared" si="5"/>
        <v>0</v>
      </c>
      <c r="AE53" s="1423">
        <f t="shared" si="9"/>
        <v>0</v>
      </c>
      <c r="AF53" s="1424">
        <f t="shared" si="9"/>
        <v>0</v>
      </c>
      <c r="AG53" s="1424">
        <f t="shared" si="9"/>
        <v>0</v>
      </c>
      <c r="AH53" s="492">
        <f t="shared" si="9"/>
        <v>0</v>
      </c>
      <c r="AI53" s="1011"/>
      <c r="AJ53" s="1012"/>
      <c r="AK53" s="1012"/>
      <c r="AL53" s="1013">
        <f t="shared" si="6"/>
        <v>0</v>
      </c>
      <c r="AM53" s="1011"/>
      <c r="AN53" s="1012"/>
      <c r="AO53" s="1012"/>
      <c r="AP53" s="1013">
        <f t="shared" si="7"/>
        <v>0</v>
      </c>
      <c r="AQ53" s="1011"/>
      <c r="AR53" s="1012"/>
      <c r="AS53" s="1012"/>
      <c r="AT53" s="1013">
        <f t="shared" si="8"/>
        <v>0</v>
      </c>
      <c r="AU53" s="483"/>
      <c r="AV53" s="483"/>
      <c r="AW53" s="483"/>
      <c r="AX53" s="483"/>
      <c r="AY53" s="483"/>
    </row>
    <row r="54" spans="1:51">
      <c r="A54" s="532">
        <f t="shared" si="10"/>
        <v>47</v>
      </c>
      <c r="B54" s="833">
        <v>8</v>
      </c>
      <c r="C54" s="997" t="s">
        <v>730</v>
      </c>
      <c r="D54" s="946" t="s">
        <v>728</v>
      </c>
      <c r="E54" s="998" t="s">
        <v>1234</v>
      </c>
      <c r="F54" s="947" t="s">
        <v>657</v>
      </c>
      <c r="G54" s="1423">
        <f t="shared" si="0"/>
        <v>2500</v>
      </c>
      <c r="H54" s="1424">
        <f t="shared" si="0"/>
        <v>2500</v>
      </c>
      <c r="I54" s="1424">
        <f t="shared" si="0"/>
        <v>0</v>
      </c>
      <c r="J54" s="492">
        <f t="shared" si="0"/>
        <v>2500</v>
      </c>
      <c r="K54" s="1423">
        <f t="shared" si="1"/>
        <v>2500</v>
      </c>
      <c r="L54" s="1424">
        <f t="shared" si="1"/>
        <v>2500</v>
      </c>
      <c r="M54" s="1424">
        <f t="shared" si="1"/>
        <v>0</v>
      </c>
      <c r="N54" s="492">
        <f t="shared" si="1"/>
        <v>2500</v>
      </c>
      <c r="O54" s="1011"/>
      <c r="P54" s="1012"/>
      <c r="Q54" s="1012"/>
      <c r="R54" s="1013">
        <f t="shared" si="2"/>
        <v>0</v>
      </c>
      <c r="S54" s="1011"/>
      <c r="T54" s="1012"/>
      <c r="U54" s="1012"/>
      <c r="V54" s="1013">
        <f t="shared" si="3"/>
        <v>0</v>
      </c>
      <c r="W54" s="1011">
        <v>2500</v>
      </c>
      <c r="X54" s="1012">
        <v>2500</v>
      </c>
      <c r="Y54" s="1012"/>
      <c r="Z54" s="1013">
        <f t="shared" si="4"/>
        <v>2500</v>
      </c>
      <c r="AA54" s="1011"/>
      <c r="AB54" s="1012"/>
      <c r="AC54" s="1012"/>
      <c r="AD54" s="1013">
        <f t="shared" si="5"/>
        <v>0</v>
      </c>
      <c r="AE54" s="1423">
        <f t="shared" si="9"/>
        <v>0</v>
      </c>
      <c r="AF54" s="1424">
        <f t="shared" si="9"/>
        <v>0</v>
      </c>
      <c r="AG54" s="1424">
        <f t="shared" si="9"/>
        <v>0</v>
      </c>
      <c r="AH54" s="492">
        <f t="shared" si="9"/>
        <v>0</v>
      </c>
      <c r="AI54" s="1011"/>
      <c r="AJ54" s="1012"/>
      <c r="AK54" s="1012"/>
      <c r="AL54" s="1013">
        <f t="shared" si="6"/>
        <v>0</v>
      </c>
      <c r="AM54" s="1011"/>
      <c r="AN54" s="1012"/>
      <c r="AO54" s="1012"/>
      <c r="AP54" s="1013">
        <f t="shared" si="7"/>
        <v>0</v>
      </c>
      <c r="AQ54" s="1011"/>
      <c r="AR54" s="1012"/>
      <c r="AS54" s="1012"/>
      <c r="AT54" s="1013">
        <f t="shared" si="8"/>
        <v>0</v>
      </c>
      <c r="AU54" s="483"/>
      <c r="AV54" s="483"/>
      <c r="AW54" s="483"/>
      <c r="AX54" s="483"/>
      <c r="AY54" s="483"/>
    </row>
    <row r="55" spans="1:51">
      <c r="A55" s="532">
        <f t="shared" si="10"/>
        <v>48</v>
      </c>
      <c r="B55" s="833">
        <v>8</v>
      </c>
      <c r="C55" s="997" t="s">
        <v>731</v>
      </c>
      <c r="D55" s="946" t="s">
        <v>729</v>
      </c>
      <c r="E55" s="998" t="s">
        <v>1225</v>
      </c>
      <c r="F55" s="947" t="s">
        <v>653</v>
      </c>
      <c r="G55" s="1423">
        <f>+K55+AE55</f>
        <v>0</v>
      </c>
      <c r="H55" s="1424">
        <f>+L55+AF55</f>
        <v>0</v>
      </c>
      <c r="I55" s="1424">
        <f>+M55+AG55</f>
        <v>0</v>
      </c>
      <c r="J55" s="492">
        <f>+N55+AH55</f>
        <v>0</v>
      </c>
      <c r="K55" s="1423">
        <f>+O55+S55+W55+AA55</f>
        <v>0</v>
      </c>
      <c r="L55" s="1424">
        <f>+P55+T55+X55+AB55</f>
        <v>0</v>
      </c>
      <c r="M55" s="1424">
        <f>+Q55+U55+Y55+AC55</f>
        <v>0</v>
      </c>
      <c r="N55" s="492">
        <f>+R55+V55+Z55+AD55</f>
        <v>0</v>
      </c>
      <c r="O55" s="1011"/>
      <c r="P55" s="1012"/>
      <c r="Q55" s="1012"/>
      <c r="R55" s="1013">
        <f t="shared" si="2"/>
        <v>0</v>
      </c>
      <c r="S55" s="1011"/>
      <c r="T55" s="1012"/>
      <c r="U55" s="1012"/>
      <c r="V55" s="1013">
        <f t="shared" si="3"/>
        <v>0</v>
      </c>
      <c r="W55" s="1011"/>
      <c r="X55" s="1012"/>
      <c r="Y55" s="1012"/>
      <c r="Z55" s="1013">
        <f t="shared" si="4"/>
        <v>0</v>
      </c>
      <c r="AA55" s="1011"/>
      <c r="AB55" s="1012"/>
      <c r="AC55" s="1012"/>
      <c r="AD55" s="1013">
        <f t="shared" si="5"/>
        <v>0</v>
      </c>
      <c r="AE55" s="1423">
        <f>+AI55+AM55+AQ55</f>
        <v>0</v>
      </c>
      <c r="AF55" s="1424">
        <f>+AJ55+AN55+AR55</f>
        <v>0</v>
      </c>
      <c r="AG55" s="1424">
        <f>+AK55+AO55+AS55</f>
        <v>0</v>
      </c>
      <c r="AH55" s="492">
        <f>+AL55+AP55+AT55</f>
        <v>0</v>
      </c>
      <c r="AI55" s="1011"/>
      <c r="AJ55" s="1012"/>
      <c r="AK55" s="1012"/>
      <c r="AL55" s="1013">
        <f t="shared" si="6"/>
        <v>0</v>
      </c>
      <c r="AM55" s="1011"/>
      <c r="AN55" s="1012"/>
      <c r="AO55" s="1012"/>
      <c r="AP55" s="1013">
        <f t="shared" si="7"/>
        <v>0</v>
      </c>
      <c r="AQ55" s="1011"/>
      <c r="AR55" s="1012"/>
      <c r="AS55" s="1012"/>
      <c r="AT55" s="1013">
        <f t="shared" si="8"/>
        <v>0</v>
      </c>
      <c r="AU55" s="483"/>
      <c r="AV55" s="483"/>
      <c r="AW55" s="483"/>
      <c r="AX55" s="483"/>
      <c r="AY55" s="483"/>
    </row>
    <row r="56" spans="1:51">
      <c r="A56" s="532">
        <f t="shared" si="10"/>
        <v>49</v>
      </c>
      <c r="B56" s="833">
        <v>8</v>
      </c>
      <c r="C56" s="997" t="s">
        <v>1020</v>
      </c>
      <c r="D56" s="946" t="s">
        <v>1021</v>
      </c>
      <c r="E56" s="998" t="s">
        <v>1225</v>
      </c>
      <c r="F56" s="947" t="s">
        <v>1021</v>
      </c>
      <c r="G56" s="1423">
        <f t="shared" si="0"/>
        <v>0</v>
      </c>
      <c r="H56" s="1424">
        <f t="shared" si="0"/>
        <v>0</v>
      </c>
      <c r="I56" s="1424">
        <f t="shared" si="0"/>
        <v>0</v>
      </c>
      <c r="J56" s="492">
        <f t="shared" si="0"/>
        <v>0</v>
      </c>
      <c r="K56" s="1423">
        <f t="shared" si="1"/>
        <v>0</v>
      </c>
      <c r="L56" s="1424">
        <f t="shared" si="1"/>
        <v>0</v>
      </c>
      <c r="M56" s="1424">
        <f t="shared" si="1"/>
        <v>0</v>
      </c>
      <c r="N56" s="492">
        <f t="shared" si="1"/>
        <v>0</v>
      </c>
      <c r="O56" s="1011"/>
      <c r="P56" s="1012"/>
      <c r="Q56" s="1012"/>
      <c r="R56" s="1013">
        <f t="shared" si="2"/>
        <v>0</v>
      </c>
      <c r="S56" s="1011"/>
      <c r="T56" s="1012"/>
      <c r="U56" s="1012"/>
      <c r="V56" s="1013">
        <f t="shared" si="3"/>
        <v>0</v>
      </c>
      <c r="W56" s="1011"/>
      <c r="X56" s="1012"/>
      <c r="Y56" s="1012"/>
      <c r="Z56" s="1013">
        <f t="shared" si="4"/>
        <v>0</v>
      </c>
      <c r="AA56" s="1011"/>
      <c r="AB56" s="1012"/>
      <c r="AC56" s="1012"/>
      <c r="AD56" s="1013">
        <f t="shared" si="5"/>
        <v>0</v>
      </c>
      <c r="AE56" s="1423">
        <f t="shared" si="9"/>
        <v>0</v>
      </c>
      <c r="AF56" s="1424">
        <f t="shared" si="9"/>
        <v>0</v>
      </c>
      <c r="AG56" s="1424">
        <f t="shared" si="9"/>
        <v>0</v>
      </c>
      <c r="AH56" s="492">
        <f t="shared" si="9"/>
        <v>0</v>
      </c>
      <c r="AI56" s="1011"/>
      <c r="AJ56" s="1012"/>
      <c r="AK56" s="1012"/>
      <c r="AL56" s="1013">
        <f t="shared" si="6"/>
        <v>0</v>
      </c>
      <c r="AM56" s="1011"/>
      <c r="AN56" s="1012"/>
      <c r="AO56" s="1012"/>
      <c r="AP56" s="1013">
        <f t="shared" si="7"/>
        <v>0</v>
      </c>
      <c r="AQ56" s="1011"/>
      <c r="AR56" s="1012"/>
      <c r="AS56" s="1012"/>
      <c r="AT56" s="1013">
        <f t="shared" si="8"/>
        <v>0</v>
      </c>
      <c r="AU56" s="483"/>
      <c r="AV56" s="483"/>
      <c r="AW56" s="483"/>
      <c r="AX56" s="483"/>
      <c r="AY56" s="483"/>
    </row>
    <row r="57" spans="1:51">
      <c r="A57" s="532">
        <f t="shared" si="10"/>
        <v>50</v>
      </c>
      <c r="B57" s="833">
        <v>6</v>
      </c>
      <c r="C57" s="997" t="s">
        <v>679</v>
      </c>
      <c r="D57" s="946" t="s">
        <v>678</v>
      </c>
      <c r="E57" s="998" t="s">
        <v>1225</v>
      </c>
      <c r="F57" s="947" t="s">
        <v>1031</v>
      </c>
      <c r="G57" s="1423">
        <f t="shared" ref="G57:J59" si="14">+K57+AE57</f>
        <v>0</v>
      </c>
      <c r="H57" s="1424">
        <f t="shared" si="14"/>
        <v>0</v>
      </c>
      <c r="I57" s="1424">
        <f t="shared" si="14"/>
        <v>0</v>
      </c>
      <c r="J57" s="492">
        <f t="shared" si="14"/>
        <v>0</v>
      </c>
      <c r="K57" s="1423">
        <f t="shared" ref="K57:N59" si="15">+O57+S57+W57+AA57</f>
        <v>0</v>
      </c>
      <c r="L57" s="1424">
        <f t="shared" si="15"/>
        <v>0</v>
      </c>
      <c r="M57" s="1424">
        <f t="shared" si="15"/>
        <v>0</v>
      </c>
      <c r="N57" s="492">
        <f t="shared" si="15"/>
        <v>0</v>
      </c>
      <c r="O57" s="1011"/>
      <c r="P57" s="1012"/>
      <c r="Q57" s="1012"/>
      <c r="R57" s="1013">
        <f t="shared" si="2"/>
        <v>0</v>
      </c>
      <c r="S57" s="1011"/>
      <c r="T57" s="1012"/>
      <c r="U57" s="1012"/>
      <c r="V57" s="1013">
        <f t="shared" si="3"/>
        <v>0</v>
      </c>
      <c r="W57" s="1011"/>
      <c r="X57" s="1012"/>
      <c r="Y57" s="1012"/>
      <c r="Z57" s="1013">
        <f t="shared" si="4"/>
        <v>0</v>
      </c>
      <c r="AA57" s="1011"/>
      <c r="AB57" s="1012"/>
      <c r="AC57" s="1012"/>
      <c r="AD57" s="1013">
        <f t="shared" si="5"/>
        <v>0</v>
      </c>
      <c r="AE57" s="1423">
        <f t="shared" ref="AE57:AH59" si="16">+AI57+AM57+AQ57</f>
        <v>0</v>
      </c>
      <c r="AF57" s="1424">
        <f t="shared" si="16"/>
        <v>0</v>
      </c>
      <c r="AG57" s="1424">
        <f t="shared" si="16"/>
        <v>0</v>
      </c>
      <c r="AH57" s="492">
        <f t="shared" si="16"/>
        <v>0</v>
      </c>
      <c r="AI57" s="1011"/>
      <c r="AJ57" s="1012"/>
      <c r="AK57" s="1012"/>
      <c r="AL57" s="1013">
        <f t="shared" si="6"/>
        <v>0</v>
      </c>
      <c r="AM57" s="1011"/>
      <c r="AN57" s="1012"/>
      <c r="AO57" s="1012"/>
      <c r="AP57" s="1013">
        <f t="shared" si="7"/>
        <v>0</v>
      </c>
      <c r="AQ57" s="1011"/>
      <c r="AR57" s="1012"/>
      <c r="AS57" s="1012"/>
      <c r="AT57" s="1013">
        <f t="shared" si="8"/>
        <v>0</v>
      </c>
      <c r="AU57" s="483"/>
      <c r="AV57" s="483"/>
      <c r="AW57" s="483"/>
      <c r="AX57" s="483"/>
      <c r="AY57" s="483"/>
    </row>
    <row r="58" spans="1:51">
      <c r="A58" s="532">
        <f t="shared" si="10"/>
        <v>51</v>
      </c>
      <c r="B58" s="833">
        <v>6</v>
      </c>
      <c r="C58" s="997" t="s">
        <v>685</v>
      </c>
      <c r="D58" s="946" t="s">
        <v>684</v>
      </c>
      <c r="E58" s="998" t="s">
        <v>1225</v>
      </c>
      <c r="F58" s="947" t="s">
        <v>1033</v>
      </c>
      <c r="G58" s="1423">
        <f t="shared" si="14"/>
        <v>0</v>
      </c>
      <c r="H58" s="1424">
        <f t="shared" si="14"/>
        <v>0</v>
      </c>
      <c r="I58" s="1424">
        <f t="shared" si="14"/>
        <v>0</v>
      </c>
      <c r="J58" s="492">
        <f t="shared" si="14"/>
        <v>0</v>
      </c>
      <c r="K58" s="1423">
        <f t="shared" si="15"/>
        <v>0</v>
      </c>
      <c r="L58" s="1424">
        <f t="shared" si="15"/>
        <v>0</v>
      </c>
      <c r="M58" s="1424">
        <f t="shared" si="15"/>
        <v>0</v>
      </c>
      <c r="N58" s="492">
        <f t="shared" si="15"/>
        <v>0</v>
      </c>
      <c r="O58" s="1011"/>
      <c r="P58" s="1012"/>
      <c r="Q58" s="1012"/>
      <c r="R58" s="1013">
        <f t="shared" si="2"/>
        <v>0</v>
      </c>
      <c r="S58" s="1011"/>
      <c r="T58" s="1012"/>
      <c r="U58" s="1012"/>
      <c r="V58" s="1013">
        <f t="shared" si="3"/>
        <v>0</v>
      </c>
      <c r="W58" s="1011"/>
      <c r="X58" s="1012"/>
      <c r="Y58" s="1012"/>
      <c r="Z58" s="1013">
        <f t="shared" si="4"/>
        <v>0</v>
      </c>
      <c r="AA58" s="1011"/>
      <c r="AB58" s="1012"/>
      <c r="AC58" s="1012"/>
      <c r="AD58" s="1013">
        <f t="shared" si="5"/>
        <v>0</v>
      </c>
      <c r="AE58" s="1423">
        <f t="shared" si="16"/>
        <v>0</v>
      </c>
      <c r="AF58" s="1424">
        <f t="shared" si="16"/>
        <v>0</v>
      </c>
      <c r="AG58" s="1424">
        <f t="shared" si="16"/>
        <v>0</v>
      </c>
      <c r="AH58" s="492">
        <f t="shared" si="16"/>
        <v>0</v>
      </c>
      <c r="AI58" s="1011"/>
      <c r="AJ58" s="1012"/>
      <c r="AK58" s="1012"/>
      <c r="AL58" s="1013">
        <f t="shared" si="6"/>
        <v>0</v>
      </c>
      <c r="AM58" s="1011"/>
      <c r="AN58" s="1012"/>
      <c r="AO58" s="1012"/>
      <c r="AP58" s="1013">
        <f t="shared" si="7"/>
        <v>0</v>
      </c>
      <c r="AQ58" s="1011"/>
      <c r="AR58" s="1012"/>
      <c r="AS58" s="1012"/>
      <c r="AT58" s="1013">
        <f t="shared" si="8"/>
        <v>0</v>
      </c>
      <c r="AU58" s="483"/>
      <c r="AV58" s="483"/>
      <c r="AW58" s="483"/>
      <c r="AX58" s="483"/>
      <c r="AY58" s="483"/>
    </row>
    <row r="59" spans="1:51">
      <c r="A59" s="532">
        <f t="shared" si="10"/>
        <v>52</v>
      </c>
      <c r="B59" s="833">
        <v>6</v>
      </c>
      <c r="C59" s="997" t="s">
        <v>1030</v>
      </c>
      <c r="D59" s="946" t="s">
        <v>1029</v>
      </c>
      <c r="E59" s="998" t="s">
        <v>1235</v>
      </c>
      <c r="F59" s="947" t="s">
        <v>1029</v>
      </c>
      <c r="G59" s="1423">
        <f t="shared" si="14"/>
        <v>0</v>
      </c>
      <c r="H59" s="1424">
        <f t="shared" si="14"/>
        <v>0</v>
      </c>
      <c r="I59" s="1424">
        <f t="shared" si="14"/>
        <v>0</v>
      </c>
      <c r="J59" s="492">
        <f t="shared" si="14"/>
        <v>0</v>
      </c>
      <c r="K59" s="1423">
        <f t="shared" si="15"/>
        <v>0</v>
      </c>
      <c r="L59" s="1424">
        <f t="shared" si="15"/>
        <v>0</v>
      </c>
      <c r="M59" s="1424">
        <f t="shared" si="15"/>
        <v>0</v>
      </c>
      <c r="N59" s="492">
        <f t="shared" si="15"/>
        <v>0</v>
      </c>
      <c r="O59" s="1011"/>
      <c r="P59" s="1012"/>
      <c r="Q59" s="1012"/>
      <c r="R59" s="1013">
        <f t="shared" si="2"/>
        <v>0</v>
      </c>
      <c r="S59" s="1011"/>
      <c r="T59" s="1012"/>
      <c r="U59" s="1012"/>
      <c r="V59" s="1013">
        <f t="shared" si="3"/>
        <v>0</v>
      </c>
      <c r="W59" s="1011"/>
      <c r="X59" s="1012"/>
      <c r="Y59" s="1012"/>
      <c r="Z59" s="1013">
        <f t="shared" si="4"/>
        <v>0</v>
      </c>
      <c r="AA59" s="1011"/>
      <c r="AB59" s="1012"/>
      <c r="AC59" s="1012"/>
      <c r="AD59" s="1013">
        <f t="shared" si="5"/>
        <v>0</v>
      </c>
      <c r="AE59" s="1423">
        <f t="shared" si="16"/>
        <v>0</v>
      </c>
      <c r="AF59" s="1424">
        <f t="shared" si="16"/>
        <v>0</v>
      </c>
      <c r="AG59" s="1424">
        <f t="shared" si="16"/>
        <v>0</v>
      </c>
      <c r="AH59" s="492">
        <f t="shared" si="16"/>
        <v>0</v>
      </c>
      <c r="AI59" s="1011"/>
      <c r="AJ59" s="1012"/>
      <c r="AK59" s="1012"/>
      <c r="AL59" s="1013">
        <f t="shared" si="6"/>
        <v>0</v>
      </c>
      <c r="AM59" s="1011"/>
      <c r="AN59" s="1012"/>
      <c r="AO59" s="1012"/>
      <c r="AP59" s="1013">
        <f t="shared" si="7"/>
        <v>0</v>
      </c>
      <c r="AQ59" s="1011"/>
      <c r="AR59" s="1012"/>
      <c r="AS59" s="1012"/>
      <c r="AT59" s="1013">
        <f t="shared" si="8"/>
        <v>0</v>
      </c>
      <c r="AU59" s="483"/>
      <c r="AV59" s="483"/>
      <c r="AW59" s="483"/>
      <c r="AX59" s="483"/>
      <c r="AY59" s="483"/>
    </row>
    <row r="60" spans="1:51">
      <c r="A60" s="532">
        <f t="shared" si="10"/>
        <v>53</v>
      </c>
      <c r="B60" s="833">
        <v>6</v>
      </c>
      <c r="C60" s="997" t="s">
        <v>681</v>
      </c>
      <c r="D60" s="946" t="s">
        <v>680</v>
      </c>
      <c r="E60" s="998" t="s">
        <v>1225</v>
      </c>
      <c r="F60" s="947" t="s">
        <v>637</v>
      </c>
      <c r="G60" s="1423">
        <f t="shared" ref="G60:J60" si="17">+K60+AE60</f>
        <v>0</v>
      </c>
      <c r="H60" s="1424">
        <f t="shared" si="17"/>
        <v>0</v>
      </c>
      <c r="I60" s="1424">
        <f t="shared" si="17"/>
        <v>0</v>
      </c>
      <c r="J60" s="492">
        <f t="shared" si="17"/>
        <v>0</v>
      </c>
      <c r="K60" s="1423">
        <f t="shared" ref="K60:N60" si="18">+O60+S60+W60+AA60</f>
        <v>0</v>
      </c>
      <c r="L60" s="1424">
        <f t="shared" si="18"/>
        <v>0</v>
      </c>
      <c r="M60" s="1424">
        <f t="shared" si="18"/>
        <v>0</v>
      </c>
      <c r="N60" s="492">
        <f t="shared" si="18"/>
        <v>0</v>
      </c>
      <c r="O60" s="1011"/>
      <c r="P60" s="1012"/>
      <c r="Q60" s="1012"/>
      <c r="R60" s="1013">
        <f t="shared" si="2"/>
        <v>0</v>
      </c>
      <c r="S60" s="1011"/>
      <c r="T60" s="1012"/>
      <c r="U60" s="1012"/>
      <c r="V60" s="1013">
        <f t="shared" si="3"/>
        <v>0</v>
      </c>
      <c r="W60" s="1011"/>
      <c r="X60" s="1012"/>
      <c r="Y60" s="1012"/>
      <c r="Z60" s="1013">
        <f t="shared" si="4"/>
        <v>0</v>
      </c>
      <c r="AA60" s="1011"/>
      <c r="AB60" s="1012"/>
      <c r="AC60" s="1012"/>
      <c r="AD60" s="1013">
        <f t="shared" si="5"/>
        <v>0</v>
      </c>
      <c r="AE60" s="1423">
        <f t="shared" ref="AE60:AH60" si="19">+AI60+AM60+AQ60</f>
        <v>0</v>
      </c>
      <c r="AF60" s="1424">
        <f t="shared" si="19"/>
        <v>0</v>
      </c>
      <c r="AG60" s="1424">
        <f t="shared" si="19"/>
        <v>0</v>
      </c>
      <c r="AH60" s="492">
        <f t="shared" si="19"/>
        <v>0</v>
      </c>
      <c r="AI60" s="1011"/>
      <c r="AJ60" s="1012"/>
      <c r="AK60" s="1012"/>
      <c r="AL60" s="1013">
        <f t="shared" si="6"/>
        <v>0</v>
      </c>
      <c r="AM60" s="1011"/>
      <c r="AN60" s="1012"/>
      <c r="AO60" s="1012"/>
      <c r="AP60" s="1013">
        <f t="shared" si="7"/>
        <v>0</v>
      </c>
      <c r="AQ60" s="1011"/>
      <c r="AR60" s="1012"/>
      <c r="AS60" s="1012"/>
      <c r="AT60" s="1013">
        <f t="shared" si="8"/>
        <v>0</v>
      </c>
      <c r="AU60" s="483"/>
      <c r="AV60" s="483"/>
      <c r="AW60" s="483"/>
      <c r="AX60" s="483"/>
      <c r="AY60" s="483"/>
    </row>
    <row r="61" spans="1:51">
      <c r="A61" s="532">
        <f t="shared" si="10"/>
        <v>54</v>
      </c>
      <c r="B61" s="833">
        <v>6</v>
      </c>
      <c r="C61" s="997" t="s">
        <v>681</v>
      </c>
      <c r="D61" s="946" t="s">
        <v>680</v>
      </c>
      <c r="E61" s="998" t="s">
        <v>1225</v>
      </c>
      <c r="F61" s="947" t="s">
        <v>638</v>
      </c>
      <c r="G61" s="1423">
        <f t="shared" ref="G61:J61" si="20">+K61+AE61</f>
        <v>0</v>
      </c>
      <c r="H61" s="1424">
        <f t="shared" si="20"/>
        <v>0</v>
      </c>
      <c r="I61" s="1424">
        <f t="shared" si="20"/>
        <v>0</v>
      </c>
      <c r="J61" s="492">
        <f t="shared" si="20"/>
        <v>0</v>
      </c>
      <c r="K61" s="1423">
        <f t="shared" ref="K61:N61" si="21">+O61+S61+W61+AA61</f>
        <v>0</v>
      </c>
      <c r="L61" s="1424">
        <f t="shared" si="21"/>
        <v>0</v>
      </c>
      <c r="M61" s="1424">
        <f t="shared" si="21"/>
        <v>0</v>
      </c>
      <c r="N61" s="492">
        <f t="shared" si="21"/>
        <v>0</v>
      </c>
      <c r="O61" s="1011"/>
      <c r="P61" s="1012"/>
      <c r="Q61" s="1012"/>
      <c r="R61" s="1013">
        <f t="shared" si="2"/>
        <v>0</v>
      </c>
      <c r="S61" s="1011"/>
      <c r="T61" s="1012"/>
      <c r="U61" s="1012"/>
      <c r="V61" s="1013">
        <f t="shared" si="3"/>
        <v>0</v>
      </c>
      <c r="W61" s="1011"/>
      <c r="X61" s="1012"/>
      <c r="Y61" s="1012"/>
      <c r="Z61" s="1013">
        <f t="shared" si="4"/>
        <v>0</v>
      </c>
      <c r="AA61" s="1011"/>
      <c r="AB61" s="1012"/>
      <c r="AC61" s="1012"/>
      <c r="AD61" s="1013">
        <f t="shared" si="5"/>
        <v>0</v>
      </c>
      <c r="AE61" s="1423">
        <f t="shared" ref="AE61:AH61" si="22">+AI61+AM61+AQ61</f>
        <v>0</v>
      </c>
      <c r="AF61" s="1424">
        <f t="shared" si="22"/>
        <v>0</v>
      </c>
      <c r="AG61" s="1424">
        <f t="shared" si="22"/>
        <v>0</v>
      </c>
      <c r="AH61" s="492">
        <f t="shared" si="22"/>
        <v>0</v>
      </c>
      <c r="AI61" s="1011"/>
      <c r="AJ61" s="1012"/>
      <c r="AK61" s="1012"/>
      <c r="AL61" s="1013">
        <f t="shared" si="6"/>
        <v>0</v>
      </c>
      <c r="AM61" s="1011"/>
      <c r="AN61" s="1012"/>
      <c r="AO61" s="1012"/>
      <c r="AP61" s="1013">
        <f t="shared" si="7"/>
        <v>0</v>
      </c>
      <c r="AQ61" s="1011"/>
      <c r="AR61" s="1012"/>
      <c r="AS61" s="1012"/>
      <c r="AT61" s="1013">
        <f t="shared" si="8"/>
        <v>0</v>
      </c>
      <c r="AU61" s="483"/>
      <c r="AV61" s="483"/>
      <c r="AW61" s="483"/>
      <c r="AX61" s="483"/>
      <c r="AY61" s="483"/>
    </row>
    <row r="62" spans="1:51">
      <c r="A62" s="532">
        <f t="shared" si="10"/>
        <v>55</v>
      </c>
      <c r="B62" s="834">
        <v>6</v>
      </c>
      <c r="C62" s="997" t="s">
        <v>681</v>
      </c>
      <c r="D62" s="946" t="s">
        <v>680</v>
      </c>
      <c r="E62" s="998" t="s">
        <v>1225</v>
      </c>
      <c r="F62" s="947" t="s">
        <v>639</v>
      </c>
      <c r="G62" s="1423">
        <f t="shared" ref="G62:J62" si="23">+K62+AE62</f>
        <v>0</v>
      </c>
      <c r="H62" s="1424">
        <f t="shared" si="23"/>
        <v>0</v>
      </c>
      <c r="I62" s="1424">
        <f t="shared" si="23"/>
        <v>0</v>
      </c>
      <c r="J62" s="492">
        <f t="shared" si="23"/>
        <v>0</v>
      </c>
      <c r="K62" s="1423">
        <f t="shared" ref="K62:N62" si="24">+O62+S62+W62+AA62</f>
        <v>0</v>
      </c>
      <c r="L62" s="1424">
        <f t="shared" si="24"/>
        <v>0</v>
      </c>
      <c r="M62" s="1424">
        <f t="shared" si="24"/>
        <v>0</v>
      </c>
      <c r="N62" s="492">
        <f t="shared" si="24"/>
        <v>0</v>
      </c>
      <c r="O62" s="1011"/>
      <c r="P62" s="1012"/>
      <c r="Q62" s="1012"/>
      <c r="R62" s="1013">
        <f t="shared" si="2"/>
        <v>0</v>
      </c>
      <c r="S62" s="1011"/>
      <c r="T62" s="1012"/>
      <c r="U62" s="1012"/>
      <c r="V62" s="1013">
        <f t="shared" si="3"/>
        <v>0</v>
      </c>
      <c r="W62" s="1011"/>
      <c r="X62" s="1012"/>
      <c r="Y62" s="1012"/>
      <c r="Z62" s="1013">
        <f t="shared" si="4"/>
        <v>0</v>
      </c>
      <c r="AA62" s="1011"/>
      <c r="AB62" s="1012"/>
      <c r="AC62" s="1012"/>
      <c r="AD62" s="1013">
        <f t="shared" si="5"/>
        <v>0</v>
      </c>
      <c r="AE62" s="1423">
        <f t="shared" ref="AE62:AH62" si="25">+AI62+AM62+AQ62</f>
        <v>0</v>
      </c>
      <c r="AF62" s="1424">
        <f t="shared" si="25"/>
        <v>0</v>
      </c>
      <c r="AG62" s="1424">
        <f t="shared" si="25"/>
        <v>0</v>
      </c>
      <c r="AH62" s="492">
        <f t="shared" si="25"/>
        <v>0</v>
      </c>
      <c r="AI62" s="1011"/>
      <c r="AJ62" s="1012"/>
      <c r="AK62" s="1012"/>
      <c r="AL62" s="1013">
        <f t="shared" si="6"/>
        <v>0</v>
      </c>
      <c r="AM62" s="1011"/>
      <c r="AN62" s="1012"/>
      <c r="AO62" s="1012"/>
      <c r="AP62" s="1013">
        <f t="shared" si="7"/>
        <v>0</v>
      </c>
      <c r="AQ62" s="1011"/>
      <c r="AR62" s="1012"/>
      <c r="AS62" s="1012"/>
      <c r="AT62" s="1013">
        <f t="shared" si="8"/>
        <v>0</v>
      </c>
      <c r="AU62" s="483"/>
      <c r="AV62" s="483"/>
      <c r="AW62" s="483"/>
      <c r="AX62" s="483"/>
      <c r="AY62" s="483"/>
    </row>
    <row r="63" spans="1:51">
      <c r="A63" s="532">
        <f t="shared" si="10"/>
        <v>56</v>
      </c>
      <c r="B63" s="834">
        <v>7</v>
      </c>
      <c r="C63" s="997" t="s">
        <v>1259</v>
      </c>
      <c r="D63" s="946" t="s">
        <v>1272</v>
      </c>
      <c r="E63" s="998" t="s">
        <v>1225</v>
      </c>
      <c r="F63" s="947" t="s">
        <v>1271</v>
      </c>
      <c r="G63" s="1423">
        <f t="shared" ref="G63:J63" si="26">+K63+AE63</f>
        <v>0</v>
      </c>
      <c r="H63" s="1424">
        <f t="shared" si="26"/>
        <v>0</v>
      </c>
      <c r="I63" s="1424">
        <f t="shared" si="26"/>
        <v>0</v>
      </c>
      <c r="J63" s="492">
        <f t="shared" si="26"/>
        <v>0</v>
      </c>
      <c r="K63" s="1423">
        <f t="shared" ref="K63:N63" si="27">+O63+S63+W63+AA63</f>
        <v>0</v>
      </c>
      <c r="L63" s="1424">
        <f t="shared" si="27"/>
        <v>0</v>
      </c>
      <c r="M63" s="1424">
        <f t="shared" si="27"/>
        <v>0</v>
      </c>
      <c r="N63" s="492">
        <f t="shared" si="27"/>
        <v>0</v>
      </c>
      <c r="O63" s="1011"/>
      <c r="P63" s="1012"/>
      <c r="Q63" s="1012"/>
      <c r="R63" s="1013">
        <f t="shared" si="2"/>
        <v>0</v>
      </c>
      <c r="S63" s="1011"/>
      <c r="T63" s="1012"/>
      <c r="U63" s="1012"/>
      <c r="V63" s="1013">
        <f t="shared" si="3"/>
        <v>0</v>
      </c>
      <c r="W63" s="1011"/>
      <c r="X63" s="1012"/>
      <c r="Y63" s="1012"/>
      <c r="Z63" s="1013">
        <f t="shared" si="4"/>
        <v>0</v>
      </c>
      <c r="AA63" s="1011"/>
      <c r="AB63" s="1012"/>
      <c r="AC63" s="1012"/>
      <c r="AD63" s="1013">
        <f t="shared" si="5"/>
        <v>0</v>
      </c>
      <c r="AE63" s="1423">
        <f t="shared" ref="AE63:AH63" si="28">+AI63+AM63+AQ63</f>
        <v>0</v>
      </c>
      <c r="AF63" s="1424">
        <f t="shared" si="28"/>
        <v>0</v>
      </c>
      <c r="AG63" s="1424">
        <f t="shared" si="28"/>
        <v>0</v>
      </c>
      <c r="AH63" s="492">
        <f t="shared" si="28"/>
        <v>0</v>
      </c>
      <c r="AI63" s="1011"/>
      <c r="AJ63" s="1012"/>
      <c r="AK63" s="1012"/>
      <c r="AL63" s="1013">
        <f t="shared" si="6"/>
        <v>0</v>
      </c>
      <c r="AM63" s="1011"/>
      <c r="AN63" s="1012"/>
      <c r="AO63" s="1012"/>
      <c r="AP63" s="1013">
        <f t="shared" si="7"/>
        <v>0</v>
      </c>
      <c r="AQ63" s="1011"/>
      <c r="AR63" s="1012"/>
      <c r="AS63" s="1012"/>
      <c r="AT63" s="1013">
        <f t="shared" si="8"/>
        <v>0</v>
      </c>
      <c r="AU63" s="483"/>
      <c r="AV63" s="483"/>
      <c r="AW63" s="483"/>
      <c r="AX63" s="483"/>
      <c r="AY63" s="483"/>
    </row>
    <row r="64" spans="1:51">
      <c r="A64" s="532">
        <f t="shared" si="10"/>
        <v>57</v>
      </c>
      <c r="B64" s="834">
        <v>8</v>
      </c>
      <c r="C64" s="997" t="s">
        <v>1037</v>
      </c>
      <c r="D64" s="946" t="s">
        <v>1039</v>
      </c>
      <c r="E64" s="998" t="s">
        <v>1225</v>
      </c>
      <c r="F64" s="947" t="s">
        <v>1038</v>
      </c>
      <c r="G64" s="1423">
        <f t="shared" ref="G64:J64" si="29">+K64+AE64</f>
        <v>0</v>
      </c>
      <c r="H64" s="1424">
        <f t="shared" si="29"/>
        <v>0</v>
      </c>
      <c r="I64" s="1424">
        <f t="shared" si="29"/>
        <v>0</v>
      </c>
      <c r="J64" s="492">
        <f t="shared" si="29"/>
        <v>0</v>
      </c>
      <c r="K64" s="1423">
        <f t="shared" ref="K64:N64" si="30">+O64+S64+W64+AA64</f>
        <v>0</v>
      </c>
      <c r="L64" s="1424">
        <f t="shared" si="30"/>
        <v>0</v>
      </c>
      <c r="M64" s="1424">
        <f t="shared" si="30"/>
        <v>0</v>
      </c>
      <c r="N64" s="492">
        <f t="shared" si="30"/>
        <v>0</v>
      </c>
      <c r="O64" s="1011"/>
      <c r="P64" s="1012"/>
      <c r="Q64" s="1012"/>
      <c r="R64" s="1013">
        <f t="shared" si="2"/>
        <v>0</v>
      </c>
      <c r="S64" s="1011"/>
      <c r="T64" s="1012"/>
      <c r="U64" s="1012"/>
      <c r="V64" s="1013">
        <f t="shared" si="3"/>
        <v>0</v>
      </c>
      <c r="W64" s="1011"/>
      <c r="X64" s="1012"/>
      <c r="Y64" s="1012"/>
      <c r="Z64" s="1013">
        <f t="shared" si="4"/>
        <v>0</v>
      </c>
      <c r="AA64" s="1011"/>
      <c r="AB64" s="1012"/>
      <c r="AC64" s="1012"/>
      <c r="AD64" s="1013">
        <f t="shared" si="5"/>
        <v>0</v>
      </c>
      <c r="AE64" s="1423">
        <f t="shared" ref="AE64:AH64" si="31">+AI64+AM64+AQ64</f>
        <v>0</v>
      </c>
      <c r="AF64" s="1424">
        <f t="shared" si="31"/>
        <v>0</v>
      </c>
      <c r="AG64" s="1424">
        <f t="shared" si="31"/>
        <v>0</v>
      </c>
      <c r="AH64" s="492">
        <f t="shared" si="31"/>
        <v>0</v>
      </c>
      <c r="AI64" s="1011"/>
      <c r="AJ64" s="1012"/>
      <c r="AK64" s="1012"/>
      <c r="AL64" s="1013">
        <f t="shared" si="6"/>
        <v>0</v>
      </c>
      <c r="AM64" s="1011"/>
      <c r="AN64" s="1012"/>
      <c r="AO64" s="1012"/>
      <c r="AP64" s="1013">
        <f t="shared" si="7"/>
        <v>0</v>
      </c>
      <c r="AQ64" s="1011"/>
      <c r="AR64" s="1012"/>
      <c r="AS64" s="1012"/>
      <c r="AT64" s="1013">
        <f t="shared" si="8"/>
        <v>0</v>
      </c>
      <c r="AU64" s="483"/>
      <c r="AV64" s="483"/>
      <c r="AW64" s="483"/>
      <c r="AX64" s="483"/>
      <c r="AY64" s="483"/>
    </row>
    <row r="65" spans="1:51">
      <c r="A65" s="532">
        <f t="shared" si="10"/>
        <v>58</v>
      </c>
      <c r="B65" s="834">
        <v>6</v>
      </c>
      <c r="C65" s="997" t="s">
        <v>1057</v>
      </c>
      <c r="D65" s="946" t="s">
        <v>1059</v>
      </c>
      <c r="E65" s="998" t="s">
        <v>1236</v>
      </c>
      <c r="F65" s="947" t="s">
        <v>1059</v>
      </c>
      <c r="G65" s="1423">
        <f t="shared" ref="G65:J65" si="32">+K65+AE65</f>
        <v>0</v>
      </c>
      <c r="H65" s="1424">
        <f t="shared" si="32"/>
        <v>0</v>
      </c>
      <c r="I65" s="1424">
        <f t="shared" si="32"/>
        <v>0</v>
      </c>
      <c r="J65" s="492">
        <f t="shared" si="32"/>
        <v>0</v>
      </c>
      <c r="K65" s="1423">
        <f t="shared" ref="K65:N65" si="33">+O65+S65+W65+AA65</f>
        <v>0</v>
      </c>
      <c r="L65" s="1424">
        <f t="shared" si="33"/>
        <v>0</v>
      </c>
      <c r="M65" s="1424">
        <f t="shared" si="33"/>
        <v>0</v>
      </c>
      <c r="N65" s="492">
        <f t="shared" si="33"/>
        <v>0</v>
      </c>
      <c r="O65" s="1011"/>
      <c r="P65" s="1012"/>
      <c r="Q65" s="1012"/>
      <c r="R65" s="1013">
        <f t="shared" si="2"/>
        <v>0</v>
      </c>
      <c r="S65" s="1011"/>
      <c r="T65" s="1012"/>
      <c r="U65" s="1012"/>
      <c r="V65" s="1013">
        <f t="shared" si="3"/>
        <v>0</v>
      </c>
      <c r="W65" s="1011"/>
      <c r="X65" s="1012"/>
      <c r="Y65" s="1012"/>
      <c r="Z65" s="1013">
        <f t="shared" si="4"/>
        <v>0</v>
      </c>
      <c r="AA65" s="1011"/>
      <c r="AB65" s="1012"/>
      <c r="AC65" s="1012"/>
      <c r="AD65" s="1013">
        <f t="shared" si="5"/>
        <v>0</v>
      </c>
      <c r="AE65" s="1423">
        <f t="shared" ref="AE65:AH65" si="34">+AI65+AM65+AQ65</f>
        <v>0</v>
      </c>
      <c r="AF65" s="1424">
        <f t="shared" si="34"/>
        <v>0</v>
      </c>
      <c r="AG65" s="1424">
        <f t="shared" si="34"/>
        <v>0</v>
      </c>
      <c r="AH65" s="492">
        <f t="shared" si="34"/>
        <v>0</v>
      </c>
      <c r="AI65" s="1011"/>
      <c r="AJ65" s="1012"/>
      <c r="AK65" s="1012"/>
      <c r="AL65" s="1013">
        <f t="shared" si="6"/>
        <v>0</v>
      </c>
      <c r="AM65" s="1011"/>
      <c r="AN65" s="1012"/>
      <c r="AO65" s="1012"/>
      <c r="AP65" s="1013">
        <f t="shared" si="7"/>
        <v>0</v>
      </c>
      <c r="AQ65" s="1011"/>
      <c r="AR65" s="1012"/>
      <c r="AS65" s="1012"/>
      <c r="AT65" s="1013">
        <f t="shared" si="8"/>
        <v>0</v>
      </c>
      <c r="AU65" s="483"/>
      <c r="AV65" s="483"/>
      <c r="AW65" s="483"/>
      <c r="AX65" s="483"/>
      <c r="AY65" s="483"/>
    </row>
    <row r="66" spans="1:51">
      <c r="A66" s="532">
        <f t="shared" si="10"/>
        <v>59</v>
      </c>
      <c r="B66" s="834">
        <v>6</v>
      </c>
      <c r="C66" s="997" t="s">
        <v>676</v>
      </c>
      <c r="D66" s="946" t="s">
        <v>677</v>
      </c>
      <c r="E66" s="998" t="s">
        <v>1225</v>
      </c>
      <c r="F66" s="947" t="s">
        <v>1032</v>
      </c>
      <c r="G66" s="1423">
        <f t="shared" ref="G66:J66" si="35">+K66+AE66</f>
        <v>0</v>
      </c>
      <c r="H66" s="1424">
        <f t="shared" si="35"/>
        <v>0</v>
      </c>
      <c r="I66" s="1424">
        <f t="shared" si="35"/>
        <v>0</v>
      </c>
      <c r="J66" s="492">
        <f t="shared" si="35"/>
        <v>0</v>
      </c>
      <c r="K66" s="1423">
        <f t="shared" ref="K66:N66" si="36">+O66+S66+W66+AA66</f>
        <v>0</v>
      </c>
      <c r="L66" s="1424">
        <f t="shared" si="36"/>
        <v>0</v>
      </c>
      <c r="M66" s="1424">
        <f t="shared" si="36"/>
        <v>0</v>
      </c>
      <c r="N66" s="492">
        <f t="shared" si="36"/>
        <v>0</v>
      </c>
      <c r="O66" s="1011"/>
      <c r="P66" s="1012"/>
      <c r="Q66" s="1012"/>
      <c r="R66" s="1013">
        <f t="shared" si="2"/>
        <v>0</v>
      </c>
      <c r="S66" s="1011"/>
      <c r="T66" s="1012"/>
      <c r="U66" s="1012"/>
      <c r="V66" s="1013">
        <f t="shared" si="3"/>
        <v>0</v>
      </c>
      <c r="W66" s="1011"/>
      <c r="X66" s="1012"/>
      <c r="Y66" s="1012"/>
      <c r="Z66" s="1013">
        <f t="shared" si="4"/>
        <v>0</v>
      </c>
      <c r="AA66" s="1011"/>
      <c r="AB66" s="1012"/>
      <c r="AC66" s="1012"/>
      <c r="AD66" s="1013">
        <f t="shared" si="5"/>
        <v>0</v>
      </c>
      <c r="AE66" s="1423">
        <f t="shared" ref="AE66:AH66" si="37">+AI66+AM66+AQ66</f>
        <v>0</v>
      </c>
      <c r="AF66" s="1424">
        <f t="shared" si="37"/>
        <v>0</v>
      </c>
      <c r="AG66" s="1424">
        <f t="shared" si="37"/>
        <v>0</v>
      </c>
      <c r="AH66" s="492">
        <f t="shared" si="37"/>
        <v>0</v>
      </c>
      <c r="AI66" s="1011"/>
      <c r="AJ66" s="1012"/>
      <c r="AK66" s="1012"/>
      <c r="AL66" s="1013">
        <f t="shared" si="6"/>
        <v>0</v>
      </c>
      <c r="AM66" s="1011"/>
      <c r="AN66" s="1012"/>
      <c r="AO66" s="1012"/>
      <c r="AP66" s="1013">
        <f t="shared" si="7"/>
        <v>0</v>
      </c>
      <c r="AQ66" s="1011"/>
      <c r="AR66" s="1012"/>
      <c r="AS66" s="1012"/>
      <c r="AT66" s="1013">
        <f t="shared" si="8"/>
        <v>0</v>
      </c>
      <c r="AU66" s="483"/>
      <c r="AV66" s="483"/>
      <c r="AW66" s="483"/>
      <c r="AX66" s="483"/>
      <c r="AY66" s="483"/>
    </row>
    <row r="67" spans="1:51">
      <c r="A67" s="532">
        <f t="shared" si="10"/>
        <v>60</v>
      </c>
      <c r="B67" s="834">
        <v>6</v>
      </c>
      <c r="C67" s="997" t="s">
        <v>682</v>
      </c>
      <c r="D67" s="946" t="s">
        <v>683</v>
      </c>
      <c r="E67" s="998" t="s">
        <v>1225</v>
      </c>
      <c r="F67" s="947" t="s">
        <v>1034</v>
      </c>
      <c r="G67" s="1423">
        <f t="shared" ref="G67:J78" si="38">+K67+AE67</f>
        <v>0</v>
      </c>
      <c r="H67" s="1424">
        <f t="shared" si="38"/>
        <v>0</v>
      </c>
      <c r="I67" s="1424">
        <f t="shared" si="38"/>
        <v>0</v>
      </c>
      <c r="J67" s="492">
        <f t="shared" si="38"/>
        <v>0</v>
      </c>
      <c r="K67" s="1423">
        <f t="shared" ref="K67:N78" si="39">+O67+S67+W67+AA67</f>
        <v>0</v>
      </c>
      <c r="L67" s="1424">
        <f t="shared" si="39"/>
        <v>0</v>
      </c>
      <c r="M67" s="1424">
        <f t="shared" si="39"/>
        <v>0</v>
      </c>
      <c r="N67" s="492">
        <f t="shared" si="39"/>
        <v>0</v>
      </c>
      <c r="O67" s="1011"/>
      <c r="P67" s="1012"/>
      <c r="Q67" s="1012"/>
      <c r="R67" s="1013">
        <f t="shared" si="2"/>
        <v>0</v>
      </c>
      <c r="S67" s="1011"/>
      <c r="T67" s="1012"/>
      <c r="U67" s="1012"/>
      <c r="V67" s="1013">
        <f t="shared" si="3"/>
        <v>0</v>
      </c>
      <c r="W67" s="1011"/>
      <c r="X67" s="1012"/>
      <c r="Y67" s="1012"/>
      <c r="Z67" s="1013">
        <f t="shared" si="4"/>
        <v>0</v>
      </c>
      <c r="AA67" s="1011"/>
      <c r="AB67" s="1012"/>
      <c r="AC67" s="1012"/>
      <c r="AD67" s="1013">
        <f t="shared" si="5"/>
        <v>0</v>
      </c>
      <c r="AE67" s="1423">
        <f t="shared" ref="AE67:AH78" si="40">+AI67+AM67+AQ67</f>
        <v>0</v>
      </c>
      <c r="AF67" s="1424">
        <f t="shared" si="40"/>
        <v>0</v>
      </c>
      <c r="AG67" s="1424">
        <f t="shared" si="40"/>
        <v>0</v>
      </c>
      <c r="AH67" s="492">
        <f t="shared" si="40"/>
        <v>0</v>
      </c>
      <c r="AI67" s="1011"/>
      <c r="AJ67" s="1012"/>
      <c r="AK67" s="1012"/>
      <c r="AL67" s="1013">
        <f t="shared" si="6"/>
        <v>0</v>
      </c>
      <c r="AM67" s="1011"/>
      <c r="AN67" s="1012"/>
      <c r="AO67" s="1012"/>
      <c r="AP67" s="1013">
        <f t="shared" si="7"/>
        <v>0</v>
      </c>
      <c r="AQ67" s="1011"/>
      <c r="AR67" s="1012"/>
      <c r="AS67" s="1012"/>
      <c r="AT67" s="1013">
        <f t="shared" si="8"/>
        <v>0</v>
      </c>
      <c r="AU67" s="483"/>
      <c r="AV67" s="483"/>
      <c r="AW67" s="483"/>
      <c r="AX67" s="483"/>
      <c r="AY67" s="483"/>
    </row>
    <row r="68" spans="1:51">
      <c r="A68" s="532">
        <f t="shared" si="10"/>
        <v>61</v>
      </c>
      <c r="B68" s="834">
        <v>6</v>
      </c>
      <c r="C68" s="997" t="s">
        <v>682</v>
      </c>
      <c r="D68" s="946" t="s">
        <v>689</v>
      </c>
      <c r="E68" s="998" t="s">
        <v>1225</v>
      </c>
      <c r="F68" s="947" t="s">
        <v>640</v>
      </c>
      <c r="G68" s="1423">
        <f t="shared" si="38"/>
        <v>0</v>
      </c>
      <c r="H68" s="1424">
        <f t="shared" si="38"/>
        <v>0</v>
      </c>
      <c r="I68" s="1424">
        <f t="shared" si="38"/>
        <v>0</v>
      </c>
      <c r="J68" s="492">
        <f t="shared" si="38"/>
        <v>0</v>
      </c>
      <c r="K68" s="1423">
        <f t="shared" si="39"/>
        <v>0</v>
      </c>
      <c r="L68" s="1424">
        <f t="shared" si="39"/>
        <v>0</v>
      </c>
      <c r="M68" s="1424">
        <f t="shared" si="39"/>
        <v>0</v>
      </c>
      <c r="N68" s="492">
        <f t="shared" si="39"/>
        <v>0</v>
      </c>
      <c r="O68" s="1011"/>
      <c r="P68" s="1012"/>
      <c r="Q68" s="1012"/>
      <c r="R68" s="1013">
        <f t="shared" si="2"/>
        <v>0</v>
      </c>
      <c r="S68" s="1011"/>
      <c r="T68" s="1012"/>
      <c r="U68" s="1012"/>
      <c r="V68" s="1013">
        <f t="shared" si="3"/>
        <v>0</v>
      </c>
      <c r="W68" s="1011"/>
      <c r="X68" s="1012"/>
      <c r="Y68" s="1012"/>
      <c r="Z68" s="1013">
        <f t="shared" si="4"/>
        <v>0</v>
      </c>
      <c r="AA68" s="1011"/>
      <c r="AB68" s="1012"/>
      <c r="AC68" s="1012"/>
      <c r="AD68" s="1013">
        <f t="shared" si="5"/>
        <v>0</v>
      </c>
      <c r="AE68" s="1423">
        <f t="shared" si="40"/>
        <v>0</v>
      </c>
      <c r="AF68" s="1424">
        <f t="shared" si="40"/>
        <v>0</v>
      </c>
      <c r="AG68" s="1424">
        <f t="shared" si="40"/>
        <v>0</v>
      </c>
      <c r="AH68" s="492">
        <f t="shared" si="40"/>
        <v>0</v>
      </c>
      <c r="AI68" s="1011"/>
      <c r="AJ68" s="1012"/>
      <c r="AK68" s="1012"/>
      <c r="AL68" s="1013">
        <f t="shared" si="6"/>
        <v>0</v>
      </c>
      <c r="AM68" s="1011"/>
      <c r="AN68" s="1012"/>
      <c r="AO68" s="1012"/>
      <c r="AP68" s="1013">
        <f t="shared" si="7"/>
        <v>0</v>
      </c>
      <c r="AQ68" s="1011"/>
      <c r="AR68" s="1012"/>
      <c r="AS68" s="1012"/>
      <c r="AT68" s="1013">
        <f t="shared" si="8"/>
        <v>0</v>
      </c>
      <c r="AU68" s="483"/>
      <c r="AV68" s="483"/>
      <c r="AW68" s="483"/>
      <c r="AX68" s="483"/>
      <c r="AY68" s="483"/>
    </row>
    <row r="69" spans="1:51">
      <c r="A69" s="532">
        <f t="shared" si="10"/>
        <v>62</v>
      </c>
      <c r="B69" s="834">
        <v>7</v>
      </c>
      <c r="C69" s="997" t="s">
        <v>704</v>
      </c>
      <c r="D69" s="946" t="s">
        <v>1280</v>
      </c>
      <c r="E69" s="998" t="s">
        <v>1228</v>
      </c>
      <c r="F69" s="947" t="s">
        <v>1281</v>
      </c>
      <c r="G69" s="1423">
        <f t="shared" ref="G69:J69" si="41">+K69+AE69</f>
        <v>0</v>
      </c>
      <c r="H69" s="1424">
        <f t="shared" si="41"/>
        <v>0</v>
      </c>
      <c r="I69" s="1424">
        <f t="shared" si="41"/>
        <v>0</v>
      </c>
      <c r="J69" s="492">
        <f t="shared" si="41"/>
        <v>0</v>
      </c>
      <c r="K69" s="1423">
        <f t="shared" ref="K69:N69" si="42">+O69+S69+W69+AA69</f>
        <v>0</v>
      </c>
      <c r="L69" s="1424">
        <f t="shared" si="42"/>
        <v>0</v>
      </c>
      <c r="M69" s="1424">
        <f t="shared" si="42"/>
        <v>0</v>
      </c>
      <c r="N69" s="492">
        <f t="shared" si="42"/>
        <v>0</v>
      </c>
      <c r="O69" s="1011"/>
      <c r="P69" s="1012"/>
      <c r="Q69" s="1012"/>
      <c r="R69" s="1013">
        <f t="shared" si="2"/>
        <v>0</v>
      </c>
      <c r="S69" s="1011"/>
      <c r="T69" s="1012"/>
      <c r="U69" s="1012"/>
      <c r="V69" s="1013">
        <f t="shared" si="3"/>
        <v>0</v>
      </c>
      <c r="W69" s="1011"/>
      <c r="X69" s="1012"/>
      <c r="Y69" s="1012"/>
      <c r="Z69" s="1013">
        <f t="shared" si="4"/>
        <v>0</v>
      </c>
      <c r="AA69" s="1011"/>
      <c r="AB69" s="1012"/>
      <c r="AC69" s="1012"/>
      <c r="AD69" s="1013">
        <f t="shared" si="5"/>
        <v>0</v>
      </c>
      <c r="AE69" s="1423">
        <f t="shared" ref="AE69:AH69" si="43">+AI69+AM69+AQ69</f>
        <v>0</v>
      </c>
      <c r="AF69" s="1424">
        <f t="shared" si="43"/>
        <v>0</v>
      </c>
      <c r="AG69" s="1424">
        <f t="shared" si="43"/>
        <v>0</v>
      </c>
      <c r="AH69" s="492">
        <f t="shared" si="43"/>
        <v>0</v>
      </c>
      <c r="AI69" s="1011"/>
      <c r="AJ69" s="1012"/>
      <c r="AK69" s="1012"/>
      <c r="AL69" s="1013">
        <f t="shared" si="6"/>
        <v>0</v>
      </c>
      <c r="AM69" s="1011"/>
      <c r="AN69" s="1012"/>
      <c r="AO69" s="1012"/>
      <c r="AP69" s="1013">
        <f t="shared" si="7"/>
        <v>0</v>
      </c>
      <c r="AQ69" s="1011"/>
      <c r="AR69" s="1012"/>
      <c r="AS69" s="1012"/>
      <c r="AT69" s="1013">
        <f t="shared" si="8"/>
        <v>0</v>
      </c>
      <c r="AU69" s="483"/>
      <c r="AV69" s="483"/>
      <c r="AW69" s="483"/>
      <c r="AX69" s="483"/>
      <c r="AY69" s="483"/>
    </row>
    <row r="70" spans="1:51">
      <c r="A70" s="532">
        <f t="shared" si="10"/>
        <v>63</v>
      </c>
      <c r="B70" s="834">
        <v>7</v>
      </c>
      <c r="C70" s="997" t="s">
        <v>1254</v>
      </c>
      <c r="D70" s="946" t="s">
        <v>1252</v>
      </c>
      <c r="E70" s="998" t="s">
        <v>1225</v>
      </c>
      <c r="F70" s="947" t="s">
        <v>1282</v>
      </c>
      <c r="G70" s="1423">
        <f t="shared" si="38"/>
        <v>0</v>
      </c>
      <c r="H70" s="1424">
        <f t="shared" si="38"/>
        <v>0</v>
      </c>
      <c r="I70" s="1424">
        <f t="shared" si="38"/>
        <v>0</v>
      </c>
      <c r="J70" s="492">
        <f t="shared" si="38"/>
        <v>0</v>
      </c>
      <c r="K70" s="1423">
        <f t="shared" si="39"/>
        <v>0</v>
      </c>
      <c r="L70" s="1424">
        <f t="shared" si="39"/>
        <v>0</v>
      </c>
      <c r="M70" s="1424">
        <f t="shared" si="39"/>
        <v>0</v>
      </c>
      <c r="N70" s="492">
        <f t="shared" si="39"/>
        <v>0</v>
      </c>
      <c r="O70" s="1011"/>
      <c r="P70" s="1012"/>
      <c r="Q70" s="1012"/>
      <c r="R70" s="1013">
        <f t="shared" si="2"/>
        <v>0</v>
      </c>
      <c r="S70" s="1011"/>
      <c r="T70" s="1012"/>
      <c r="U70" s="1012"/>
      <c r="V70" s="1013">
        <f t="shared" si="3"/>
        <v>0</v>
      </c>
      <c r="W70" s="1011"/>
      <c r="X70" s="1012"/>
      <c r="Y70" s="1012"/>
      <c r="Z70" s="1013">
        <f t="shared" si="4"/>
        <v>0</v>
      </c>
      <c r="AA70" s="1011"/>
      <c r="AB70" s="1012"/>
      <c r="AC70" s="1012"/>
      <c r="AD70" s="1013">
        <f t="shared" si="5"/>
        <v>0</v>
      </c>
      <c r="AE70" s="1423">
        <f t="shared" si="40"/>
        <v>0</v>
      </c>
      <c r="AF70" s="1424">
        <f t="shared" si="40"/>
        <v>0</v>
      </c>
      <c r="AG70" s="1424">
        <f t="shared" si="40"/>
        <v>0</v>
      </c>
      <c r="AH70" s="492">
        <f t="shared" si="40"/>
        <v>0</v>
      </c>
      <c r="AI70" s="1011"/>
      <c r="AJ70" s="1012"/>
      <c r="AK70" s="1012"/>
      <c r="AL70" s="1013">
        <f t="shared" si="6"/>
        <v>0</v>
      </c>
      <c r="AM70" s="1011"/>
      <c r="AN70" s="1012"/>
      <c r="AO70" s="1012"/>
      <c r="AP70" s="1013">
        <f t="shared" si="7"/>
        <v>0</v>
      </c>
      <c r="AQ70" s="1011"/>
      <c r="AR70" s="1012"/>
      <c r="AS70" s="1012"/>
      <c r="AT70" s="1013">
        <f t="shared" si="8"/>
        <v>0</v>
      </c>
      <c r="AU70" s="483"/>
      <c r="AV70" s="483"/>
      <c r="AW70" s="483"/>
      <c r="AX70" s="483"/>
      <c r="AY70" s="483"/>
    </row>
    <row r="71" spans="1:51">
      <c r="A71" s="532">
        <f t="shared" si="10"/>
        <v>64</v>
      </c>
      <c r="B71" s="834">
        <v>7</v>
      </c>
      <c r="C71" s="997" t="s">
        <v>1259</v>
      </c>
      <c r="D71" s="946" t="s">
        <v>1284</v>
      </c>
      <c r="E71" s="998" t="s">
        <v>1225</v>
      </c>
      <c r="F71" s="947" t="s">
        <v>1283</v>
      </c>
      <c r="G71" s="1423">
        <f t="shared" ref="G71:J71" si="44">+K71+AE71</f>
        <v>0</v>
      </c>
      <c r="H71" s="1424">
        <f t="shared" si="44"/>
        <v>0</v>
      </c>
      <c r="I71" s="1424">
        <f t="shared" si="44"/>
        <v>0</v>
      </c>
      <c r="J71" s="492">
        <f t="shared" si="44"/>
        <v>0</v>
      </c>
      <c r="K71" s="1423">
        <f t="shared" ref="K71:N71" si="45">+O71+S71+W71+AA71</f>
        <v>0</v>
      </c>
      <c r="L71" s="1424">
        <f t="shared" si="45"/>
        <v>0</v>
      </c>
      <c r="M71" s="1424">
        <f t="shared" si="45"/>
        <v>0</v>
      </c>
      <c r="N71" s="492">
        <f t="shared" si="45"/>
        <v>0</v>
      </c>
      <c r="O71" s="1011"/>
      <c r="P71" s="1012"/>
      <c r="Q71" s="1012"/>
      <c r="R71" s="1013">
        <f t="shared" si="2"/>
        <v>0</v>
      </c>
      <c r="S71" s="1011"/>
      <c r="T71" s="1012"/>
      <c r="U71" s="1012"/>
      <c r="V71" s="1013">
        <f t="shared" si="3"/>
        <v>0</v>
      </c>
      <c r="W71" s="1011"/>
      <c r="X71" s="1012"/>
      <c r="Y71" s="1012"/>
      <c r="Z71" s="1013">
        <f t="shared" si="4"/>
        <v>0</v>
      </c>
      <c r="AA71" s="1011"/>
      <c r="AB71" s="1012"/>
      <c r="AC71" s="1012"/>
      <c r="AD71" s="1013">
        <f t="shared" si="5"/>
        <v>0</v>
      </c>
      <c r="AE71" s="1423">
        <f t="shared" ref="AE71:AH71" si="46">+AI71+AM71+AQ71</f>
        <v>0</v>
      </c>
      <c r="AF71" s="1424">
        <f t="shared" si="46"/>
        <v>0</v>
      </c>
      <c r="AG71" s="1424">
        <f t="shared" si="46"/>
        <v>0</v>
      </c>
      <c r="AH71" s="492">
        <f t="shared" si="46"/>
        <v>0</v>
      </c>
      <c r="AI71" s="1011"/>
      <c r="AJ71" s="1012"/>
      <c r="AK71" s="1012"/>
      <c r="AL71" s="1013">
        <f t="shared" si="6"/>
        <v>0</v>
      </c>
      <c r="AM71" s="1011"/>
      <c r="AN71" s="1012"/>
      <c r="AO71" s="1012"/>
      <c r="AP71" s="1013">
        <f t="shared" si="7"/>
        <v>0</v>
      </c>
      <c r="AQ71" s="1011"/>
      <c r="AR71" s="1012"/>
      <c r="AS71" s="1012"/>
      <c r="AT71" s="1013">
        <f t="shared" si="8"/>
        <v>0</v>
      </c>
      <c r="AU71" s="483"/>
      <c r="AV71" s="483"/>
      <c r="AW71" s="483"/>
      <c r="AX71" s="483"/>
      <c r="AY71" s="483"/>
    </row>
    <row r="72" spans="1:51">
      <c r="A72" s="532">
        <f t="shared" si="10"/>
        <v>65</v>
      </c>
      <c r="B72" s="834">
        <v>7</v>
      </c>
      <c r="C72" s="997" t="s">
        <v>1285</v>
      </c>
      <c r="D72" s="946" t="s">
        <v>1286</v>
      </c>
      <c r="E72" s="998" t="s">
        <v>1225</v>
      </c>
      <c r="F72" s="947" t="s">
        <v>1287</v>
      </c>
      <c r="G72" s="1423">
        <f t="shared" si="38"/>
        <v>0</v>
      </c>
      <c r="H72" s="1424">
        <f t="shared" si="38"/>
        <v>0</v>
      </c>
      <c r="I72" s="1424">
        <f t="shared" si="38"/>
        <v>0</v>
      </c>
      <c r="J72" s="492">
        <f t="shared" si="38"/>
        <v>0</v>
      </c>
      <c r="K72" s="1423">
        <f t="shared" si="39"/>
        <v>0</v>
      </c>
      <c r="L72" s="1424">
        <f t="shared" si="39"/>
        <v>0</v>
      </c>
      <c r="M72" s="1424">
        <f t="shared" si="39"/>
        <v>0</v>
      </c>
      <c r="N72" s="492">
        <f t="shared" si="39"/>
        <v>0</v>
      </c>
      <c r="O72" s="1011"/>
      <c r="P72" s="1012"/>
      <c r="Q72" s="1012"/>
      <c r="R72" s="1013">
        <f t="shared" ref="R72:R80" si="47">+P72+Q72</f>
        <v>0</v>
      </c>
      <c r="S72" s="1011"/>
      <c r="T72" s="1012"/>
      <c r="U72" s="1012"/>
      <c r="V72" s="1013">
        <f t="shared" ref="V72:V80" si="48">+T72+U72</f>
        <v>0</v>
      </c>
      <c r="W72" s="1011"/>
      <c r="X72" s="1012"/>
      <c r="Y72" s="1012"/>
      <c r="Z72" s="1013">
        <f t="shared" ref="Z72:Z80" si="49">+X72+Y72</f>
        <v>0</v>
      </c>
      <c r="AA72" s="1011"/>
      <c r="AB72" s="1012"/>
      <c r="AC72" s="1012"/>
      <c r="AD72" s="1013">
        <f t="shared" ref="AD72:AD80" si="50">+AB72+AC72</f>
        <v>0</v>
      </c>
      <c r="AE72" s="1423">
        <f t="shared" si="40"/>
        <v>0</v>
      </c>
      <c r="AF72" s="1424">
        <f t="shared" si="40"/>
        <v>0</v>
      </c>
      <c r="AG72" s="1424">
        <f t="shared" si="40"/>
        <v>0</v>
      </c>
      <c r="AH72" s="492">
        <f t="shared" si="40"/>
        <v>0</v>
      </c>
      <c r="AI72" s="1011"/>
      <c r="AJ72" s="1012"/>
      <c r="AK72" s="1012"/>
      <c r="AL72" s="1013">
        <f t="shared" ref="AL72:AL80" si="51">+AJ72+AK72</f>
        <v>0</v>
      </c>
      <c r="AM72" s="1011"/>
      <c r="AN72" s="1012"/>
      <c r="AO72" s="1012"/>
      <c r="AP72" s="1013">
        <f t="shared" ref="AP72:AP80" si="52">+AN72+AO72</f>
        <v>0</v>
      </c>
      <c r="AQ72" s="1011"/>
      <c r="AR72" s="1012"/>
      <c r="AS72" s="1012"/>
      <c r="AT72" s="1013">
        <f t="shared" ref="AT72:AT80" si="53">+AR72+AS72</f>
        <v>0</v>
      </c>
      <c r="AU72" s="483"/>
      <c r="AV72" s="483"/>
      <c r="AW72" s="483"/>
      <c r="AX72" s="483"/>
      <c r="AY72" s="483"/>
    </row>
    <row r="73" spans="1:51">
      <c r="A73" s="532">
        <f t="shared" si="10"/>
        <v>66</v>
      </c>
      <c r="B73" s="834">
        <v>7</v>
      </c>
      <c r="C73" s="997" t="s">
        <v>1288</v>
      </c>
      <c r="D73" s="946" t="s">
        <v>1289</v>
      </c>
      <c r="E73" s="998" t="s">
        <v>1225</v>
      </c>
      <c r="F73" s="947" t="s">
        <v>1294</v>
      </c>
      <c r="G73" s="1423">
        <f t="shared" ref="G73:J73" si="54">+K73+AE73</f>
        <v>0</v>
      </c>
      <c r="H73" s="1424">
        <f t="shared" si="54"/>
        <v>0</v>
      </c>
      <c r="I73" s="1424">
        <f t="shared" si="54"/>
        <v>0</v>
      </c>
      <c r="J73" s="492">
        <f t="shared" si="54"/>
        <v>0</v>
      </c>
      <c r="K73" s="1423">
        <f t="shared" ref="K73:N73" si="55">+O73+S73+W73+AA73</f>
        <v>0</v>
      </c>
      <c r="L73" s="1424">
        <f t="shared" si="55"/>
        <v>0</v>
      </c>
      <c r="M73" s="1424">
        <f t="shared" si="55"/>
        <v>0</v>
      </c>
      <c r="N73" s="492">
        <f t="shared" si="55"/>
        <v>0</v>
      </c>
      <c r="O73" s="1011"/>
      <c r="P73" s="1012"/>
      <c r="Q73" s="1012"/>
      <c r="R73" s="1013">
        <f t="shared" si="47"/>
        <v>0</v>
      </c>
      <c r="S73" s="1011"/>
      <c r="T73" s="1012"/>
      <c r="U73" s="1012"/>
      <c r="V73" s="1013">
        <f t="shared" si="48"/>
        <v>0</v>
      </c>
      <c r="W73" s="1011"/>
      <c r="X73" s="1012"/>
      <c r="Y73" s="1012"/>
      <c r="Z73" s="1013">
        <f t="shared" si="49"/>
        <v>0</v>
      </c>
      <c r="AA73" s="1011"/>
      <c r="AB73" s="1012"/>
      <c r="AC73" s="1012"/>
      <c r="AD73" s="1013">
        <f t="shared" si="50"/>
        <v>0</v>
      </c>
      <c r="AE73" s="1423">
        <f t="shared" ref="AE73:AH73" si="56">+AI73+AM73+AQ73</f>
        <v>0</v>
      </c>
      <c r="AF73" s="1424">
        <f t="shared" si="56"/>
        <v>0</v>
      </c>
      <c r="AG73" s="1424">
        <f t="shared" si="56"/>
        <v>0</v>
      </c>
      <c r="AH73" s="492">
        <f t="shared" si="56"/>
        <v>0</v>
      </c>
      <c r="AI73" s="1011"/>
      <c r="AJ73" s="1012"/>
      <c r="AK73" s="1012"/>
      <c r="AL73" s="1013">
        <f t="shared" si="51"/>
        <v>0</v>
      </c>
      <c r="AM73" s="1011"/>
      <c r="AN73" s="1012"/>
      <c r="AO73" s="1012"/>
      <c r="AP73" s="1013">
        <f t="shared" si="52"/>
        <v>0</v>
      </c>
      <c r="AQ73" s="1011"/>
      <c r="AR73" s="1012"/>
      <c r="AS73" s="1012"/>
      <c r="AT73" s="1013">
        <f t="shared" si="53"/>
        <v>0</v>
      </c>
      <c r="AU73" s="483"/>
      <c r="AV73" s="483"/>
      <c r="AW73" s="483"/>
      <c r="AX73" s="483"/>
      <c r="AY73" s="483"/>
    </row>
    <row r="74" spans="1:51">
      <c r="A74" s="532">
        <f t="shared" si="10"/>
        <v>67</v>
      </c>
      <c r="B74" s="834">
        <v>7</v>
      </c>
      <c r="C74" s="997" t="s">
        <v>1290</v>
      </c>
      <c r="D74" s="946" t="s">
        <v>1291</v>
      </c>
      <c r="E74" s="998" t="s">
        <v>1292</v>
      </c>
      <c r="F74" s="947" t="s">
        <v>1293</v>
      </c>
      <c r="G74" s="1423">
        <f t="shared" si="38"/>
        <v>0</v>
      </c>
      <c r="H74" s="1424">
        <f t="shared" si="38"/>
        <v>0</v>
      </c>
      <c r="I74" s="1424">
        <f t="shared" si="38"/>
        <v>0</v>
      </c>
      <c r="J74" s="492">
        <f t="shared" si="38"/>
        <v>0</v>
      </c>
      <c r="K74" s="1423">
        <f t="shared" si="39"/>
        <v>0</v>
      </c>
      <c r="L74" s="1424">
        <f t="shared" si="39"/>
        <v>0</v>
      </c>
      <c r="M74" s="1424">
        <f t="shared" si="39"/>
        <v>0</v>
      </c>
      <c r="N74" s="492">
        <f t="shared" si="39"/>
        <v>0</v>
      </c>
      <c r="O74" s="1011"/>
      <c r="P74" s="1012"/>
      <c r="Q74" s="1012"/>
      <c r="R74" s="1013">
        <f t="shared" si="47"/>
        <v>0</v>
      </c>
      <c r="S74" s="1011"/>
      <c r="T74" s="1012"/>
      <c r="U74" s="1012"/>
      <c r="V74" s="1013">
        <f t="shared" si="48"/>
        <v>0</v>
      </c>
      <c r="W74" s="1011"/>
      <c r="X74" s="1012"/>
      <c r="Y74" s="1012"/>
      <c r="Z74" s="1013">
        <f t="shared" si="49"/>
        <v>0</v>
      </c>
      <c r="AA74" s="1011"/>
      <c r="AB74" s="1012"/>
      <c r="AC74" s="1012"/>
      <c r="AD74" s="1013">
        <f t="shared" si="50"/>
        <v>0</v>
      </c>
      <c r="AE74" s="1423">
        <f t="shared" si="40"/>
        <v>0</v>
      </c>
      <c r="AF74" s="1424">
        <f t="shared" si="40"/>
        <v>0</v>
      </c>
      <c r="AG74" s="1424">
        <f t="shared" si="40"/>
        <v>0</v>
      </c>
      <c r="AH74" s="492">
        <f t="shared" si="40"/>
        <v>0</v>
      </c>
      <c r="AI74" s="1011"/>
      <c r="AJ74" s="1012"/>
      <c r="AK74" s="1012"/>
      <c r="AL74" s="1013">
        <f t="shared" si="51"/>
        <v>0</v>
      </c>
      <c r="AM74" s="1011"/>
      <c r="AN74" s="1012"/>
      <c r="AO74" s="1012"/>
      <c r="AP74" s="1013">
        <f t="shared" si="52"/>
        <v>0</v>
      </c>
      <c r="AQ74" s="1011"/>
      <c r="AR74" s="1012"/>
      <c r="AS74" s="1012"/>
      <c r="AT74" s="1013">
        <f t="shared" si="53"/>
        <v>0</v>
      </c>
      <c r="AU74" s="483"/>
      <c r="AV74" s="483"/>
      <c r="AW74" s="483"/>
      <c r="AX74" s="483"/>
      <c r="AY74" s="483"/>
    </row>
    <row r="75" spans="1:51">
      <c r="A75" s="532">
        <f t="shared" si="10"/>
        <v>68</v>
      </c>
      <c r="B75" s="834">
        <v>7</v>
      </c>
      <c r="C75" s="997" t="s">
        <v>1037</v>
      </c>
      <c r="D75" s="946" t="s">
        <v>1295</v>
      </c>
      <c r="E75" s="998" t="s">
        <v>1225</v>
      </c>
      <c r="F75" s="947" t="s">
        <v>1296</v>
      </c>
      <c r="G75" s="1423">
        <f t="shared" ref="G75:J75" si="57">+K75+AE75</f>
        <v>0</v>
      </c>
      <c r="H75" s="1424">
        <f t="shared" si="57"/>
        <v>0</v>
      </c>
      <c r="I75" s="1424">
        <f t="shared" si="57"/>
        <v>0</v>
      </c>
      <c r="J75" s="492">
        <f t="shared" si="57"/>
        <v>0</v>
      </c>
      <c r="K75" s="1423">
        <f t="shared" ref="K75:N75" si="58">+O75+S75+W75+AA75</f>
        <v>0</v>
      </c>
      <c r="L75" s="1424">
        <f t="shared" si="58"/>
        <v>0</v>
      </c>
      <c r="M75" s="1424">
        <f t="shared" si="58"/>
        <v>0</v>
      </c>
      <c r="N75" s="492">
        <f t="shared" si="58"/>
        <v>0</v>
      </c>
      <c r="O75" s="1011"/>
      <c r="P75" s="1012"/>
      <c r="Q75" s="1012"/>
      <c r="R75" s="1013">
        <f t="shared" si="47"/>
        <v>0</v>
      </c>
      <c r="S75" s="1011"/>
      <c r="T75" s="1012"/>
      <c r="U75" s="1012"/>
      <c r="V75" s="1013">
        <f t="shared" si="48"/>
        <v>0</v>
      </c>
      <c r="W75" s="1011"/>
      <c r="X75" s="1012"/>
      <c r="Y75" s="1012"/>
      <c r="Z75" s="1013">
        <f t="shared" si="49"/>
        <v>0</v>
      </c>
      <c r="AA75" s="1011"/>
      <c r="AB75" s="1012"/>
      <c r="AC75" s="1012"/>
      <c r="AD75" s="1013">
        <f t="shared" si="50"/>
        <v>0</v>
      </c>
      <c r="AE75" s="1423">
        <f t="shared" ref="AE75:AH75" si="59">+AI75+AM75+AQ75</f>
        <v>0</v>
      </c>
      <c r="AF75" s="1424">
        <f t="shared" si="59"/>
        <v>0</v>
      </c>
      <c r="AG75" s="1424">
        <f t="shared" si="59"/>
        <v>0</v>
      </c>
      <c r="AH75" s="492">
        <f t="shared" si="59"/>
        <v>0</v>
      </c>
      <c r="AI75" s="1011"/>
      <c r="AJ75" s="1012"/>
      <c r="AK75" s="1012"/>
      <c r="AL75" s="1013">
        <f t="shared" si="51"/>
        <v>0</v>
      </c>
      <c r="AM75" s="1011"/>
      <c r="AN75" s="1012"/>
      <c r="AO75" s="1012"/>
      <c r="AP75" s="1013">
        <f t="shared" si="52"/>
        <v>0</v>
      </c>
      <c r="AQ75" s="1011"/>
      <c r="AR75" s="1012"/>
      <c r="AS75" s="1012"/>
      <c r="AT75" s="1013">
        <f t="shared" si="53"/>
        <v>0</v>
      </c>
      <c r="AU75" s="483"/>
      <c r="AV75" s="483"/>
      <c r="AW75" s="483"/>
      <c r="AX75" s="483"/>
      <c r="AY75" s="483"/>
    </row>
    <row r="76" spans="1:51">
      <c r="A76" s="532">
        <f t="shared" si="10"/>
        <v>69</v>
      </c>
      <c r="B76" s="834">
        <v>7</v>
      </c>
      <c r="C76" s="997" t="s">
        <v>1254</v>
      </c>
      <c r="D76" s="946" t="s">
        <v>1252</v>
      </c>
      <c r="E76" s="998" t="s">
        <v>1225</v>
      </c>
      <c r="F76" s="947" t="s">
        <v>1297</v>
      </c>
      <c r="G76" s="1423">
        <f t="shared" si="38"/>
        <v>0</v>
      </c>
      <c r="H76" s="1424">
        <f t="shared" si="38"/>
        <v>0</v>
      </c>
      <c r="I76" s="1424">
        <f t="shared" si="38"/>
        <v>0</v>
      </c>
      <c r="J76" s="492">
        <f t="shared" si="38"/>
        <v>0</v>
      </c>
      <c r="K76" s="1423">
        <f t="shared" si="39"/>
        <v>0</v>
      </c>
      <c r="L76" s="1424">
        <f t="shared" si="39"/>
        <v>0</v>
      </c>
      <c r="M76" s="1424">
        <f t="shared" si="39"/>
        <v>0</v>
      </c>
      <c r="N76" s="492">
        <f t="shared" si="39"/>
        <v>0</v>
      </c>
      <c r="O76" s="1011"/>
      <c r="P76" s="1012"/>
      <c r="Q76" s="1012"/>
      <c r="R76" s="1013">
        <f t="shared" si="47"/>
        <v>0</v>
      </c>
      <c r="S76" s="1011"/>
      <c r="T76" s="1012"/>
      <c r="U76" s="1012"/>
      <c r="V76" s="1013">
        <f t="shared" si="48"/>
        <v>0</v>
      </c>
      <c r="W76" s="1011"/>
      <c r="X76" s="1012"/>
      <c r="Y76" s="1012"/>
      <c r="Z76" s="1013">
        <f t="shared" si="49"/>
        <v>0</v>
      </c>
      <c r="AA76" s="1011"/>
      <c r="AB76" s="1012"/>
      <c r="AC76" s="1012"/>
      <c r="AD76" s="1013">
        <f t="shared" si="50"/>
        <v>0</v>
      </c>
      <c r="AE76" s="1423">
        <f t="shared" si="40"/>
        <v>0</v>
      </c>
      <c r="AF76" s="1424">
        <f t="shared" si="40"/>
        <v>0</v>
      </c>
      <c r="AG76" s="1424">
        <f t="shared" si="40"/>
        <v>0</v>
      </c>
      <c r="AH76" s="492">
        <f t="shared" si="40"/>
        <v>0</v>
      </c>
      <c r="AI76" s="1011"/>
      <c r="AJ76" s="1012"/>
      <c r="AK76" s="1012"/>
      <c r="AL76" s="1013">
        <f t="shared" si="51"/>
        <v>0</v>
      </c>
      <c r="AM76" s="1011"/>
      <c r="AN76" s="1012"/>
      <c r="AO76" s="1012"/>
      <c r="AP76" s="1013">
        <f t="shared" si="52"/>
        <v>0</v>
      </c>
      <c r="AQ76" s="1011"/>
      <c r="AR76" s="1012"/>
      <c r="AS76" s="1012"/>
      <c r="AT76" s="1013">
        <f t="shared" si="53"/>
        <v>0</v>
      </c>
      <c r="AU76" s="483"/>
      <c r="AV76" s="483"/>
      <c r="AW76" s="483"/>
      <c r="AX76" s="483"/>
      <c r="AY76" s="483"/>
    </row>
    <row r="77" spans="1:51">
      <c r="A77" s="532">
        <f t="shared" si="10"/>
        <v>70</v>
      </c>
      <c r="B77" s="834">
        <v>7</v>
      </c>
      <c r="C77" s="997" t="s">
        <v>1298</v>
      </c>
      <c r="D77" s="946" t="s">
        <v>1300</v>
      </c>
      <c r="E77" s="998" t="s">
        <v>1225</v>
      </c>
      <c r="F77" s="947" t="s">
        <v>1299</v>
      </c>
      <c r="G77" s="1423">
        <f t="shared" ref="G77:J77" si="60">+K77+AE77</f>
        <v>0</v>
      </c>
      <c r="H77" s="1424">
        <f t="shared" si="60"/>
        <v>0</v>
      </c>
      <c r="I77" s="1424">
        <f t="shared" si="60"/>
        <v>0</v>
      </c>
      <c r="J77" s="492">
        <f t="shared" si="60"/>
        <v>0</v>
      </c>
      <c r="K77" s="1423">
        <f t="shared" ref="K77:N77" si="61">+O77+S77+W77+AA77</f>
        <v>0</v>
      </c>
      <c r="L77" s="1424">
        <f t="shared" si="61"/>
        <v>0</v>
      </c>
      <c r="M77" s="1424">
        <f t="shared" si="61"/>
        <v>0</v>
      </c>
      <c r="N77" s="492">
        <f t="shared" si="61"/>
        <v>0</v>
      </c>
      <c r="O77" s="1011"/>
      <c r="P77" s="1012"/>
      <c r="Q77" s="1012"/>
      <c r="R77" s="1013">
        <f t="shared" si="47"/>
        <v>0</v>
      </c>
      <c r="S77" s="1011"/>
      <c r="T77" s="1012"/>
      <c r="U77" s="1012"/>
      <c r="V77" s="1013">
        <f t="shared" si="48"/>
        <v>0</v>
      </c>
      <c r="W77" s="1011"/>
      <c r="X77" s="1012"/>
      <c r="Y77" s="1012"/>
      <c r="Z77" s="1013">
        <f t="shared" si="49"/>
        <v>0</v>
      </c>
      <c r="AA77" s="1011"/>
      <c r="AB77" s="1012"/>
      <c r="AC77" s="1012"/>
      <c r="AD77" s="1013">
        <f t="shared" si="50"/>
        <v>0</v>
      </c>
      <c r="AE77" s="1423">
        <f t="shared" ref="AE77:AH77" si="62">+AI77+AM77+AQ77</f>
        <v>0</v>
      </c>
      <c r="AF77" s="1424">
        <f t="shared" si="62"/>
        <v>0</v>
      </c>
      <c r="AG77" s="1424">
        <f t="shared" si="62"/>
        <v>0</v>
      </c>
      <c r="AH77" s="492">
        <f t="shared" si="62"/>
        <v>0</v>
      </c>
      <c r="AI77" s="1011"/>
      <c r="AJ77" s="1012"/>
      <c r="AK77" s="1012"/>
      <c r="AL77" s="1013">
        <f t="shared" si="51"/>
        <v>0</v>
      </c>
      <c r="AM77" s="1011"/>
      <c r="AN77" s="1012"/>
      <c r="AO77" s="1012"/>
      <c r="AP77" s="1013">
        <f t="shared" si="52"/>
        <v>0</v>
      </c>
      <c r="AQ77" s="1011"/>
      <c r="AR77" s="1012"/>
      <c r="AS77" s="1012"/>
      <c r="AT77" s="1013">
        <f t="shared" si="53"/>
        <v>0</v>
      </c>
      <c r="AU77" s="483"/>
      <c r="AV77" s="483"/>
      <c r="AW77" s="483"/>
      <c r="AX77" s="483"/>
      <c r="AY77" s="483"/>
    </row>
    <row r="78" spans="1:51">
      <c r="A78" s="532">
        <f t="shared" si="10"/>
        <v>71</v>
      </c>
      <c r="B78" s="834">
        <v>7</v>
      </c>
      <c r="C78" s="997" t="s">
        <v>1259</v>
      </c>
      <c r="D78" s="946" t="s">
        <v>1260</v>
      </c>
      <c r="E78" s="998" t="s">
        <v>1225</v>
      </c>
      <c r="F78" s="947" t="s">
        <v>1301</v>
      </c>
      <c r="G78" s="1423">
        <f t="shared" si="38"/>
        <v>0</v>
      </c>
      <c r="H78" s="1424">
        <f t="shared" si="38"/>
        <v>0</v>
      </c>
      <c r="I78" s="1424">
        <f t="shared" si="38"/>
        <v>0</v>
      </c>
      <c r="J78" s="492">
        <f t="shared" si="38"/>
        <v>0</v>
      </c>
      <c r="K78" s="1423">
        <f t="shared" si="39"/>
        <v>0</v>
      </c>
      <c r="L78" s="1424">
        <f t="shared" si="39"/>
        <v>0</v>
      </c>
      <c r="M78" s="1424">
        <f t="shared" si="39"/>
        <v>0</v>
      </c>
      <c r="N78" s="492">
        <f t="shared" si="39"/>
        <v>0</v>
      </c>
      <c r="O78" s="1011"/>
      <c r="P78" s="1012"/>
      <c r="Q78" s="1012"/>
      <c r="R78" s="1013">
        <f t="shared" si="47"/>
        <v>0</v>
      </c>
      <c r="S78" s="1011"/>
      <c r="T78" s="1012"/>
      <c r="U78" s="1012"/>
      <c r="V78" s="1013">
        <f t="shared" si="48"/>
        <v>0</v>
      </c>
      <c r="W78" s="1011"/>
      <c r="X78" s="1012"/>
      <c r="Y78" s="1012"/>
      <c r="Z78" s="1013">
        <f t="shared" si="49"/>
        <v>0</v>
      </c>
      <c r="AA78" s="1011"/>
      <c r="AB78" s="1012"/>
      <c r="AC78" s="1012"/>
      <c r="AD78" s="1013">
        <f t="shared" si="50"/>
        <v>0</v>
      </c>
      <c r="AE78" s="1423">
        <f t="shared" si="40"/>
        <v>0</v>
      </c>
      <c r="AF78" s="1424">
        <f t="shared" si="40"/>
        <v>0</v>
      </c>
      <c r="AG78" s="1424">
        <f t="shared" si="40"/>
        <v>0</v>
      </c>
      <c r="AH78" s="492">
        <f t="shared" si="40"/>
        <v>0</v>
      </c>
      <c r="AI78" s="1011"/>
      <c r="AJ78" s="1012"/>
      <c r="AK78" s="1012"/>
      <c r="AL78" s="1013">
        <f t="shared" si="51"/>
        <v>0</v>
      </c>
      <c r="AM78" s="1011"/>
      <c r="AN78" s="1012"/>
      <c r="AO78" s="1012"/>
      <c r="AP78" s="1013">
        <f t="shared" si="52"/>
        <v>0</v>
      </c>
      <c r="AQ78" s="1011"/>
      <c r="AR78" s="1012"/>
      <c r="AS78" s="1012"/>
      <c r="AT78" s="1013">
        <f t="shared" si="53"/>
        <v>0</v>
      </c>
      <c r="AU78" s="483"/>
      <c r="AV78" s="483"/>
      <c r="AW78" s="483"/>
      <c r="AX78" s="483"/>
      <c r="AY78" s="483"/>
    </row>
    <row r="79" spans="1:51">
      <c r="A79" s="532">
        <f t="shared" si="10"/>
        <v>72</v>
      </c>
      <c r="B79" s="834">
        <v>7</v>
      </c>
      <c r="C79" s="997" t="s">
        <v>1288</v>
      </c>
      <c r="D79" s="946" t="s">
        <v>1302</v>
      </c>
      <c r="E79" s="998" t="s">
        <v>1225</v>
      </c>
      <c r="F79" s="947" t="s">
        <v>1303</v>
      </c>
      <c r="G79" s="1423">
        <f t="shared" ref="G79:J79" si="63">+K79+AE79</f>
        <v>0</v>
      </c>
      <c r="H79" s="1424">
        <f t="shared" si="63"/>
        <v>0</v>
      </c>
      <c r="I79" s="1424">
        <f t="shared" si="63"/>
        <v>0</v>
      </c>
      <c r="J79" s="492">
        <f t="shared" si="63"/>
        <v>0</v>
      </c>
      <c r="K79" s="1423">
        <f t="shared" ref="K79:N79" si="64">+O79+S79+W79+AA79</f>
        <v>0</v>
      </c>
      <c r="L79" s="1424">
        <f t="shared" si="64"/>
        <v>0</v>
      </c>
      <c r="M79" s="1424">
        <f t="shared" si="64"/>
        <v>0</v>
      </c>
      <c r="N79" s="492">
        <f t="shared" si="64"/>
        <v>0</v>
      </c>
      <c r="O79" s="1011"/>
      <c r="P79" s="1012"/>
      <c r="Q79" s="1012"/>
      <c r="R79" s="1013">
        <f t="shared" si="47"/>
        <v>0</v>
      </c>
      <c r="S79" s="1011"/>
      <c r="T79" s="1012"/>
      <c r="U79" s="1012"/>
      <c r="V79" s="1013">
        <f t="shared" si="48"/>
        <v>0</v>
      </c>
      <c r="W79" s="1011"/>
      <c r="X79" s="1012"/>
      <c r="Y79" s="1012"/>
      <c r="Z79" s="1013">
        <f t="shared" si="49"/>
        <v>0</v>
      </c>
      <c r="AA79" s="1011"/>
      <c r="AB79" s="1012"/>
      <c r="AC79" s="1012"/>
      <c r="AD79" s="1013">
        <f t="shared" si="50"/>
        <v>0</v>
      </c>
      <c r="AE79" s="1423">
        <f t="shared" ref="AE79:AH79" si="65">+AI79+AM79+AQ79</f>
        <v>0</v>
      </c>
      <c r="AF79" s="1424">
        <f t="shared" si="65"/>
        <v>0</v>
      </c>
      <c r="AG79" s="1424">
        <f t="shared" si="65"/>
        <v>0</v>
      </c>
      <c r="AH79" s="492">
        <f t="shared" si="65"/>
        <v>0</v>
      </c>
      <c r="AI79" s="1011"/>
      <c r="AJ79" s="1012"/>
      <c r="AK79" s="1012"/>
      <c r="AL79" s="1013">
        <f t="shared" si="51"/>
        <v>0</v>
      </c>
      <c r="AM79" s="1011"/>
      <c r="AN79" s="1012"/>
      <c r="AO79" s="1012"/>
      <c r="AP79" s="1013">
        <f t="shared" si="52"/>
        <v>0</v>
      </c>
      <c r="AQ79" s="1011"/>
      <c r="AR79" s="1012"/>
      <c r="AS79" s="1012"/>
      <c r="AT79" s="1013">
        <f t="shared" si="53"/>
        <v>0</v>
      </c>
      <c r="AU79" s="483"/>
      <c r="AV79" s="483"/>
      <c r="AW79" s="483"/>
      <c r="AX79" s="483"/>
      <c r="AY79" s="483"/>
    </row>
    <row r="80" spans="1:51" ht="12.75" thickBot="1">
      <c r="A80" s="532">
        <f t="shared" si="10"/>
        <v>73</v>
      </c>
      <c r="B80" s="834">
        <v>8</v>
      </c>
      <c r="C80" s="997" t="s">
        <v>671</v>
      </c>
      <c r="D80" s="946" t="s">
        <v>670</v>
      </c>
      <c r="E80" s="998" t="s">
        <v>1225</v>
      </c>
      <c r="F80" s="947" t="s">
        <v>635</v>
      </c>
      <c r="G80" s="1423">
        <f t="shared" si="0"/>
        <v>0</v>
      </c>
      <c r="H80" s="1424">
        <f t="shared" si="0"/>
        <v>0</v>
      </c>
      <c r="I80" s="1424">
        <f t="shared" si="0"/>
        <v>0</v>
      </c>
      <c r="J80" s="492">
        <f t="shared" si="0"/>
        <v>0</v>
      </c>
      <c r="K80" s="1423">
        <f t="shared" si="1"/>
        <v>0</v>
      </c>
      <c r="L80" s="1424">
        <f t="shared" si="1"/>
        <v>0</v>
      </c>
      <c r="M80" s="1424">
        <f t="shared" si="1"/>
        <v>0</v>
      </c>
      <c r="N80" s="492">
        <f t="shared" si="1"/>
        <v>0</v>
      </c>
      <c r="O80" s="1011"/>
      <c r="P80" s="1012"/>
      <c r="Q80" s="1012"/>
      <c r="R80" s="1013">
        <f t="shared" si="47"/>
        <v>0</v>
      </c>
      <c r="S80" s="1011"/>
      <c r="T80" s="1012"/>
      <c r="U80" s="1012"/>
      <c r="V80" s="1013">
        <f t="shared" si="48"/>
        <v>0</v>
      </c>
      <c r="W80" s="1011"/>
      <c r="X80" s="1012"/>
      <c r="Y80" s="1012"/>
      <c r="Z80" s="1013">
        <f t="shared" si="49"/>
        <v>0</v>
      </c>
      <c r="AA80" s="1011"/>
      <c r="AB80" s="1012"/>
      <c r="AC80" s="1012"/>
      <c r="AD80" s="1013">
        <f t="shared" si="50"/>
        <v>0</v>
      </c>
      <c r="AE80" s="1423">
        <f t="shared" si="9"/>
        <v>0</v>
      </c>
      <c r="AF80" s="1424">
        <f t="shared" si="9"/>
        <v>0</v>
      </c>
      <c r="AG80" s="1424">
        <f t="shared" si="9"/>
        <v>0</v>
      </c>
      <c r="AH80" s="492">
        <f t="shared" si="9"/>
        <v>0</v>
      </c>
      <c r="AI80" s="1011"/>
      <c r="AJ80" s="1012"/>
      <c r="AK80" s="1012"/>
      <c r="AL80" s="1013">
        <f t="shared" si="51"/>
        <v>0</v>
      </c>
      <c r="AM80" s="1011"/>
      <c r="AN80" s="1012"/>
      <c r="AO80" s="1012"/>
      <c r="AP80" s="1013">
        <f t="shared" si="52"/>
        <v>0</v>
      </c>
      <c r="AQ80" s="1011"/>
      <c r="AR80" s="1012"/>
      <c r="AS80" s="1012"/>
      <c r="AT80" s="1013">
        <f t="shared" si="53"/>
        <v>0</v>
      </c>
      <c r="AU80" s="483"/>
      <c r="AV80" s="483"/>
      <c r="AW80" s="483"/>
      <c r="AX80" s="483"/>
      <c r="AY80" s="483"/>
    </row>
    <row r="81" spans="1:51" s="481" customFormat="1" ht="12.75" thickBot="1">
      <c r="A81" s="528" t="s">
        <v>587</v>
      </c>
      <c r="B81" s="835"/>
      <c r="C81" s="1540" t="s">
        <v>410</v>
      </c>
      <c r="D81" s="1541"/>
      <c r="E81" s="1541"/>
      <c r="F81" s="1542"/>
      <c r="G81" s="517">
        <f t="shared" ref="G81" si="66">SUM(G8:G80)</f>
        <v>1581402</v>
      </c>
      <c r="H81" s="518">
        <f t="shared" ref="H81:I81" si="67">SUM(H8:H80)</f>
        <v>1731351</v>
      </c>
      <c r="I81" s="518">
        <f t="shared" si="67"/>
        <v>20604</v>
      </c>
      <c r="J81" s="413">
        <f t="shared" ref="J81:AQ81" si="68">SUM(J8:J80)</f>
        <v>1751955</v>
      </c>
      <c r="K81" s="517">
        <f t="shared" si="68"/>
        <v>1508776</v>
      </c>
      <c r="L81" s="518">
        <f t="shared" ref="L81:M81" si="69">SUM(L8:L80)</f>
        <v>1658725</v>
      </c>
      <c r="M81" s="518">
        <f t="shared" si="69"/>
        <v>20604</v>
      </c>
      <c r="N81" s="413">
        <f t="shared" si="68"/>
        <v>1679329</v>
      </c>
      <c r="O81" s="495">
        <f t="shared" si="68"/>
        <v>988986</v>
      </c>
      <c r="P81" s="356">
        <f t="shared" ref="P81:Q81" si="70">SUM(P8:P80)</f>
        <v>1182045</v>
      </c>
      <c r="Q81" s="356">
        <f t="shared" si="70"/>
        <v>20604</v>
      </c>
      <c r="R81" s="343">
        <f t="shared" si="68"/>
        <v>1202649</v>
      </c>
      <c r="S81" s="495">
        <f t="shared" si="68"/>
        <v>396552</v>
      </c>
      <c r="T81" s="356">
        <f t="shared" ref="T81:V81" si="71">SUM(T8:T80)</f>
        <v>347952</v>
      </c>
      <c r="U81" s="356">
        <f t="shared" si="71"/>
        <v>0</v>
      </c>
      <c r="V81" s="343">
        <f t="shared" si="71"/>
        <v>347952</v>
      </c>
      <c r="W81" s="495">
        <f t="shared" si="68"/>
        <v>123238</v>
      </c>
      <c r="X81" s="356">
        <f t="shared" ref="X81:Z81" si="72">SUM(X8:X80)</f>
        <v>123238</v>
      </c>
      <c r="Y81" s="356">
        <f t="shared" si="72"/>
        <v>0</v>
      </c>
      <c r="Z81" s="343">
        <f t="shared" si="72"/>
        <v>123238</v>
      </c>
      <c r="AA81" s="495">
        <f t="shared" si="68"/>
        <v>0</v>
      </c>
      <c r="AB81" s="356">
        <f t="shared" ref="AB81:AD81" si="73">SUM(AB8:AB80)</f>
        <v>5490</v>
      </c>
      <c r="AC81" s="356">
        <f t="shared" si="73"/>
        <v>0</v>
      </c>
      <c r="AD81" s="343">
        <f t="shared" si="73"/>
        <v>5490</v>
      </c>
      <c r="AE81" s="517">
        <f t="shared" si="68"/>
        <v>72626</v>
      </c>
      <c r="AF81" s="518">
        <f t="shared" ref="AF81:AG81" si="74">SUM(AF8:AF80)</f>
        <v>72626</v>
      </c>
      <c r="AG81" s="518">
        <f t="shared" si="74"/>
        <v>0</v>
      </c>
      <c r="AH81" s="413">
        <f t="shared" si="68"/>
        <v>72626</v>
      </c>
      <c r="AI81" s="495">
        <f t="shared" si="68"/>
        <v>32276</v>
      </c>
      <c r="AJ81" s="356">
        <f t="shared" ref="AJ81:AL81" si="75">SUM(AJ8:AJ80)</f>
        <v>32276</v>
      </c>
      <c r="AK81" s="356">
        <f t="shared" si="75"/>
        <v>0</v>
      </c>
      <c r="AL81" s="343">
        <f t="shared" si="75"/>
        <v>32276</v>
      </c>
      <c r="AM81" s="495">
        <f t="shared" si="68"/>
        <v>40350</v>
      </c>
      <c r="AN81" s="356">
        <f t="shared" ref="AN81:AP81" si="76">SUM(AN8:AN80)</f>
        <v>40350</v>
      </c>
      <c r="AO81" s="356">
        <f t="shared" si="76"/>
        <v>0</v>
      </c>
      <c r="AP81" s="343">
        <f t="shared" si="76"/>
        <v>40350</v>
      </c>
      <c r="AQ81" s="495">
        <f t="shared" si="68"/>
        <v>0</v>
      </c>
      <c r="AR81" s="356">
        <f t="shared" ref="AR81:AT81" si="77">SUM(AR8:AR80)</f>
        <v>0</v>
      </c>
      <c r="AS81" s="356">
        <f t="shared" si="77"/>
        <v>0</v>
      </c>
      <c r="AT81" s="343">
        <f t="shared" si="77"/>
        <v>0</v>
      </c>
      <c r="AU81" s="483"/>
      <c r="AV81" s="483"/>
      <c r="AW81" s="483"/>
      <c r="AX81" s="483"/>
      <c r="AY81" s="483"/>
    </row>
    <row r="82" spans="1:51">
      <c r="A82" s="532">
        <f>A80+1</f>
        <v>74</v>
      </c>
      <c r="B82" s="832">
        <v>9</v>
      </c>
      <c r="C82" s="993" t="s">
        <v>1030</v>
      </c>
      <c r="D82" s="944" t="s">
        <v>1029</v>
      </c>
      <c r="E82" s="994" t="s">
        <v>1235</v>
      </c>
      <c r="F82" s="1000" t="s">
        <v>1097</v>
      </c>
      <c r="G82" s="1417">
        <f t="shared" ref="G82:J87" si="78">+K82+AE82</f>
        <v>0</v>
      </c>
      <c r="H82" s="1418">
        <f t="shared" si="78"/>
        <v>0</v>
      </c>
      <c r="I82" s="1418">
        <f t="shared" si="78"/>
        <v>0</v>
      </c>
      <c r="J82" s="473">
        <f t="shared" si="78"/>
        <v>0</v>
      </c>
      <c r="K82" s="1417">
        <f t="shared" ref="K82:N87" si="79">+O82+S82+W82+AA82</f>
        <v>0</v>
      </c>
      <c r="L82" s="1418">
        <f t="shared" si="79"/>
        <v>0</v>
      </c>
      <c r="M82" s="1418">
        <f t="shared" si="79"/>
        <v>0</v>
      </c>
      <c r="N82" s="473">
        <f t="shared" si="79"/>
        <v>0</v>
      </c>
      <c r="O82" s="1011"/>
      <c r="P82" s="1012"/>
      <c r="Q82" s="1012"/>
      <c r="R82" s="1013">
        <f t="shared" ref="R82:R87" si="80">+P82+Q82</f>
        <v>0</v>
      </c>
      <c r="S82" s="1011"/>
      <c r="T82" s="1012"/>
      <c r="U82" s="1012"/>
      <c r="V82" s="1013">
        <f t="shared" ref="V82:V87" si="81">+T82+U82</f>
        <v>0</v>
      </c>
      <c r="W82" s="1011"/>
      <c r="X82" s="1012"/>
      <c r="Y82" s="1012"/>
      <c r="Z82" s="1013">
        <f t="shared" ref="Z82:Z87" si="82">+X82+Y82</f>
        <v>0</v>
      </c>
      <c r="AA82" s="1011"/>
      <c r="AB82" s="1012"/>
      <c r="AC82" s="1012"/>
      <c r="AD82" s="1013">
        <f t="shared" ref="AD82:AD87" si="83">+AB82+AC82</f>
        <v>0</v>
      </c>
      <c r="AE82" s="1417">
        <f t="shared" ref="AE82:AH87" si="84">+AI82+AM82+AQ82</f>
        <v>0</v>
      </c>
      <c r="AF82" s="1418">
        <f t="shared" si="84"/>
        <v>0</v>
      </c>
      <c r="AG82" s="1418">
        <f t="shared" si="84"/>
        <v>0</v>
      </c>
      <c r="AH82" s="473">
        <f t="shared" si="84"/>
        <v>0</v>
      </c>
      <c r="AI82" s="1011"/>
      <c r="AJ82" s="1012"/>
      <c r="AK82" s="1012"/>
      <c r="AL82" s="1013">
        <f t="shared" ref="AL82:AL87" si="85">+AJ82+AK82</f>
        <v>0</v>
      </c>
      <c r="AM82" s="1011"/>
      <c r="AN82" s="1012"/>
      <c r="AO82" s="1012"/>
      <c r="AP82" s="1013">
        <f t="shared" ref="AP82:AP87" si="86">+AN82+AO82</f>
        <v>0</v>
      </c>
      <c r="AQ82" s="1011"/>
      <c r="AR82" s="1012"/>
      <c r="AS82" s="1012"/>
      <c r="AT82" s="1013">
        <f t="shared" ref="AT82:AT87" si="87">+AR82+AS82</f>
        <v>0</v>
      </c>
      <c r="AU82" s="483"/>
      <c r="AV82" s="483"/>
      <c r="AW82" s="483"/>
      <c r="AX82" s="483"/>
      <c r="AY82" s="483"/>
    </row>
    <row r="83" spans="1:51">
      <c r="A83" s="532">
        <f>+A82+1</f>
        <v>75</v>
      </c>
      <c r="B83" s="833">
        <v>10</v>
      </c>
      <c r="C83" s="996" t="s">
        <v>734</v>
      </c>
      <c r="D83" s="940" t="s">
        <v>735</v>
      </c>
      <c r="E83" s="995" t="s">
        <v>1225</v>
      </c>
      <c r="F83" s="1001" t="s">
        <v>656</v>
      </c>
      <c r="G83" s="1421">
        <f t="shared" si="78"/>
        <v>1100</v>
      </c>
      <c r="H83" s="1422">
        <f t="shared" si="78"/>
        <v>1100</v>
      </c>
      <c r="I83" s="1422">
        <f t="shared" si="78"/>
        <v>0</v>
      </c>
      <c r="J83" s="489">
        <f t="shared" si="78"/>
        <v>1100</v>
      </c>
      <c r="K83" s="1421">
        <f t="shared" si="79"/>
        <v>0</v>
      </c>
      <c r="L83" s="1422">
        <f t="shared" si="79"/>
        <v>0</v>
      </c>
      <c r="M83" s="1422">
        <f t="shared" si="79"/>
        <v>0</v>
      </c>
      <c r="N83" s="489">
        <f t="shared" si="79"/>
        <v>0</v>
      </c>
      <c r="O83" s="1011"/>
      <c r="P83" s="1012"/>
      <c r="Q83" s="1012"/>
      <c r="R83" s="1013">
        <f t="shared" si="80"/>
        <v>0</v>
      </c>
      <c r="S83" s="1014"/>
      <c r="T83" s="1015"/>
      <c r="U83" s="1012"/>
      <c r="V83" s="1013">
        <f t="shared" si="81"/>
        <v>0</v>
      </c>
      <c r="W83" s="1014"/>
      <c r="X83" s="1015"/>
      <c r="Y83" s="1012"/>
      <c r="Z83" s="1013">
        <f t="shared" si="82"/>
        <v>0</v>
      </c>
      <c r="AA83" s="1014"/>
      <c r="AB83" s="1015"/>
      <c r="AC83" s="1012"/>
      <c r="AD83" s="1013">
        <f t="shared" si="83"/>
        <v>0</v>
      </c>
      <c r="AE83" s="1421">
        <f t="shared" si="84"/>
        <v>1100</v>
      </c>
      <c r="AF83" s="1422">
        <f t="shared" si="84"/>
        <v>1100</v>
      </c>
      <c r="AG83" s="1422">
        <f t="shared" si="84"/>
        <v>0</v>
      </c>
      <c r="AH83" s="489">
        <f t="shared" si="84"/>
        <v>1100</v>
      </c>
      <c r="AI83" s="1014"/>
      <c r="AJ83" s="1015"/>
      <c r="AK83" s="1012"/>
      <c r="AL83" s="1013">
        <f t="shared" si="85"/>
        <v>0</v>
      </c>
      <c r="AM83" s="1014"/>
      <c r="AN83" s="1015"/>
      <c r="AO83" s="1012"/>
      <c r="AP83" s="1013">
        <f t="shared" si="86"/>
        <v>0</v>
      </c>
      <c r="AQ83" s="1014">
        <v>1100</v>
      </c>
      <c r="AR83" s="1015">
        <v>1100</v>
      </c>
      <c r="AS83" s="1012"/>
      <c r="AT83" s="1013">
        <f t="shared" si="87"/>
        <v>1100</v>
      </c>
      <c r="AU83" s="483"/>
      <c r="AV83" s="483"/>
      <c r="AW83" s="483"/>
      <c r="AX83" s="483"/>
      <c r="AY83" s="483"/>
    </row>
    <row r="84" spans="1:51">
      <c r="A84" s="532">
        <f t="shared" si="10"/>
        <v>76</v>
      </c>
      <c r="B84" s="832">
        <v>10</v>
      </c>
      <c r="C84" s="993" t="s">
        <v>733</v>
      </c>
      <c r="D84" s="944" t="s">
        <v>1022</v>
      </c>
      <c r="E84" s="995" t="s">
        <v>1237</v>
      </c>
      <c r="F84" s="1002" t="s">
        <v>655</v>
      </c>
      <c r="G84" s="1421">
        <f t="shared" si="78"/>
        <v>0</v>
      </c>
      <c r="H84" s="1422">
        <f t="shared" si="78"/>
        <v>0</v>
      </c>
      <c r="I84" s="1422">
        <f t="shared" si="78"/>
        <v>0</v>
      </c>
      <c r="J84" s="489">
        <f t="shared" si="78"/>
        <v>0</v>
      </c>
      <c r="K84" s="1421">
        <f t="shared" si="79"/>
        <v>0</v>
      </c>
      <c r="L84" s="1422">
        <f t="shared" si="79"/>
        <v>0</v>
      </c>
      <c r="M84" s="1422">
        <f t="shared" si="79"/>
        <v>0</v>
      </c>
      <c r="N84" s="489">
        <f t="shared" si="79"/>
        <v>0</v>
      </c>
      <c r="O84" s="1011"/>
      <c r="P84" s="1012"/>
      <c r="Q84" s="1012"/>
      <c r="R84" s="1013">
        <f t="shared" si="80"/>
        <v>0</v>
      </c>
      <c r="S84" s="1014"/>
      <c r="T84" s="1015"/>
      <c r="U84" s="1012"/>
      <c r="V84" s="1013">
        <f t="shared" si="81"/>
        <v>0</v>
      </c>
      <c r="W84" s="1014"/>
      <c r="X84" s="1015"/>
      <c r="Y84" s="1012"/>
      <c r="Z84" s="1013">
        <f t="shared" si="82"/>
        <v>0</v>
      </c>
      <c r="AA84" s="1014"/>
      <c r="AB84" s="1015"/>
      <c r="AC84" s="1012"/>
      <c r="AD84" s="1013">
        <f t="shared" si="83"/>
        <v>0</v>
      </c>
      <c r="AE84" s="1421">
        <f t="shared" si="84"/>
        <v>0</v>
      </c>
      <c r="AF84" s="1422">
        <f t="shared" si="84"/>
        <v>0</v>
      </c>
      <c r="AG84" s="1422">
        <f t="shared" si="84"/>
        <v>0</v>
      </c>
      <c r="AH84" s="489">
        <f t="shared" si="84"/>
        <v>0</v>
      </c>
      <c r="AI84" s="1014"/>
      <c r="AJ84" s="1015"/>
      <c r="AK84" s="1012"/>
      <c r="AL84" s="1013">
        <f t="shared" si="85"/>
        <v>0</v>
      </c>
      <c r="AM84" s="1014"/>
      <c r="AN84" s="1015"/>
      <c r="AO84" s="1012"/>
      <c r="AP84" s="1013">
        <f t="shared" si="86"/>
        <v>0</v>
      </c>
      <c r="AQ84" s="1014"/>
      <c r="AR84" s="1015"/>
      <c r="AS84" s="1012"/>
      <c r="AT84" s="1013">
        <f t="shared" si="87"/>
        <v>0</v>
      </c>
      <c r="AU84" s="483"/>
      <c r="AV84" s="483"/>
      <c r="AW84" s="483"/>
      <c r="AX84" s="483"/>
      <c r="AY84" s="483"/>
    </row>
    <row r="85" spans="1:51">
      <c r="A85" s="532">
        <f t="shared" si="10"/>
        <v>77</v>
      </c>
      <c r="B85" s="833">
        <v>10</v>
      </c>
      <c r="C85" s="996" t="s">
        <v>737</v>
      </c>
      <c r="D85" s="940" t="s">
        <v>736</v>
      </c>
      <c r="E85" s="995" t="s">
        <v>1225</v>
      </c>
      <c r="F85" s="1002" t="s">
        <v>664</v>
      </c>
      <c r="G85" s="1421">
        <f t="shared" si="78"/>
        <v>0</v>
      </c>
      <c r="H85" s="1422">
        <f t="shared" si="78"/>
        <v>0</v>
      </c>
      <c r="I85" s="1422">
        <f t="shared" si="78"/>
        <v>0</v>
      </c>
      <c r="J85" s="489">
        <f t="shared" si="78"/>
        <v>0</v>
      </c>
      <c r="K85" s="1421">
        <f t="shared" si="79"/>
        <v>0</v>
      </c>
      <c r="L85" s="1422">
        <f t="shared" si="79"/>
        <v>0</v>
      </c>
      <c r="M85" s="1422">
        <f t="shared" si="79"/>
        <v>0</v>
      </c>
      <c r="N85" s="489">
        <f t="shared" si="79"/>
        <v>0</v>
      </c>
      <c r="O85" s="1011"/>
      <c r="P85" s="1012"/>
      <c r="Q85" s="1012"/>
      <c r="R85" s="1013">
        <f t="shared" si="80"/>
        <v>0</v>
      </c>
      <c r="S85" s="1014"/>
      <c r="T85" s="1015"/>
      <c r="U85" s="1012"/>
      <c r="V85" s="1013">
        <f t="shared" si="81"/>
        <v>0</v>
      </c>
      <c r="W85" s="1014"/>
      <c r="X85" s="1015"/>
      <c r="Y85" s="1012"/>
      <c r="Z85" s="1013">
        <f t="shared" si="82"/>
        <v>0</v>
      </c>
      <c r="AA85" s="1014"/>
      <c r="AB85" s="1015"/>
      <c r="AC85" s="1012"/>
      <c r="AD85" s="1013">
        <f t="shared" si="83"/>
        <v>0</v>
      </c>
      <c r="AE85" s="1421">
        <f t="shared" si="84"/>
        <v>0</v>
      </c>
      <c r="AF85" s="1422">
        <f t="shared" si="84"/>
        <v>0</v>
      </c>
      <c r="AG85" s="1422">
        <f t="shared" si="84"/>
        <v>0</v>
      </c>
      <c r="AH85" s="489">
        <f t="shared" si="84"/>
        <v>0</v>
      </c>
      <c r="AI85" s="1014"/>
      <c r="AJ85" s="1015"/>
      <c r="AK85" s="1012"/>
      <c r="AL85" s="1013">
        <f t="shared" si="85"/>
        <v>0</v>
      </c>
      <c r="AM85" s="1014"/>
      <c r="AN85" s="1015"/>
      <c r="AO85" s="1012"/>
      <c r="AP85" s="1013">
        <f t="shared" si="86"/>
        <v>0</v>
      </c>
      <c r="AQ85" s="1014"/>
      <c r="AR85" s="1015"/>
      <c r="AS85" s="1012"/>
      <c r="AT85" s="1013">
        <f t="shared" si="87"/>
        <v>0</v>
      </c>
      <c r="AU85" s="483"/>
      <c r="AV85" s="483"/>
      <c r="AW85" s="483"/>
      <c r="AX85" s="483"/>
      <c r="AY85" s="483"/>
    </row>
    <row r="86" spans="1:51">
      <c r="A86" s="532">
        <f t="shared" si="10"/>
        <v>78</v>
      </c>
      <c r="B86" s="832">
        <v>10</v>
      </c>
      <c r="C86" s="993" t="s">
        <v>1035</v>
      </c>
      <c r="D86" s="944" t="s">
        <v>1036</v>
      </c>
      <c r="E86" s="995" t="s">
        <v>1225</v>
      </c>
      <c r="F86" s="1002" t="s">
        <v>654</v>
      </c>
      <c r="G86" s="1421">
        <f t="shared" si="78"/>
        <v>0</v>
      </c>
      <c r="H86" s="1422">
        <f t="shared" si="78"/>
        <v>0</v>
      </c>
      <c r="I86" s="1422">
        <f t="shared" si="78"/>
        <v>0</v>
      </c>
      <c r="J86" s="489">
        <f t="shared" si="78"/>
        <v>0</v>
      </c>
      <c r="K86" s="1421">
        <f t="shared" si="79"/>
        <v>0</v>
      </c>
      <c r="L86" s="1422">
        <f t="shared" si="79"/>
        <v>0</v>
      </c>
      <c r="M86" s="1422">
        <f t="shared" si="79"/>
        <v>0</v>
      </c>
      <c r="N86" s="489">
        <f t="shared" si="79"/>
        <v>0</v>
      </c>
      <c r="O86" s="1011"/>
      <c r="P86" s="1012"/>
      <c r="Q86" s="1012"/>
      <c r="R86" s="1013">
        <f t="shared" si="80"/>
        <v>0</v>
      </c>
      <c r="S86" s="1014"/>
      <c r="T86" s="1015"/>
      <c r="U86" s="1012"/>
      <c r="V86" s="1013">
        <f t="shared" si="81"/>
        <v>0</v>
      </c>
      <c r="W86" s="1011"/>
      <c r="X86" s="1012"/>
      <c r="Y86" s="1012"/>
      <c r="Z86" s="1013">
        <f t="shared" si="82"/>
        <v>0</v>
      </c>
      <c r="AA86" s="1014"/>
      <c r="AB86" s="1015"/>
      <c r="AC86" s="1012"/>
      <c r="AD86" s="1013">
        <f t="shared" si="83"/>
        <v>0</v>
      </c>
      <c r="AE86" s="1421">
        <f t="shared" si="84"/>
        <v>0</v>
      </c>
      <c r="AF86" s="1422">
        <f t="shared" si="84"/>
        <v>0</v>
      </c>
      <c r="AG86" s="1422">
        <f t="shared" si="84"/>
        <v>0</v>
      </c>
      <c r="AH86" s="489">
        <f t="shared" si="84"/>
        <v>0</v>
      </c>
      <c r="AI86" s="1014"/>
      <c r="AJ86" s="1015"/>
      <c r="AK86" s="1012"/>
      <c r="AL86" s="1013">
        <f t="shared" si="85"/>
        <v>0</v>
      </c>
      <c r="AM86" s="1011"/>
      <c r="AN86" s="1012"/>
      <c r="AO86" s="1012"/>
      <c r="AP86" s="1013">
        <f t="shared" si="86"/>
        <v>0</v>
      </c>
      <c r="AQ86" s="1014"/>
      <c r="AR86" s="1015"/>
      <c r="AS86" s="1012"/>
      <c r="AT86" s="1013">
        <f t="shared" si="87"/>
        <v>0</v>
      </c>
      <c r="AU86" s="483"/>
      <c r="AV86" s="483"/>
      <c r="AW86" s="483"/>
      <c r="AX86" s="483"/>
      <c r="AY86" s="483"/>
    </row>
    <row r="87" spans="1:51" ht="12.75" thickBot="1">
      <c r="A87" s="532">
        <f t="shared" si="10"/>
        <v>79</v>
      </c>
      <c r="B87" s="833">
        <v>9</v>
      </c>
      <c r="C87" s="996" t="s">
        <v>687</v>
      </c>
      <c r="D87" s="940" t="s">
        <v>688</v>
      </c>
      <c r="E87" s="995" t="s">
        <v>1225</v>
      </c>
      <c r="F87" s="1002" t="s">
        <v>686</v>
      </c>
      <c r="G87" s="1421">
        <f t="shared" si="78"/>
        <v>0</v>
      </c>
      <c r="H87" s="1422">
        <f t="shared" si="78"/>
        <v>0</v>
      </c>
      <c r="I87" s="1422">
        <f t="shared" si="78"/>
        <v>0</v>
      </c>
      <c r="J87" s="489">
        <f t="shared" si="78"/>
        <v>0</v>
      </c>
      <c r="K87" s="1421">
        <f t="shared" si="79"/>
        <v>0</v>
      </c>
      <c r="L87" s="1422">
        <f t="shared" si="79"/>
        <v>0</v>
      </c>
      <c r="M87" s="1422">
        <f t="shared" si="79"/>
        <v>0</v>
      </c>
      <c r="N87" s="489">
        <f t="shared" si="79"/>
        <v>0</v>
      </c>
      <c r="O87" s="1011"/>
      <c r="P87" s="1012"/>
      <c r="Q87" s="1012"/>
      <c r="R87" s="1013">
        <f t="shared" si="80"/>
        <v>0</v>
      </c>
      <c r="S87" s="1014"/>
      <c r="T87" s="1015"/>
      <c r="U87" s="1012"/>
      <c r="V87" s="1013">
        <f t="shared" si="81"/>
        <v>0</v>
      </c>
      <c r="W87" s="1014"/>
      <c r="X87" s="1015"/>
      <c r="Y87" s="1012"/>
      <c r="Z87" s="1013">
        <f t="shared" si="82"/>
        <v>0</v>
      </c>
      <c r="AA87" s="1014"/>
      <c r="AB87" s="1015"/>
      <c r="AC87" s="1012"/>
      <c r="AD87" s="1013">
        <f t="shared" si="83"/>
        <v>0</v>
      </c>
      <c r="AE87" s="1421">
        <f t="shared" si="84"/>
        <v>0</v>
      </c>
      <c r="AF87" s="1422">
        <f t="shared" si="84"/>
        <v>0</v>
      </c>
      <c r="AG87" s="1422">
        <f t="shared" si="84"/>
        <v>0</v>
      </c>
      <c r="AH87" s="489">
        <f t="shared" si="84"/>
        <v>0</v>
      </c>
      <c r="AI87" s="1014"/>
      <c r="AJ87" s="1015"/>
      <c r="AK87" s="1012"/>
      <c r="AL87" s="1013">
        <f t="shared" si="85"/>
        <v>0</v>
      </c>
      <c r="AM87" s="1014"/>
      <c r="AN87" s="1015"/>
      <c r="AO87" s="1012"/>
      <c r="AP87" s="1013">
        <f t="shared" si="86"/>
        <v>0</v>
      </c>
      <c r="AQ87" s="1014"/>
      <c r="AR87" s="1015"/>
      <c r="AS87" s="1012"/>
      <c r="AT87" s="1013">
        <f t="shared" si="87"/>
        <v>0</v>
      </c>
      <c r="AU87" s="483"/>
      <c r="AV87" s="483"/>
      <c r="AW87" s="483"/>
      <c r="AX87" s="483"/>
      <c r="AY87" s="483"/>
    </row>
    <row r="88" spans="1:51" s="481" customFormat="1" ht="12.75" thickBot="1">
      <c r="A88" s="528" t="s">
        <v>588</v>
      </c>
      <c r="B88" s="835"/>
      <c r="C88" s="1540" t="s">
        <v>411</v>
      </c>
      <c r="D88" s="1541"/>
      <c r="E88" s="1541"/>
      <c r="F88" s="1542"/>
      <c r="G88" s="517">
        <f>SUM(G82:G87)</f>
        <v>1100</v>
      </c>
      <c r="H88" s="518">
        <f>SUM(H82:H87)</f>
        <v>1100</v>
      </c>
      <c r="I88" s="518">
        <f>SUM(I82:I87)</f>
        <v>0</v>
      </c>
      <c r="J88" s="413">
        <f>SUM(J82:J87)</f>
        <v>1100</v>
      </c>
      <c r="K88" s="517">
        <f t="shared" ref="K88" si="88">SUM(K82:K87)</f>
        <v>0</v>
      </c>
      <c r="L88" s="518">
        <f t="shared" ref="L88:M88" si="89">SUM(L82:L87)</f>
        <v>0</v>
      </c>
      <c r="M88" s="518">
        <f t="shared" si="89"/>
        <v>0</v>
      </c>
      <c r="N88" s="413">
        <f t="shared" ref="N88:AQ88" si="90">SUM(N82:N87)</f>
        <v>0</v>
      </c>
      <c r="O88" s="495">
        <f t="shared" si="90"/>
        <v>0</v>
      </c>
      <c r="P88" s="356">
        <f t="shared" ref="P88:Q88" si="91">SUM(P82:P87)</f>
        <v>0</v>
      </c>
      <c r="Q88" s="356">
        <f t="shared" si="91"/>
        <v>0</v>
      </c>
      <c r="R88" s="343">
        <f t="shared" si="90"/>
        <v>0</v>
      </c>
      <c r="S88" s="495">
        <f t="shared" si="90"/>
        <v>0</v>
      </c>
      <c r="T88" s="356">
        <f t="shared" ref="T88:V88" si="92">SUM(T82:T87)</f>
        <v>0</v>
      </c>
      <c r="U88" s="356">
        <f t="shared" si="92"/>
        <v>0</v>
      </c>
      <c r="V88" s="343">
        <f t="shared" si="92"/>
        <v>0</v>
      </c>
      <c r="W88" s="495">
        <f t="shared" si="90"/>
        <v>0</v>
      </c>
      <c r="X88" s="356">
        <f t="shared" ref="X88:Z88" si="93">SUM(X82:X87)</f>
        <v>0</v>
      </c>
      <c r="Y88" s="356">
        <f t="shared" si="93"/>
        <v>0</v>
      </c>
      <c r="Z88" s="343">
        <f t="shared" si="93"/>
        <v>0</v>
      </c>
      <c r="AA88" s="495">
        <f t="shared" si="90"/>
        <v>0</v>
      </c>
      <c r="AB88" s="356">
        <f t="shared" ref="AB88:AD88" si="94">SUM(AB82:AB87)</f>
        <v>0</v>
      </c>
      <c r="AC88" s="356">
        <f t="shared" si="94"/>
        <v>0</v>
      </c>
      <c r="AD88" s="343">
        <f t="shared" si="94"/>
        <v>0</v>
      </c>
      <c r="AE88" s="517">
        <f t="shared" si="90"/>
        <v>1100</v>
      </c>
      <c r="AF88" s="518">
        <f t="shared" ref="AF88:AG88" si="95">SUM(AF82:AF87)</f>
        <v>1100</v>
      </c>
      <c r="AG88" s="518">
        <f t="shared" si="95"/>
        <v>0</v>
      </c>
      <c r="AH88" s="413">
        <f t="shared" si="90"/>
        <v>1100</v>
      </c>
      <c r="AI88" s="495">
        <f t="shared" si="90"/>
        <v>0</v>
      </c>
      <c r="AJ88" s="356">
        <f t="shared" ref="AJ88:AL88" si="96">SUM(AJ82:AJ87)</f>
        <v>0</v>
      </c>
      <c r="AK88" s="356">
        <f t="shared" si="96"/>
        <v>0</v>
      </c>
      <c r="AL88" s="343">
        <f t="shared" si="96"/>
        <v>0</v>
      </c>
      <c r="AM88" s="495">
        <f t="shared" si="90"/>
        <v>0</v>
      </c>
      <c r="AN88" s="356">
        <f t="shared" ref="AN88:AP88" si="97">SUM(AN82:AN87)</f>
        <v>0</v>
      </c>
      <c r="AO88" s="356">
        <f t="shared" si="97"/>
        <v>0</v>
      </c>
      <c r="AP88" s="343">
        <f t="shared" si="97"/>
        <v>0</v>
      </c>
      <c r="AQ88" s="495">
        <f t="shared" si="90"/>
        <v>1100</v>
      </c>
      <c r="AR88" s="356">
        <f t="shared" ref="AR88:AT88" si="98">SUM(AR82:AR87)</f>
        <v>1100</v>
      </c>
      <c r="AS88" s="356">
        <f t="shared" si="98"/>
        <v>0</v>
      </c>
      <c r="AT88" s="343">
        <f t="shared" si="98"/>
        <v>1100</v>
      </c>
      <c r="AU88" s="483"/>
      <c r="AV88" s="483"/>
      <c r="AW88" s="483"/>
      <c r="AX88" s="483"/>
      <c r="AY88" s="483"/>
    </row>
    <row r="89" spans="1:51" s="485" customFormat="1" ht="12.75" customHeight="1" thickBot="1">
      <c r="A89" s="532">
        <f>+A87+1</f>
        <v>80</v>
      </c>
      <c r="B89" s="833">
        <v>11</v>
      </c>
      <c r="C89" s="996" t="s">
        <v>19</v>
      </c>
      <c r="D89" s="1003" t="s">
        <v>19</v>
      </c>
      <c r="E89" s="994" t="s">
        <v>19</v>
      </c>
      <c r="F89" s="1003" t="s">
        <v>19</v>
      </c>
      <c r="G89" s="1417">
        <f>+K89+AE89</f>
        <v>0</v>
      </c>
      <c r="H89" s="1418">
        <f>+L89+AF89</f>
        <v>0</v>
      </c>
      <c r="I89" s="1418">
        <f>+M89+AG89</f>
        <v>0</v>
      </c>
      <c r="J89" s="473">
        <f>+N89+AH89</f>
        <v>0</v>
      </c>
      <c r="K89" s="1417">
        <f>+O89+S89+W89+AA89</f>
        <v>0</v>
      </c>
      <c r="L89" s="1418">
        <f>+P89+T89+X89+AB89</f>
        <v>0</v>
      </c>
      <c r="M89" s="1418">
        <f>+Q89+U89+Y89+AC89</f>
        <v>0</v>
      </c>
      <c r="N89" s="473">
        <f>+R89+V89+Z89+AD89</f>
        <v>0</v>
      </c>
      <c r="O89" s="1011"/>
      <c r="P89" s="1012"/>
      <c r="Q89" s="1012"/>
      <c r="R89" s="1013">
        <f t="shared" ref="R89" si="99">+P89+Q89</f>
        <v>0</v>
      </c>
      <c r="S89" s="1014"/>
      <c r="T89" s="1015"/>
      <c r="U89" s="1012"/>
      <c r="V89" s="1013">
        <f t="shared" ref="V89" si="100">+T89+U89</f>
        <v>0</v>
      </c>
      <c r="W89" s="1014"/>
      <c r="X89" s="1015"/>
      <c r="Y89" s="1012"/>
      <c r="Z89" s="1013">
        <f t="shared" ref="Z89" si="101">+X89+Y89</f>
        <v>0</v>
      </c>
      <c r="AA89" s="1014"/>
      <c r="AB89" s="1015"/>
      <c r="AC89" s="1012"/>
      <c r="AD89" s="1013">
        <f t="shared" ref="AD89" si="102">+AB89+AC89</f>
        <v>0</v>
      </c>
      <c r="AE89" s="1417">
        <f>+AI89+AM89+AQ89</f>
        <v>0</v>
      </c>
      <c r="AF89" s="1418">
        <f>+AJ89+AN89+AR89</f>
        <v>0</v>
      </c>
      <c r="AG89" s="1418">
        <f>+AK89+AO89+AS89</f>
        <v>0</v>
      </c>
      <c r="AH89" s="473">
        <f>+AL89+AP89+AT89</f>
        <v>0</v>
      </c>
      <c r="AI89" s="1014"/>
      <c r="AJ89" s="1015"/>
      <c r="AK89" s="1012"/>
      <c r="AL89" s="1013">
        <f t="shared" ref="AL89" si="103">+AJ89+AK89</f>
        <v>0</v>
      </c>
      <c r="AM89" s="1014"/>
      <c r="AN89" s="1015"/>
      <c r="AO89" s="1012"/>
      <c r="AP89" s="1013">
        <f t="shared" ref="AP89" si="104">+AN89+AO89</f>
        <v>0</v>
      </c>
      <c r="AQ89" s="1014"/>
      <c r="AR89" s="1015"/>
      <c r="AS89" s="1012"/>
      <c r="AT89" s="1013">
        <f t="shared" ref="AT89" si="105">+AR89+AS89</f>
        <v>0</v>
      </c>
      <c r="AU89" s="483"/>
      <c r="AV89" s="483"/>
      <c r="AW89" s="483"/>
      <c r="AX89" s="483"/>
      <c r="AY89" s="483"/>
    </row>
    <row r="90" spans="1:51" s="481" customFormat="1" ht="12.75" thickBot="1">
      <c r="A90" s="528" t="s">
        <v>589</v>
      </c>
      <c r="B90" s="835"/>
      <c r="C90" s="1540" t="s">
        <v>412</v>
      </c>
      <c r="D90" s="1541"/>
      <c r="E90" s="1541"/>
      <c r="F90" s="1542"/>
      <c r="G90" s="517">
        <f t="shared" ref="G90" si="106">SUM(G89:G89)</f>
        <v>0</v>
      </c>
      <c r="H90" s="518">
        <f t="shared" ref="H90:I90" si="107">SUM(H89:H89)</f>
        <v>0</v>
      </c>
      <c r="I90" s="518">
        <f t="shared" si="107"/>
        <v>0</v>
      </c>
      <c r="J90" s="413">
        <f t="shared" ref="J90:AQ90" si="108">SUM(J89:J89)</f>
        <v>0</v>
      </c>
      <c r="K90" s="517">
        <f t="shared" si="108"/>
        <v>0</v>
      </c>
      <c r="L90" s="518">
        <f t="shared" ref="L90:M90" si="109">SUM(L89:L89)</f>
        <v>0</v>
      </c>
      <c r="M90" s="518">
        <f t="shared" si="109"/>
        <v>0</v>
      </c>
      <c r="N90" s="413">
        <f t="shared" si="108"/>
        <v>0</v>
      </c>
      <c r="O90" s="495">
        <f t="shared" si="108"/>
        <v>0</v>
      </c>
      <c r="P90" s="356">
        <f t="shared" ref="P90:Q90" si="110">SUM(P89:P89)</f>
        <v>0</v>
      </c>
      <c r="Q90" s="356">
        <f t="shared" si="110"/>
        <v>0</v>
      </c>
      <c r="R90" s="343">
        <f t="shared" si="108"/>
        <v>0</v>
      </c>
      <c r="S90" s="495">
        <f t="shared" si="108"/>
        <v>0</v>
      </c>
      <c r="T90" s="356">
        <f t="shared" ref="T90:V90" si="111">SUM(T89:T89)</f>
        <v>0</v>
      </c>
      <c r="U90" s="356">
        <f t="shared" si="111"/>
        <v>0</v>
      </c>
      <c r="V90" s="343">
        <f t="shared" si="111"/>
        <v>0</v>
      </c>
      <c r="W90" s="495">
        <f t="shared" si="108"/>
        <v>0</v>
      </c>
      <c r="X90" s="356">
        <f t="shared" ref="X90:Z90" si="112">SUM(X89:X89)</f>
        <v>0</v>
      </c>
      <c r="Y90" s="356">
        <f t="shared" si="112"/>
        <v>0</v>
      </c>
      <c r="Z90" s="343">
        <f t="shared" si="112"/>
        <v>0</v>
      </c>
      <c r="AA90" s="495">
        <f t="shared" si="108"/>
        <v>0</v>
      </c>
      <c r="AB90" s="356">
        <f t="shared" ref="AB90:AD90" si="113">SUM(AB89:AB89)</f>
        <v>0</v>
      </c>
      <c r="AC90" s="356">
        <f t="shared" si="113"/>
        <v>0</v>
      </c>
      <c r="AD90" s="343">
        <f t="shared" si="113"/>
        <v>0</v>
      </c>
      <c r="AE90" s="517">
        <f t="shared" si="108"/>
        <v>0</v>
      </c>
      <c r="AF90" s="518">
        <f t="shared" ref="AF90:AG90" si="114">SUM(AF89:AF89)</f>
        <v>0</v>
      </c>
      <c r="AG90" s="518">
        <f t="shared" si="114"/>
        <v>0</v>
      </c>
      <c r="AH90" s="413">
        <f t="shared" si="108"/>
        <v>0</v>
      </c>
      <c r="AI90" s="495">
        <f t="shared" si="108"/>
        <v>0</v>
      </c>
      <c r="AJ90" s="356">
        <f t="shared" ref="AJ90:AL90" si="115">SUM(AJ89:AJ89)</f>
        <v>0</v>
      </c>
      <c r="AK90" s="356">
        <f t="shared" si="115"/>
        <v>0</v>
      </c>
      <c r="AL90" s="343">
        <f t="shared" si="115"/>
        <v>0</v>
      </c>
      <c r="AM90" s="495">
        <f t="shared" si="108"/>
        <v>0</v>
      </c>
      <c r="AN90" s="356">
        <f t="shared" ref="AN90:AP90" si="116">SUM(AN89:AN89)</f>
        <v>0</v>
      </c>
      <c r="AO90" s="356">
        <f t="shared" si="116"/>
        <v>0</v>
      </c>
      <c r="AP90" s="343">
        <f t="shared" si="116"/>
        <v>0</v>
      </c>
      <c r="AQ90" s="495">
        <f t="shared" si="108"/>
        <v>0</v>
      </c>
      <c r="AR90" s="356">
        <f t="shared" ref="AR90:AT90" si="117">SUM(AR89:AR89)</f>
        <v>0</v>
      </c>
      <c r="AS90" s="356">
        <f t="shared" si="117"/>
        <v>0</v>
      </c>
      <c r="AT90" s="343">
        <f t="shared" si="117"/>
        <v>0</v>
      </c>
      <c r="AU90" s="483"/>
      <c r="AV90" s="483"/>
      <c r="AW90" s="483"/>
      <c r="AX90" s="483"/>
      <c r="AY90" s="483"/>
    </row>
    <row r="91" spans="1:51" s="481" customFormat="1" ht="12.75" thickBot="1">
      <c r="A91" s="529" t="s">
        <v>23</v>
      </c>
      <c r="B91" s="836"/>
      <c r="C91" s="1555" t="s">
        <v>413</v>
      </c>
      <c r="D91" s="1556"/>
      <c r="E91" s="1556"/>
      <c r="F91" s="1557"/>
      <c r="G91" s="497">
        <f t="shared" ref="G91" si="118">+G81+G88+G90</f>
        <v>1582502</v>
      </c>
      <c r="H91" s="498">
        <f t="shared" ref="H91:I91" si="119">+H81+H88+H90</f>
        <v>1732451</v>
      </c>
      <c r="I91" s="498">
        <f t="shared" si="119"/>
        <v>20604</v>
      </c>
      <c r="J91" s="499">
        <f t="shared" ref="J91:AQ91" si="120">+J81+J88+J90</f>
        <v>1753055</v>
      </c>
      <c r="K91" s="497">
        <f t="shared" si="120"/>
        <v>1508776</v>
      </c>
      <c r="L91" s="498">
        <f t="shared" ref="L91:M91" si="121">+L81+L88+L90</f>
        <v>1658725</v>
      </c>
      <c r="M91" s="498">
        <f t="shared" si="121"/>
        <v>20604</v>
      </c>
      <c r="N91" s="499">
        <f t="shared" si="120"/>
        <v>1679329</v>
      </c>
      <c r="O91" s="497">
        <f t="shared" si="120"/>
        <v>988986</v>
      </c>
      <c r="P91" s="498">
        <f t="shared" ref="P91:Q91" si="122">+P81+P88+P90</f>
        <v>1182045</v>
      </c>
      <c r="Q91" s="498">
        <f t="shared" si="122"/>
        <v>20604</v>
      </c>
      <c r="R91" s="499">
        <f t="shared" si="120"/>
        <v>1202649</v>
      </c>
      <c r="S91" s="497">
        <f t="shared" si="120"/>
        <v>396552</v>
      </c>
      <c r="T91" s="498">
        <f t="shared" ref="T91:V91" si="123">+T81+T88+T90</f>
        <v>347952</v>
      </c>
      <c r="U91" s="498">
        <f t="shared" si="123"/>
        <v>0</v>
      </c>
      <c r="V91" s="499">
        <f t="shared" si="123"/>
        <v>347952</v>
      </c>
      <c r="W91" s="497">
        <f t="shared" si="120"/>
        <v>123238</v>
      </c>
      <c r="X91" s="498">
        <f t="shared" ref="X91:Z91" si="124">+X81+X88+X90</f>
        <v>123238</v>
      </c>
      <c r="Y91" s="498">
        <f t="shared" si="124"/>
        <v>0</v>
      </c>
      <c r="Z91" s="499">
        <f t="shared" si="124"/>
        <v>123238</v>
      </c>
      <c r="AA91" s="497">
        <f t="shared" si="120"/>
        <v>0</v>
      </c>
      <c r="AB91" s="498">
        <f t="shared" ref="AB91:AD91" si="125">+AB81+AB88+AB90</f>
        <v>5490</v>
      </c>
      <c r="AC91" s="498">
        <f t="shared" si="125"/>
        <v>0</v>
      </c>
      <c r="AD91" s="499">
        <f t="shared" si="125"/>
        <v>5490</v>
      </c>
      <c r="AE91" s="497">
        <f t="shared" si="120"/>
        <v>73726</v>
      </c>
      <c r="AF91" s="498">
        <f t="shared" ref="AF91:AG91" si="126">+AF81+AF88+AF90</f>
        <v>73726</v>
      </c>
      <c r="AG91" s="498">
        <f t="shared" si="126"/>
        <v>0</v>
      </c>
      <c r="AH91" s="499">
        <f t="shared" si="120"/>
        <v>73726</v>
      </c>
      <c r="AI91" s="497">
        <f t="shared" si="120"/>
        <v>32276</v>
      </c>
      <c r="AJ91" s="498">
        <f t="shared" ref="AJ91:AL91" si="127">+AJ81+AJ88+AJ90</f>
        <v>32276</v>
      </c>
      <c r="AK91" s="498">
        <f t="shared" si="127"/>
        <v>0</v>
      </c>
      <c r="AL91" s="499">
        <f t="shared" si="127"/>
        <v>32276</v>
      </c>
      <c r="AM91" s="497">
        <f t="shared" si="120"/>
        <v>40350</v>
      </c>
      <c r="AN91" s="498">
        <f t="shared" ref="AN91:AP91" si="128">+AN81+AN88+AN90</f>
        <v>40350</v>
      </c>
      <c r="AO91" s="498">
        <f t="shared" si="128"/>
        <v>0</v>
      </c>
      <c r="AP91" s="499">
        <f t="shared" si="128"/>
        <v>40350</v>
      </c>
      <c r="AQ91" s="497">
        <f t="shared" si="120"/>
        <v>1100</v>
      </c>
      <c r="AR91" s="498">
        <f t="shared" ref="AR91:AT91" si="129">+AR81+AR88+AR90</f>
        <v>1100</v>
      </c>
      <c r="AS91" s="498">
        <f t="shared" si="129"/>
        <v>0</v>
      </c>
      <c r="AT91" s="499">
        <f t="shared" si="129"/>
        <v>1100</v>
      </c>
      <c r="AU91" s="483"/>
      <c r="AV91" s="483"/>
      <c r="AW91" s="483"/>
      <c r="AX91" s="483"/>
      <c r="AY91" s="483"/>
    </row>
    <row r="92" spans="1:51" ht="12.75" thickBot="1">
      <c r="A92" s="827"/>
      <c r="B92" s="837"/>
      <c r="C92" s="924"/>
      <c r="D92" s="526"/>
      <c r="E92" s="919"/>
      <c r="F92" s="500"/>
      <c r="G92" s="501"/>
      <c r="H92" s="502"/>
      <c r="I92" s="502"/>
      <c r="J92" s="503"/>
      <c r="K92" s="501"/>
      <c r="L92" s="502"/>
      <c r="M92" s="502"/>
      <c r="N92" s="503"/>
      <c r="O92" s="501"/>
      <c r="P92" s="502"/>
      <c r="Q92" s="502"/>
      <c r="R92" s="503"/>
      <c r="S92" s="501"/>
      <c r="T92" s="502"/>
      <c r="U92" s="502"/>
      <c r="V92" s="503"/>
      <c r="W92" s="501"/>
      <c r="X92" s="502"/>
      <c r="Y92" s="502"/>
      <c r="Z92" s="503"/>
      <c r="AA92" s="501"/>
      <c r="AB92" s="502"/>
      <c r="AC92" s="502"/>
      <c r="AD92" s="503"/>
      <c r="AE92" s="501"/>
      <c r="AF92" s="502"/>
      <c r="AG92" s="502"/>
      <c r="AH92" s="503"/>
      <c r="AI92" s="501"/>
      <c r="AJ92" s="502"/>
      <c r="AK92" s="502"/>
      <c r="AL92" s="503"/>
      <c r="AM92" s="501"/>
      <c r="AN92" s="502"/>
      <c r="AO92" s="502"/>
      <c r="AP92" s="503"/>
      <c r="AQ92" s="501"/>
      <c r="AR92" s="502"/>
      <c r="AS92" s="502"/>
      <c r="AT92" s="503"/>
      <c r="AU92" s="483"/>
      <c r="AV92" s="483"/>
      <c r="AW92" s="483"/>
      <c r="AX92" s="483"/>
      <c r="AY92" s="483"/>
    </row>
    <row r="93" spans="1:51" s="493" customFormat="1">
      <c r="A93" s="533">
        <f>A89+1</f>
        <v>81</v>
      </c>
      <c r="B93" s="838">
        <v>12</v>
      </c>
      <c r="C93" s="1004" t="s">
        <v>667</v>
      </c>
      <c r="D93" s="948" t="s">
        <v>666</v>
      </c>
      <c r="E93" s="1005" t="s">
        <v>1225</v>
      </c>
      <c r="F93" s="1006" t="s">
        <v>995</v>
      </c>
      <c r="G93" s="1425">
        <f t="shared" ref="G93:J97" si="130">+K93+AE93</f>
        <v>0</v>
      </c>
      <c r="H93" s="1426">
        <f t="shared" si="130"/>
        <v>0</v>
      </c>
      <c r="I93" s="1426">
        <f t="shared" si="130"/>
        <v>0</v>
      </c>
      <c r="J93" s="472">
        <f t="shared" si="130"/>
        <v>0</v>
      </c>
      <c r="K93" s="1425">
        <f t="shared" ref="K93:N97" si="131">+O93+S93+W93+AA93</f>
        <v>0</v>
      </c>
      <c r="L93" s="1426">
        <f t="shared" si="131"/>
        <v>0</v>
      </c>
      <c r="M93" s="1426">
        <f t="shared" si="131"/>
        <v>0</v>
      </c>
      <c r="N93" s="472">
        <f t="shared" si="131"/>
        <v>0</v>
      </c>
      <c r="O93" s="1017"/>
      <c r="P93" s="1018"/>
      <c r="Q93" s="1018"/>
      <c r="R93" s="1019">
        <f t="shared" ref="R93:R97" si="132">+P93+Q93</f>
        <v>0</v>
      </c>
      <c r="S93" s="1017"/>
      <c r="T93" s="1018"/>
      <c r="U93" s="1018"/>
      <c r="V93" s="1019">
        <f t="shared" ref="V93:V97" si="133">+T93+U93</f>
        <v>0</v>
      </c>
      <c r="W93" s="1017"/>
      <c r="X93" s="1018"/>
      <c r="Y93" s="1018"/>
      <c r="Z93" s="1019">
        <f t="shared" ref="Z93:Z97" si="134">+X93+Y93</f>
        <v>0</v>
      </c>
      <c r="AA93" s="1017"/>
      <c r="AB93" s="1018"/>
      <c r="AC93" s="1018"/>
      <c r="AD93" s="1019">
        <f t="shared" ref="AD93:AD97" si="135">+AB93+AC93</f>
        <v>0</v>
      </c>
      <c r="AE93" s="1425">
        <f t="shared" ref="AE93:AH97" si="136">+AI93+AM93+AQ93</f>
        <v>0</v>
      </c>
      <c r="AF93" s="1426">
        <f t="shared" si="136"/>
        <v>0</v>
      </c>
      <c r="AG93" s="1426">
        <f t="shared" si="136"/>
        <v>0</v>
      </c>
      <c r="AH93" s="472">
        <f t="shared" si="136"/>
        <v>0</v>
      </c>
      <c r="AI93" s="1017"/>
      <c r="AJ93" s="1018"/>
      <c r="AK93" s="1018"/>
      <c r="AL93" s="1019">
        <f t="shared" ref="AL93:AL97" si="137">+AJ93+AK93</f>
        <v>0</v>
      </c>
      <c r="AM93" s="1017"/>
      <c r="AN93" s="1018"/>
      <c r="AO93" s="1018"/>
      <c r="AP93" s="1019">
        <f t="shared" ref="AP93:AP97" si="138">+AN93+AO93</f>
        <v>0</v>
      </c>
      <c r="AQ93" s="1017"/>
      <c r="AR93" s="1018"/>
      <c r="AS93" s="1018"/>
      <c r="AT93" s="1019">
        <f t="shared" ref="AT93:AT97" si="139">+AR93+AS93</f>
        <v>0</v>
      </c>
      <c r="AU93" s="483"/>
      <c r="AV93" s="483"/>
      <c r="AW93" s="483"/>
      <c r="AX93" s="483"/>
      <c r="AY93" s="483"/>
    </row>
    <row r="94" spans="1:51" s="485" customFormat="1" ht="24">
      <c r="A94" s="532">
        <f>+A93+1</f>
        <v>82</v>
      </c>
      <c r="B94" s="833">
        <v>13</v>
      </c>
      <c r="C94" s="996" t="s">
        <v>1037</v>
      </c>
      <c r="D94" s="940" t="s">
        <v>1255</v>
      </c>
      <c r="E94" s="994" t="s">
        <v>1225</v>
      </c>
      <c r="F94" s="1003" t="s">
        <v>1248</v>
      </c>
      <c r="G94" s="1417">
        <f t="shared" si="130"/>
        <v>0</v>
      </c>
      <c r="H94" s="1418">
        <f t="shared" si="130"/>
        <v>0</v>
      </c>
      <c r="I94" s="1418">
        <f t="shared" si="130"/>
        <v>0</v>
      </c>
      <c r="J94" s="473">
        <f t="shared" si="130"/>
        <v>0</v>
      </c>
      <c r="K94" s="1417">
        <f t="shared" si="131"/>
        <v>0</v>
      </c>
      <c r="L94" s="1418">
        <f t="shared" si="131"/>
        <v>0</v>
      </c>
      <c r="M94" s="1418">
        <f t="shared" si="131"/>
        <v>0</v>
      </c>
      <c r="N94" s="473">
        <f t="shared" si="131"/>
        <v>0</v>
      </c>
      <c r="O94" s="1014"/>
      <c r="P94" s="1015"/>
      <c r="Q94" s="1015"/>
      <c r="R94" s="1016">
        <f t="shared" si="132"/>
        <v>0</v>
      </c>
      <c r="S94" s="1014"/>
      <c r="T94" s="1015"/>
      <c r="U94" s="1015"/>
      <c r="V94" s="1016">
        <f t="shared" si="133"/>
        <v>0</v>
      </c>
      <c r="W94" s="1014"/>
      <c r="X94" s="1015"/>
      <c r="Y94" s="1015"/>
      <c r="Z94" s="1016">
        <f t="shared" si="134"/>
        <v>0</v>
      </c>
      <c r="AA94" s="1014"/>
      <c r="AB94" s="1015"/>
      <c r="AC94" s="1015"/>
      <c r="AD94" s="1016">
        <f t="shared" si="135"/>
        <v>0</v>
      </c>
      <c r="AE94" s="1417">
        <f t="shared" si="136"/>
        <v>0</v>
      </c>
      <c r="AF94" s="1418">
        <f t="shared" si="136"/>
        <v>0</v>
      </c>
      <c r="AG94" s="1418">
        <f t="shared" si="136"/>
        <v>0</v>
      </c>
      <c r="AH94" s="473">
        <f t="shared" si="136"/>
        <v>0</v>
      </c>
      <c r="AI94" s="1014"/>
      <c r="AJ94" s="1015"/>
      <c r="AK94" s="1015"/>
      <c r="AL94" s="1016">
        <f t="shared" si="137"/>
        <v>0</v>
      </c>
      <c r="AM94" s="1014"/>
      <c r="AN94" s="1015"/>
      <c r="AO94" s="1015"/>
      <c r="AP94" s="1016">
        <f t="shared" si="138"/>
        <v>0</v>
      </c>
      <c r="AQ94" s="1014"/>
      <c r="AR94" s="1015"/>
      <c r="AS94" s="1015"/>
      <c r="AT94" s="1016">
        <f t="shared" si="139"/>
        <v>0</v>
      </c>
      <c r="AU94" s="483"/>
      <c r="AV94" s="483"/>
      <c r="AW94" s="483"/>
      <c r="AX94" s="483"/>
      <c r="AY94" s="483"/>
    </row>
    <row r="95" spans="1:51">
      <c r="A95" s="532">
        <f t="shared" ref="A95:A97" si="140">+A94+1</f>
        <v>83</v>
      </c>
      <c r="B95" s="833">
        <v>14</v>
      </c>
      <c r="C95" s="996" t="s">
        <v>701</v>
      </c>
      <c r="D95" s="940" t="s">
        <v>700</v>
      </c>
      <c r="E95" s="995" t="s">
        <v>1229</v>
      </c>
      <c r="F95" s="1001" t="s">
        <v>776</v>
      </c>
      <c r="G95" s="1421">
        <f t="shared" si="130"/>
        <v>8308</v>
      </c>
      <c r="H95" s="1422">
        <f t="shared" si="130"/>
        <v>8308</v>
      </c>
      <c r="I95" s="1422">
        <f t="shared" si="130"/>
        <v>0</v>
      </c>
      <c r="J95" s="489">
        <f t="shared" si="130"/>
        <v>8308</v>
      </c>
      <c r="K95" s="1421">
        <f t="shared" si="131"/>
        <v>8308</v>
      </c>
      <c r="L95" s="1422">
        <f t="shared" si="131"/>
        <v>8308</v>
      </c>
      <c r="M95" s="1422">
        <f t="shared" si="131"/>
        <v>0</v>
      </c>
      <c r="N95" s="489">
        <f t="shared" si="131"/>
        <v>8308</v>
      </c>
      <c r="O95" s="1014"/>
      <c r="P95" s="1015"/>
      <c r="Q95" s="1015"/>
      <c r="R95" s="1016">
        <f t="shared" si="132"/>
        <v>0</v>
      </c>
      <c r="S95" s="1014"/>
      <c r="T95" s="1015"/>
      <c r="U95" s="1015"/>
      <c r="V95" s="1016">
        <f t="shared" si="133"/>
        <v>0</v>
      </c>
      <c r="W95" s="1014">
        <v>8308</v>
      </c>
      <c r="X95" s="1015">
        <v>8308</v>
      </c>
      <c r="Y95" s="1015"/>
      <c r="Z95" s="1016">
        <f t="shared" si="134"/>
        <v>8308</v>
      </c>
      <c r="AA95" s="1014"/>
      <c r="AB95" s="1015"/>
      <c r="AC95" s="1015"/>
      <c r="AD95" s="1016">
        <f t="shared" si="135"/>
        <v>0</v>
      </c>
      <c r="AE95" s="1421">
        <f t="shared" si="136"/>
        <v>0</v>
      </c>
      <c r="AF95" s="1422">
        <f t="shared" si="136"/>
        <v>0</v>
      </c>
      <c r="AG95" s="1422">
        <f t="shared" si="136"/>
        <v>0</v>
      </c>
      <c r="AH95" s="489">
        <f t="shared" si="136"/>
        <v>0</v>
      </c>
      <c r="AI95" s="1014"/>
      <c r="AJ95" s="1015"/>
      <c r="AK95" s="1015"/>
      <c r="AL95" s="1016">
        <f t="shared" si="137"/>
        <v>0</v>
      </c>
      <c r="AM95" s="1014"/>
      <c r="AN95" s="1015"/>
      <c r="AO95" s="1015"/>
      <c r="AP95" s="1016">
        <f t="shared" si="138"/>
        <v>0</v>
      </c>
      <c r="AQ95" s="1014"/>
      <c r="AR95" s="1015"/>
      <c r="AS95" s="1015"/>
      <c r="AT95" s="1016">
        <f t="shared" si="139"/>
        <v>0</v>
      </c>
      <c r="AU95" s="483"/>
      <c r="AV95" s="483"/>
      <c r="AW95" s="483"/>
      <c r="AX95" s="483"/>
      <c r="AY95" s="483"/>
    </row>
    <row r="96" spans="1:51">
      <c r="A96" s="532">
        <f t="shared" si="140"/>
        <v>84</v>
      </c>
      <c r="B96" s="833">
        <v>14</v>
      </c>
      <c r="C96" s="996" t="s">
        <v>701</v>
      </c>
      <c r="D96" s="940" t="s">
        <v>700</v>
      </c>
      <c r="E96" s="995" t="s">
        <v>1229</v>
      </c>
      <c r="F96" s="1001" t="s">
        <v>1040</v>
      </c>
      <c r="G96" s="1421">
        <f t="shared" si="130"/>
        <v>1000</v>
      </c>
      <c r="H96" s="1422">
        <f t="shared" si="130"/>
        <v>1000</v>
      </c>
      <c r="I96" s="1422">
        <f t="shared" si="130"/>
        <v>0</v>
      </c>
      <c r="J96" s="489">
        <f t="shared" si="130"/>
        <v>1000</v>
      </c>
      <c r="K96" s="1421">
        <f t="shared" si="131"/>
        <v>1000</v>
      </c>
      <c r="L96" s="1422">
        <f t="shared" si="131"/>
        <v>1000</v>
      </c>
      <c r="M96" s="1422">
        <f t="shared" si="131"/>
        <v>0</v>
      </c>
      <c r="N96" s="489">
        <f t="shared" si="131"/>
        <v>1000</v>
      </c>
      <c r="O96" s="1014"/>
      <c r="P96" s="1015"/>
      <c r="Q96" s="1015"/>
      <c r="R96" s="1016">
        <f t="shared" si="132"/>
        <v>0</v>
      </c>
      <c r="S96" s="1014"/>
      <c r="T96" s="1015"/>
      <c r="U96" s="1015"/>
      <c r="V96" s="1016">
        <f t="shared" si="133"/>
        <v>0</v>
      </c>
      <c r="W96" s="1014">
        <v>1000</v>
      </c>
      <c r="X96" s="1015">
        <v>1000</v>
      </c>
      <c r="Y96" s="1015"/>
      <c r="Z96" s="1016">
        <f t="shared" si="134"/>
        <v>1000</v>
      </c>
      <c r="AA96" s="1014"/>
      <c r="AB96" s="1015"/>
      <c r="AC96" s="1015"/>
      <c r="AD96" s="1016">
        <f t="shared" si="135"/>
        <v>0</v>
      </c>
      <c r="AE96" s="1421">
        <f t="shared" si="136"/>
        <v>0</v>
      </c>
      <c r="AF96" s="1422">
        <f t="shared" si="136"/>
        <v>0</v>
      </c>
      <c r="AG96" s="1422">
        <f t="shared" si="136"/>
        <v>0</v>
      </c>
      <c r="AH96" s="489">
        <f t="shared" si="136"/>
        <v>0</v>
      </c>
      <c r="AI96" s="1014"/>
      <c r="AJ96" s="1015"/>
      <c r="AK96" s="1015"/>
      <c r="AL96" s="1016">
        <f t="shared" si="137"/>
        <v>0</v>
      </c>
      <c r="AM96" s="1014"/>
      <c r="AN96" s="1015"/>
      <c r="AO96" s="1015"/>
      <c r="AP96" s="1016">
        <f t="shared" si="138"/>
        <v>0</v>
      </c>
      <c r="AQ96" s="1014"/>
      <c r="AR96" s="1015"/>
      <c r="AS96" s="1015"/>
      <c r="AT96" s="1016">
        <f t="shared" si="139"/>
        <v>0</v>
      </c>
      <c r="AU96" s="483"/>
      <c r="AV96" s="483"/>
      <c r="AW96" s="483"/>
      <c r="AX96" s="483"/>
      <c r="AY96" s="483"/>
    </row>
    <row r="97" spans="1:51" ht="12.75" thickBot="1">
      <c r="A97" s="532">
        <f t="shared" si="140"/>
        <v>85</v>
      </c>
      <c r="B97" s="833">
        <v>14</v>
      </c>
      <c r="C97" s="996" t="s">
        <v>1002</v>
      </c>
      <c r="D97" s="940" t="s">
        <v>1003</v>
      </c>
      <c r="E97" s="995" t="s">
        <v>1225</v>
      </c>
      <c r="F97" s="1001" t="s">
        <v>995</v>
      </c>
      <c r="G97" s="1421">
        <f t="shared" si="130"/>
        <v>0</v>
      </c>
      <c r="H97" s="1422">
        <f t="shared" si="130"/>
        <v>0</v>
      </c>
      <c r="I97" s="1422">
        <f t="shared" si="130"/>
        <v>0</v>
      </c>
      <c r="J97" s="489">
        <f t="shared" si="130"/>
        <v>0</v>
      </c>
      <c r="K97" s="1421">
        <f t="shared" si="131"/>
        <v>0</v>
      </c>
      <c r="L97" s="1422">
        <f t="shared" si="131"/>
        <v>0</v>
      </c>
      <c r="M97" s="1422">
        <f t="shared" si="131"/>
        <v>0</v>
      </c>
      <c r="N97" s="489">
        <f t="shared" si="131"/>
        <v>0</v>
      </c>
      <c r="O97" s="1014"/>
      <c r="P97" s="1015"/>
      <c r="Q97" s="1015"/>
      <c r="R97" s="1016">
        <f t="shared" si="132"/>
        <v>0</v>
      </c>
      <c r="S97" s="1014"/>
      <c r="T97" s="1015"/>
      <c r="U97" s="1015"/>
      <c r="V97" s="1016">
        <f t="shared" si="133"/>
        <v>0</v>
      </c>
      <c r="W97" s="1014"/>
      <c r="X97" s="1015"/>
      <c r="Y97" s="1015"/>
      <c r="Z97" s="1016">
        <f t="shared" si="134"/>
        <v>0</v>
      </c>
      <c r="AA97" s="1014"/>
      <c r="AB97" s="1015"/>
      <c r="AC97" s="1015"/>
      <c r="AD97" s="1016">
        <f t="shared" si="135"/>
        <v>0</v>
      </c>
      <c r="AE97" s="1421">
        <f t="shared" si="136"/>
        <v>0</v>
      </c>
      <c r="AF97" s="1422">
        <f t="shared" si="136"/>
        <v>0</v>
      </c>
      <c r="AG97" s="1422">
        <f t="shared" si="136"/>
        <v>0</v>
      </c>
      <c r="AH97" s="489">
        <f t="shared" si="136"/>
        <v>0</v>
      </c>
      <c r="AI97" s="1014"/>
      <c r="AJ97" s="1015"/>
      <c r="AK97" s="1015"/>
      <c r="AL97" s="1016">
        <f t="shared" si="137"/>
        <v>0</v>
      </c>
      <c r="AM97" s="1014"/>
      <c r="AN97" s="1015"/>
      <c r="AO97" s="1015"/>
      <c r="AP97" s="1016">
        <f t="shared" si="138"/>
        <v>0</v>
      </c>
      <c r="AQ97" s="1014"/>
      <c r="AR97" s="1015"/>
      <c r="AS97" s="1015"/>
      <c r="AT97" s="1016">
        <f t="shared" si="139"/>
        <v>0</v>
      </c>
      <c r="AU97" s="483"/>
      <c r="AV97" s="483"/>
      <c r="AW97" s="483"/>
      <c r="AX97" s="483"/>
      <c r="AY97" s="483"/>
    </row>
    <row r="98" spans="1:51" s="481" customFormat="1" ht="12.75" thickBot="1">
      <c r="A98" s="528" t="s">
        <v>590</v>
      </c>
      <c r="B98" s="835"/>
      <c r="C98" s="1540" t="s">
        <v>869</v>
      </c>
      <c r="D98" s="1541"/>
      <c r="E98" s="1541"/>
      <c r="F98" s="1542"/>
      <c r="G98" s="517">
        <f t="shared" ref="G98" si="141">SUM(G93:G97)</f>
        <v>9308</v>
      </c>
      <c r="H98" s="518">
        <f t="shared" ref="H98:I98" si="142">SUM(H93:H97)</f>
        <v>9308</v>
      </c>
      <c r="I98" s="518">
        <f t="shared" si="142"/>
        <v>0</v>
      </c>
      <c r="J98" s="413">
        <f t="shared" ref="J98:AQ98" si="143">SUM(J93:J97)</f>
        <v>9308</v>
      </c>
      <c r="K98" s="517">
        <f t="shared" si="143"/>
        <v>9308</v>
      </c>
      <c r="L98" s="518">
        <f t="shared" ref="L98:M98" si="144">SUM(L93:L97)</f>
        <v>9308</v>
      </c>
      <c r="M98" s="518">
        <f t="shared" si="144"/>
        <v>0</v>
      </c>
      <c r="N98" s="413">
        <f t="shared" si="143"/>
        <v>9308</v>
      </c>
      <c r="O98" s="495">
        <f t="shared" si="143"/>
        <v>0</v>
      </c>
      <c r="P98" s="356">
        <f t="shared" ref="P98:Q98" si="145">SUM(P93:P97)</f>
        <v>0</v>
      </c>
      <c r="Q98" s="356">
        <f t="shared" si="145"/>
        <v>0</v>
      </c>
      <c r="R98" s="343">
        <f t="shared" si="143"/>
        <v>0</v>
      </c>
      <c r="S98" s="495">
        <f t="shared" si="143"/>
        <v>0</v>
      </c>
      <c r="T98" s="356">
        <f t="shared" ref="T98:V98" si="146">SUM(T93:T97)</f>
        <v>0</v>
      </c>
      <c r="U98" s="356">
        <f t="shared" si="146"/>
        <v>0</v>
      </c>
      <c r="V98" s="343">
        <f t="shared" si="146"/>
        <v>0</v>
      </c>
      <c r="W98" s="495">
        <f t="shared" si="143"/>
        <v>9308</v>
      </c>
      <c r="X98" s="356">
        <f t="shared" ref="X98:Z98" si="147">SUM(X93:X97)</f>
        <v>9308</v>
      </c>
      <c r="Y98" s="356">
        <f t="shared" si="147"/>
        <v>0</v>
      </c>
      <c r="Z98" s="343">
        <f t="shared" si="147"/>
        <v>9308</v>
      </c>
      <c r="AA98" s="495">
        <f t="shared" si="143"/>
        <v>0</v>
      </c>
      <c r="AB98" s="356">
        <f t="shared" ref="AB98:AD98" si="148">SUM(AB93:AB97)</f>
        <v>0</v>
      </c>
      <c r="AC98" s="356">
        <f t="shared" si="148"/>
        <v>0</v>
      </c>
      <c r="AD98" s="343">
        <f t="shared" si="148"/>
        <v>0</v>
      </c>
      <c r="AE98" s="517">
        <f t="shared" si="143"/>
        <v>0</v>
      </c>
      <c r="AF98" s="518">
        <f t="shared" ref="AF98:AG98" si="149">SUM(AF93:AF97)</f>
        <v>0</v>
      </c>
      <c r="AG98" s="518">
        <f t="shared" si="149"/>
        <v>0</v>
      </c>
      <c r="AH98" s="413">
        <f t="shared" si="143"/>
        <v>0</v>
      </c>
      <c r="AI98" s="495">
        <f t="shared" si="143"/>
        <v>0</v>
      </c>
      <c r="AJ98" s="356">
        <f t="shared" ref="AJ98:AL98" si="150">SUM(AJ93:AJ97)</f>
        <v>0</v>
      </c>
      <c r="AK98" s="356">
        <f t="shared" si="150"/>
        <v>0</v>
      </c>
      <c r="AL98" s="343">
        <f t="shared" si="150"/>
        <v>0</v>
      </c>
      <c r="AM98" s="495">
        <f t="shared" si="143"/>
        <v>0</v>
      </c>
      <c r="AN98" s="356">
        <f t="shared" ref="AN98:AP98" si="151">SUM(AN93:AN97)</f>
        <v>0</v>
      </c>
      <c r="AO98" s="356">
        <f t="shared" si="151"/>
        <v>0</v>
      </c>
      <c r="AP98" s="343">
        <f t="shared" si="151"/>
        <v>0</v>
      </c>
      <c r="AQ98" s="495">
        <f t="shared" si="143"/>
        <v>0</v>
      </c>
      <c r="AR98" s="356">
        <f t="shared" ref="AR98:AT98" si="152">SUM(AR93:AR97)</f>
        <v>0</v>
      </c>
      <c r="AS98" s="356">
        <f t="shared" si="152"/>
        <v>0</v>
      </c>
      <c r="AT98" s="343">
        <f t="shared" si="152"/>
        <v>0</v>
      </c>
      <c r="AU98" s="483"/>
      <c r="AV98" s="483"/>
      <c r="AW98" s="483"/>
      <c r="AX98" s="483"/>
      <c r="AY98" s="483"/>
    </row>
    <row r="99" spans="1:51" s="493" customFormat="1">
      <c r="A99" s="532">
        <f>+A97+1</f>
        <v>86</v>
      </c>
      <c r="B99" s="833">
        <v>15</v>
      </c>
      <c r="C99" s="996" t="s">
        <v>667</v>
      </c>
      <c r="D99" s="940" t="s">
        <v>666</v>
      </c>
      <c r="E99" s="995" t="s">
        <v>1238</v>
      </c>
      <c r="F99" s="1001" t="s">
        <v>416</v>
      </c>
      <c r="G99" s="1421">
        <f t="shared" ref="G99:J101" si="153">+K99+AE99</f>
        <v>32151</v>
      </c>
      <c r="H99" s="1422">
        <f t="shared" si="153"/>
        <v>32151</v>
      </c>
      <c r="I99" s="1422">
        <f t="shared" si="153"/>
        <v>0</v>
      </c>
      <c r="J99" s="489">
        <f t="shared" si="153"/>
        <v>32151</v>
      </c>
      <c r="K99" s="1421">
        <f t="shared" ref="K99:N101" si="154">+O99+S99+W99+AA99</f>
        <v>32151</v>
      </c>
      <c r="L99" s="1422">
        <f t="shared" si="154"/>
        <v>32151</v>
      </c>
      <c r="M99" s="1422">
        <f t="shared" si="154"/>
        <v>0</v>
      </c>
      <c r="N99" s="489">
        <f t="shared" si="154"/>
        <v>32151</v>
      </c>
      <c r="O99" s="1014"/>
      <c r="P99" s="1015"/>
      <c r="Q99" s="1015"/>
      <c r="R99" s="1016">
        <f t="shared" ref="R99:R101" si="155">+P99+Q99</f>
        <v>0</v>
      </c>
      <c r="S99" s="1014"/>
      <c r="T99" s="1015"/>
      <c r="U99" s="1015"/>
      <c r="V99" s="1016">
        <f t="shared" ref="V99:V101" si="156">+T99+U99</f>
        <v>0</v>
      </c>
      <c r="W99" s="1014">
        <v>32151</v>
      </c>
      <c r="X99" s="1015">
        <v>32151</v>
      </c>
      <c r="Y99" s="1015"/>
      <c r="Z99" s="1016">
        <f t="shared" ref="Z99:Z101" si="157">+X99+Y99</f>
        <v>32151</v>
      </c>
      <c r="AA99" s="1014"/>
      <c r="AB99" s="1015"/>
      <c r="AC99" s="1015"/>
      <c r="AD99" s="1016">
        <f t="shared" ref="AD99:AD101" si="158">+AB99+AC99</f>
        <v>0</v>
      </c>
      <c r="AE99" s="1421">
        <f t="shared" ref="AE99:AH101" si="159">+AI99+AM99+AQ99</f>
        <v>0</v>
      </c>
      <c r="AF99" s="1422">
        <f t="shared" si="159"/>
        <v>0</v>
      </c>
      <c r="AG99" s="1422">
        <f t="shared" si="159"/>
        <v>0</v>
      </c>
      <c r="AH99" s="489">
        <f t="shared" si="159"/>
        <v>0</v>
      </c>
      <c r="AI99" s="1014"/>
      <c r="AJ99" s="1015"/>
      <c r="AK99" s="1015"/>
      <c r="AL99" s="1016">
        <f t="shared" ref="AL99:AL101" si="160">+AJ99+AK99</f>
        <v>0</v>
      </c>
      <c r="AM99" s="1014"/>
      <c r="AN99" s="1015"/>
      <c r="AO99" s="1015"/>
      <c r="AP99" s="1016">
        <f t="shared" ref="AP99:AP101" si="161">+AN99+AO99</f>
        <v>0</v>
      </c>
      <c r="AQ99" s="1014"/>
      <c r="AR99" s="1015"/>
      <c r="AS99" s="1015"/>
      <c r="AT99" s="1016">
        <f t="shared" ref="AT99:AT101" si="162">+AR99+AS99</f>
        <v>0</v>
      </c>
      <c r="AU99" s="483"/>
      <c r="AV99" s="483"/>
      <c r="AW99" s="483"/>
      <c r="AX99" s="483"/>
      <c r="AY99" s="483"/>
    </row>
    <row r="100" spans="1:51" s="493" customFormat="1">
      <c r="A100" s="532">
        <f>+A99+1</f>
        <v>87</v>
      </c>
      <c r="B100" s="833">
        <v>16</v>
      </c>
      <c r="C100" s="996" t="s">
        <v>1073</v>
      </c>
      <c r="D100" s="940" t="s">
        <v>732</v>
      </c>
      <c r="E100" s="995" t="s">
        <v>1225</v>
      </c>
      <c r="F100" s="1001" t="s">
        <v>647</v>
      </c>
      <c r="G100" s="1421">
        <f t="shared" si="153"/>
        <v>0</v>
      </c>
      <c r="H100" s="1422">
        <f t="shared" si="153"/>
        <v>0</v>
      </c>
      <c r="I100" s="1422">
        <f t="shared" si="153"/>
        <v>0</v>
      </c>
      <c r="J100" s="489">
        <f t="shared" si="153"/>
        <v>0</v>
      </c>
      <c r="K100" s="1421">
        <f t="shared" si="154"/>
        <v>0</v>
      </c>
      <c r="L100" s="1422">
        <f t="shared" si="154"/>
        <v>0</v>
      </c>
      <c r="M100" s="1422">
        <f t="shared" si="154"/>
        <v>0</v>
      </c>
      <c r="N100" s="489">
        <f t="shared" si="154"/>
        <v>0</v>
      </c>
      <c r="O100" s="1014"/>
      <c r="P100" s="1015"/>
      <c r="Q100" s="1015"/>
      <c r="R100" s="1016">
        <f t="shared" si="155"/>
        <v>0</v>
      </c>
      <c r="S100" s="1014"/>
      <c r="T100" s="1015"/>
      <c r="U100" s="1015"/>
      <c r="V100" s="1016">
        <f t="shared" si="156"/>
        <v>0</v>
      </c>
      <c r="W100" s="1014"/>
      <c r="X100" s="1015"/>
      <c r="Y100" s="1015"/>
      <c r="Z100" s="1016">
        <f t="shared" si="157"/>
        <v>0</v>
      </c>
      <c r="AA100" s="1014"/>
      <c r="AB100" s="1015"/>
      <c r="AC100" s="1015"/>
      <c r="AD100" s="1016">
        <f t="shared" si="158"/>
        <v>0</v>
      </c>
      <c r="AE100" s="1421">
        <f t="shared" si="159"/>
        <v>0</v>
      </c>
      <c r="AF100" s="1422">
        <f t="shared" si="159"/>
        <v>0</v>
      </c>
      <c r="AG100" s="1422">
        <f t="shared" si="159"/>
        <v>0</v>
      </c>
      <c r="AH100" s="489">
        <f t="shared" si="159"/>
        <v>0</v>
      </c>
      <c r="AI100" s="1014"/>
      <c r="AJ100" s="1015"/>
      <c r="AK100" s="1015"/>
      <c r="AL100" s="1016">
        <f t="shared" si="160"/>
        <v>0</v>
      </c>
      <c r="AM100" s="1014"/>
      <c r="AN100" s="1015"/>
      <c r="AO100" s="1015"/>
      <c r="AP100" s="1016">
        <f t="shared" si="161"/>
        <v>0</v>
      </c>
      <c r="AQ100" s="1014"/>
      <c r="AR100" s="1015"/>
      <c r="AS100" s="1015"/>
      <c r="AT100" s="1016">
        <f t="shared" si="162"/>
        <v>0</v>
      </c>
      <c r="AU100" s="483"/>
      <c r="AV100" s="483"/>
      <c r="AW100" s="483"/>
      <c r="AX100" s="483"/>
      <c r="AY100" s="483"/>
    </row>
    <row r="101" spans="1:51" s="493" customFormat="1" ht="12.75" thickBot="1">
      <c r="A101" s="532">
        <f>+A100+1</f>
        <v>88</v>
      </c>
      <c r="B101" s="833">
        <v>17</v>
      </c>
      <c r="C101" s="996" t="s">
        <v>734</v>
      </c>
      <c r="D101" s="940" t="s">
        <v>735</v>
      </c>
      <c r="E101" s="995" t="s">
        <v>1225</v>
      </c>
      <c r="F101" s="1001" t="s">
        <v>660</v>
      </c>
      <c r="G101" s="1421">
        <f t="shared" si="153"/>
        <v>0</v>
      </c>
      <c r="H101" s="1422">
        <f t="shared" si="153"/>
        <v>0</v>
      </c>
      <c r="I101" s="1422">
        <f t="shared" si="153"/>
        <v>0</v>
      </c>
      <c r="J101" s="489">
        <f t="shared" si="153"/>
        <v>0</v>
      </c>
      <c r="K101" s="1421">
        <f t="shared" si="154"/>
        <v>0</v>
      </c>
      <c r="L101" s="1422">
        <f t="shared" si="154"/>
        <v>0</v>
      </c>
      <c r="M101" s="1422">
        <f t="shared" si="154"/>
        <v>0</v>
      </c>
      <c r="N101" s="489">
        <f t="shared" si="154"/>
        <v>0</v>
      </c>
      <c r="O101" s="1014"/>
      <c r="P101" s="1015"/>
      <c r="Q101" s="1015"/>
      <c r="R101" s="1016">
        <f t="shared" si="155"/>
        <v>0</v>
      </c>
      <c r="S101" s="1014"/>
      <c r="T101" s="1015"/>
      <c r="U101" s="1015"/>
      <c r="V101" s="1016">
        <f t="shared" si="156"/>
        <v>0</v>
      </c>
      <c r="W101" s="1014"/>
      <c r="X101" s="1015"/>
      <c r="Y101" s="1015"/>
      <c r="Z101" s="1016">
        <f t="shared" si="157"/>
        <v>0</v>
      </c>
      <c r="AA101" s="1014"/>
      <c r="AB101" s="1015"/>
      <c r="AC101" s="1015"/>
      <c r="AD101" s="1016">
        <f t="shared" si="158"/>
        <v>0</v>
      </c>
      <c r="AE101" s="1421">
        <f t="shared" si="159"/>
        <v>0</v>
      </c>
      <c r="AF101" s="1422">
        <f t="shared" si="159"/>
        <v>0</v>
      </c>
      <c r="AG101" s="1422">
        <f t="shared" si="159"/>
        <v>0</v>
      </c>
      <c r="AH101" s="489">
        <f t="shared" si="159"/>
        <v>0</v>
      </c>
      <c r="AI101" s="1014"/>
      <c r="AJ101" s="1015"/>
      <c r="AK101" s="1015"/>
      <c r="AL101" s="1016">
        <f t="shared" si="160"/>
        <v>0</v>
      </c>
      <c r="AM101" s="1014"/>
      <c r="AN101" s="1015"/>
      <c r="AO101" s="1015"/>
      <c r="AP101" s="1016">
        <f t="shared" si="161"/>
        <v>0</v>
      </c>
      <c r="AQ101" s="1014"/>
      <c r="AR101" s="1015"/>
      <c r="AS101" s="1015"/>
      <c r="AT101" s="1016">
        <f t="shared" si="162"/>
        <v>0</v>
      </c>
      <c r="AU101" s="483"/>
      <c r="AV101" s="483"/>
      <c r="AW101" s="483"/>
      <c r="AX101" s="483"/>
      <c r="AY101" s="483"/>
    </row>
    <row r="102" spans="1:51" s="481" customFormat="1" ht="12.75" thickBot="1">
      <c r="A102" s="528" t="s">
        <v>632</v>
      </c>
      <c r="B102" s="835"/>
      <c r="C102" s="1540" t="s">
        <v>870</v>
      </c>
      <c r="D102" s="1541"/>
      <c r="E102" s="1541"/>
      <c r="F102" s="1542"/>
      <c r="G102" s="517">
        <f>SUM(G99:G101)</f>
        <v>32151</v>
      </c>
      <c r="H102" s="518">
        <f>SUM(H99:H101)</f>
        <v>32151</v>
      </c>
      <c r="I102" s="518">
        <f>SUM(I99:I101)</f>
        <v>0</v>
      </c>
      <c r="J102" s="413">
        <f>SUM(J99:J101)</f>
        <v>32151</v>
      </c>
      <c r="K102" s="517">
        <f t="shared" ref="K102" si="163">SUM(K99:K101)</f>
        <v>32151</v>
      </c>
      <c r="L102" s="518">
        <f t="shared" ref="L102:M102" si="164">SUM(L99:L101)</f>
        <v>32151</v>
      </c>
      <c r="M102" s="518">
        <f t="shared" si="164"/>
        <v>0</v>
      </c>
      <c r="N102" s="413">
        <f t="shared" ref="N102:AQ102" si="165">SUM(N99:N101)</f>
        <v>32151</v>
      </c>
      <c r="O102" s="495">
        <f t="shared" si="165"/>
        <v>0</v>
      </c>
      <c r="P102" s="356">
        <f t="shared" ref="P102:Q102" si="166">SUM(P99:P101)</f>
        <v>0</v>
      </c>
      <c r="Q102" s="356">
        <f t="shared" si="166"/>
        <v>0</v>
      </c>
      <c r="R102" s="343">
        <f t="shared" si="165"/>
        <v>0</v>
      </c>
      <c r="S102" s="495">
        <f t="shared" si="165"/>
        <v>0</v>
      </c>
      <c r="T102" s="356">
        <f t="shared" ref="T102:V102" si="167">SUM(T99:T101)</f>
        <v>0</v>
      </c>
      <c r="U102" s="356">
        <f t="shared" si="167"/>
        <v>0</v>
      </c>
      <c r="V102" s="343">
        <f t="shared" si="167"/>
        <v>0</v>
      </c>
      <c r="W102" s="495">
        <f t="shared" si="165"/>
        <v>32151</v>
      </c>
      <c r="X102" s="356">
        <f t="shared" ref="X102:Z102" si="168">SUM(X99:X101)</f>
        <v>32151</v>
      </c>
      <c r="Y102" s="356">
        <f t="shared" si="168"/>
        <v>0</v>
      </c>
      <c r="Z102" s="343">
        <f t="shared" si="168"/>
        <v>32151</v>
      </c>
      <c r="AA102" s="495">
        <f t="shared" si="165"/>
        <v>0</v>
      </c>
      <c r="AB102" s="356">
        <f t="shared" ref="AB102:AD102" si="169">SUM(AB99:AB101)</f>
        <v>0</v>
      </c>
      <c r="AC102" s="356">
        <f t="shared" si="169"/>
        <v>0</v>
      </c>
      <c r="AD102" s="343">
        <f t="shared" si="169"/>
        <v>0</v>
      </c>
      <c r="AE102" s="517">
        <f t="shared" si="165"/>
        <v>0</v>
      </c>
      <c r="AF102" s="518">
        <f t="shared" ref="AF102:AG102" si="170">SUM(AF99:AF101)</f>
        <v>0</v>
      </c>
      <c r="AG102" s="518">
        <f t="shared" si="170"/>
        <v>0</v>
      </c>
      <c r="AH102" s="413">
        <f t="shared" si="165"/>
        <v>0</v>
      </c>
      <c r="AI102" s="495">
        <f t="shared" si="165"/>
        <v>0</v>
      </c>
      <c r="AJ102" s="356">
        <f t="shared" ref="AJ102:AL102" si="171">SUM(AJ99:AJ101)</f>
        <v>0</v>
      </c>
      <c r="AK102" s="356">
        <f t="shared" si="171"/>
        <v>0</v>
      </c>
      <c r="AL102" s="343">
        <f t="shared" si="171"/>
        <v>0</v>
      </c>
      <c r="AM102" s="495">
        <f t="shared" si="165"/>
        <v>0</v>
      </c>
      <c r="AN102" s="356">
        <f t="shared" ref="AN102:AP102" si="172">SUM(AN99:AN101)</f>
        <v>0</v>
      </c>
      <c r="AO102" s="356">
        <f t="shared" si="172"/>
        <v>0</v>
      </c>
      <c r="AP102" s="343">
        <f t="shared" si="172"/>
        <v>0</v>
      </c>
      <c r="AQ102" s="495">
        <f t="shared" si="165"/>
        <v>0</v>
      </c>
      <c r="AR102" s="356">
        <f t="shared" ref="AR102:AT102" si="173">SUM(AR99:AR101)</f>
        <v>0</v>
      </c>
      <c r="AS102" s="356">
        <f t="shared" si="173"/>
        <v>0</v>
      </c>
      <c r="AT102" s="343">
        <f t="shared" si="173"/>
        <v>0</v>
      </c>
      <c r="AU102" s="483"/>
      <c r="AV102" s="483"/>
      <c r="AW102" s="483"/>
      <c r="AX102" s="483"/>
      <c r="AY102" s="483"/>
    </row>
    <row r="103" spans="1:51">
      <c r="A103" s="532">
        <f>+A101+1</f>
        <v>89</v>
      </c>
      <c r="B103" s="832">
        <v>18</v>
      </c>
      <c r="C103" s="993" t="s">
        <v>741</v>
      </c>
      <c r="D103" s="944" t="s">
        <v>740</v>
      </c>
      <c r="E103" s="994" t="s">
        <v>1225</v>
      </c>
      <c r="F103" s="1007" t="s">
        <v>658</v>
      </c>
      <c r="G103" s="1417">
        <f t="shared" ref="G103:J109" si="174">+K103+AE103</f>
        <v>0</v>
      </c>
      <c r="H103" s="1418">
        <f t="shared" si="174"/>
        <v>0</v>
      </c>
      <c r="I103" s="1418">
        <f t="shared" si="174"/>
        <v>0</v>
      </c>
      <c r="J103" s="473">
        <f t="shared" si="174"/>
        <v>0</v>
      </c>
      <c r="K103" s="1417">
        <f t="shared" ref="K103:N109" si="175">+O103+S103+W103+AA103</f>
        <v>0</v>
      </c>
      <c r="L103" s="1418">
        <f t="shared" si="175"/>
        <v>0</v>
      </c>
      <c r="M103" s="1418">
        <f t="shared" si="175"/>
        <v>0</v>
      </c>
      <c r="N103" s="473">
        <f t="shared" si="175"/>
        <v>0</v>
      </c>
      <c r="O103" s="1011"/>
      <c r="P103" s="1012"/>
      <c r="Q103" s="1012"/>
      <c r="R103" s="1013">
        <f t="shared" ref="R103:R109" si="176">+P103+Q103</f>
        <v>0</v>
      </c>
      <c r="S103" s="1011"/>
      <c r="T103" s="1012"/>
      <c r="U103" s="1012"/>
      <c r="V103" s="1013">
        <f t="shared" ref="V103:V109" si="177">+T103+U103</f>
        <v>0</v>
      </c>
      <c r="W103" s="1011"/>
      <c r="X103" s="1012"/>
      <c r="Y103" s="1012"/>
      <c r="Z103" s="1013">
        <f t="shared" ref="Z103:Z109" si="178">+X103+Y103</f>
        <v>0</v>
      </c>
      <c r="AA103" s="1011"/>
      <c r="AB103" s="1012"/>
      <c r="AC103" s="1012"/>
      <c r="AD103" s="1013">
        <f t="shared" ref="AD103:AD109" si="179">+AB103+AC103</f>
        <v>0</v>
      </c>
      <c r="AE103" s="1417">
        <f t="shared" ref="AE103:AH109" si="180">+AI103+AM103+AQ103</f>
        <v>0</v>
      </c>
      <c r="AF103" s="1418">
        <f t="shared" si="180"/>
        <v>0</v>
      </c>
      <c r="AG103" s="1418">
        <f t="shared" si="180"/>
        <v>0</v>
      </c>
      <c r="AH103" s="473">
        <f t="shared" si="180"/>
        <v>0</v>
      </c>
      <c r="AI103" s="1011"/>
      <c r="AJ103" s="1012"/>
      <c r="AK103" s="1012"/>
      <c r="AL103" s="1013">
        <f t="shared" ref="AL103:AL109" si="181">+AJ103+AK103</f>
        <v>0</v>
      </c>
      <c r="AM103" s="1011"/>
      <c r="AN103" s="1012"/>
      <c r="AO103" s="1012"/>
      <c r="AP103" s="1013">
        <f t="shared" ref="AP103:AP109" si="182">+AN103+AO103</f>
        <v>0</v>
      </c>
      <c r="AQ103" s="1011"/>
      <c r="AR103" s="1012"/>
      <c r="AS103" s="1012"/>
      <c r="AT103" s="1013">
        <f t="shared" ref="AT103:AT109" si="183">+AR103+AS103</f>
        <v>0</v>
      </c>
      <c r="AU103" s="483"/>
      <c r="AV103" s="483"/>
      <c r="AW103" s="483"/>
      <c r="AX103" s="483"/>
      <c r="AY103" s="483"/>
    </row>
    <row r="104" spans="1:51">
      <c r="A104" s="532">
        <f t="shared" ref="A104:A109" si="184">+A103+1</f>
        <v>90</v>
      </c>
      <c r="B104" s="832">
        <v>18</v>
      </c>
      <c r="C104" s="993" t="s">
        <v>741</v>
      </c>
      <c r="D104" s="944" t="s">
        <v>740</v>
      </c>
      <c r="E104" s="994" t="s">
        <v>1225</v>
      </c>
      <c r="F104" s="1007" t="s">
        <v>659</v>
      </c>
      <c r="G104" s="1417">
        <f t="shared" si="174"/>
        <v>0</v>
      </c>
      <c r="H104" s="1418">
        <f t="shared" si="174"/>
        <v>0</v>
      </c>
      <c r="I104" s="1418">
        <f t="shared" si="174"/>
        <v>0</v>
      </c>
      <c r="J104" s="473">
        <f t="shared" si="174"/>
        <v>0</v>
      </c>
      <c r="K104" s="1417">
        <f t="shared" si="175"/>
        <v>0</v>
      </c>
      <c r="L104" s="1418">
        <f t="shared" si="175"/>
        <v>0</v>
      </c>
      <c r="M104" s="1418">
        <f t="shared" si="175"/>
        <v>0</v>
      </c>
      <c r="N104" s="473">
        <f t="shared" si="175"/>
        <v>0</v>
      </c>
      <c r="O104" s="1011"/>
      <c r="P104" s="1012"/>
      <c r="Q104" s="1012"/>
      <c r="R104" s="1013">
        <f t="shared" si="176"/>
        <v>0</v>
      </c>
      <c r="S104" s="1011"/>
      <c r="T104" s="1012"/>
      <c r="U104" s="1012"/>
      <c r="V104" s="1013">
        <f t="shared" si="177"/>
        <v>0</v>
      </c>
      <c r="W104" s="1011"/>
      <c r="X104" s="1012"/>
      <c r="Y104" s="1012"/>
      <c r="Z104" s="1013">
        <f t="shared" si="178"/>
        <v>0</v>
      </c>
      <c r="AA104" s="1011"/>
      <c r="AB104" s="1012"/>
      <c r="AC104" s="1012"/>
      <c r="AD104" s="1013">
        <f t="shared" si="179"/>
        <v>0</v>
      </c>
      <c r="AE104" s="1417">
        <f t="shared" si="180"/>
        <v>0</v>
      </c>
      <c r="AF104" s="1418">
        <f t="shared" si="180"/>
        <v>0</v>
      </c>
      <c r="AG104" s="1418">
        <f t="shared" si="180"/>
        <v>0</v>
      </c>
      <c r="AH104" s="473">
        <f t="shared" si="180"/>
        <v>0</v>
      </c>
      <c r="AI104" s="1011"/>
      <c r="AJ104" s="1012"/>
      <c r="AK104" s="1012"/>
      <c r="AL104" s="1013">
        <f t="shared" si="181"/>
        <v>0</v>
      </c>
      <c r="AM104" s="1011"/>
      <c r="AN104" s="1012"/>
      <c r="AO104" s="1012"/>
      <c r="AP104" s="1013">
        <f t="shared" si="182"/>
        <v>0</v>
      </c>
      <c r="AQ104" s="1011"/>
      <c r="AR104" s="1012"/>
      <c r="AS104" s="1012"/>
      <c r="AT104" s="1013">
        <f t="shared" si="183"/>
        <v>0</v>
      </c>
      <c r="AU104" s="483"/>
      <c r="AV104" s="483"/>
      <c r="AW104" s="483"/>
      <c r="AX104" s="483"/>
      <c r="AY104" s="483"/>
    </row>
    <row r="105" spans="1:51">
      <c r="A105" s="532">
        <f t="shared" si="184"/>
        <v>91</v>
      </c>
      <c r="B105" s="832">
        <v>18</v>
      </c>
      <c r="C105" s="993" t="s">
        <v>741</v>
      </c>
      <c r="D105" s="944" t="s">
        <v>740</v>
      </c>
      <c r="E105" s="994" t="s">
        <v>1225</v>
      </c>
      <c r="F105" s="1007" t="s">
        <v>738</v>
      </c>
      <c r="G105" s="1417">
        <f t="shared" si="174"/>
        <v>0</v>
      </c>
      <c r="H105" s="1418">
        <f t="shared" si="174"/>
        <v>0</v>
      </c>
      <c r="I105" s="1418">
        <f t="shared" si="174"/>
        <v>0</v>
      </c>
      <c r="J105" s="473">
        <f t="shared" si="174"/>
        <v>0</v>
      </c>
      <c r="K105" s="1417">
        <f t="shared" si="175"/>
        <v>0</v>
      </c>
      <c r="L105" s="1418">
        <f t="shared" si="175"/>
        <v>0</v>
      </c>
      <c r="M105" s="1418">
        <f t="shared" si="175"/>
        <v>0</v>
      </c>
      <c r="N105" s="473">
        <f t="shared" si="175"/>
        <v>0</v>
      </c>
      <c r="O105" s="1011"/>
      <c r="P105" s="1012"/>
      <c r="Q105" s="1012"/>
      <c r="R105" s="1013">
        <f t="shared" si="176"/>
        <v>0</v>
      </c>
      <c r="S105" s="1011"/>
      <c r="T105" s="1012"/>
      <c r="U105" s="1012"/>
      <c r="V105" s="1013">
        <f t="shared" si="177"/>
        <v>0</v>
      </c>
      <c r="W105" s="1011"/>
      <c r="X105" s="1012"/>
      <c r="Y105" s="1012"/>
      <c r="Z105" s="1013">
        <f t="shared" si="178"/>
        <v>0</v>
      </c>
      <c r="AA105" s="1011"/>
      <c r="AB105" s="1012"/>
      <c r="AC105" s="1012"/>
      <c r="AD105" s="1013">
        <f t="shared" si="179"/>
        <v>0</v>
      </c>
      <c r="AE105" s="1417">
        <f t="shared" si="180"/>
        <v>0</v>
      </c>
      <c r="AF105" s="1418">
        <f t="shared" si="180"/>
        <v>0</v>
      </c>
      <c r="AG105" s="1418">
        <f t="shared" si="180"/>
        <v>0</v>
      </c>
      <c r="AH105" s="473">
        <f t="shared" si="180"/>
        <v>0</v>
      </c>
      <c r="AI105" s="1011"/>
      <c r="AJ105" s="1012"/>
      <c r="AK105" s="1012"/>
      <c r="AL105" s="1013">
        <f t="shared" si="181"/>
        <v>0</v>
      </c>
      <c r="AM105" s="1011"/>
      <c r="AN105" s="1012"/>
      <c r="AO105" s="1012"/>
      <c r="AP105" s="1013">
        <f t="shared" si="182"/>
        <v>0</v>
      </c>
      <c r="AQ105" s="1011"/>
      <c r="AR105" s="1012"/>
      <c r="AS105" s="1012"/>
      <c r="AT105" s="1013">
        <f t="shared" si="183"/>
        <v>0</v>
      </c>
      <c r="AU105" s="483"/>
      <c r="AV105" s="483"/>
      <c r="AW105" s="483"/>
      <c r="AX105" s="483"/>
      <c r="AY105" s="483"/>
    </row>
    <row r="106" spans="1:51">
      <c r="A106" s="532">
        <f t="shared" si="184"/>
        <v>92</v>
      </c>
      <c r="B106" s="832">
        <v>18</v>
      </c>
      <c r="C106" s="993" t="s">
        <v>741</v>
      </c>
      <c r="D106" s="944" t="s">
        <v>740</v>
      </c>
      <c r="E106" s="994" t="s">
        <v>1225</v>
      </c>
      <c r="F106" s="1007" t="s">
        <v>739</v>
      </c>
      <c r="G106" s="1417">
        <f t="shared" si="174"/>
        <v>0</v>
      </c>
      <c r="H106" s="1418">
        <f t="shared" si="174"/>
        <v>0</v>
      </c>
      <c r="I106" s="1418">
        <f t="shared" si="174"/>
        <v>0</v>
      </c>
      <c r="J106" s="473">
        <f t="shared" si="174"/>
        <v>0</v>
      </c>
      <c r="K106" s="1417">
        <f t="shared" si="175"/>
        <v>0</v>
      </c>
      <c r="L106" s="1418">
        <f t="shared" si="175"/>
        <v>0</v>
      </c>
      <c r="M106" s="1418">
        <f t="shared" si="175"/>
        <v>0</v>
      </c>
      <c r="N106" s="473">
        <f t="shared" si="175"/>
        <v>0</v>
      </c>
      <c r="O106" s="1011"/>
      <c r="P106" s="1012"/>
      <c r="Q106" s="1012"/>
      <c r="R106" s="1013">
        <f t="shared" si="176"/>
        <v>0</v>
      </c>
      <c r="S106" s="1011"/>
      <c r="T106" s="1012"/>
      <c r="U106" s="1012"/>
      <c r="V106" s="1013">
        <f t="shared" si="177"/>
        <v>0</v>
      </c>
      <c r="W106" s="1011"/>
      <c r="X106" s="1012"/>
      <c r="Y106" s="1012"/>
      <c r="Z106" s="1013">
        <f t="shared" si="178"/>
        <v>0</v>
      </c>
      <c r="AA106" s="1011"/>
      <c r="AB106" s="1012"/>
      <c r="AC106" s="1012"/>
      <c r="AD106" s="1013">
        <f t="shared" si="179"/>
        <v>0</v>
      </c>
      <c r="AE106" s="1417">
        <f t="shared" si="180"/>
        <v>0</v>
      </c>
      <c r="AF106" s="1418">
        <f t="shared" si="180"/>
        <v>0</v>
      </c>
      <c r="AG106" s="1418">
        <f t="shared" si="180"/>
        <v>0</v>
      </c>
      <c r="AH106" s="473">
        <f t="shared" si="180"/>
        <v>0</v>
      </c>
      <c r="AI106" s="1011"/>
      <c r="AJ106" s="1012"/>
      <c r="AK106" s="1012"/>
      <c r="AL106" s="1013">
        <f t="shared" si="181"/>
        <v>0</v>
      </c>
      <c r="AM106" s="1011"/>
      <c r="AN106" s="1012"/>
      <c r="AO106" s="1012"/>
      <c r="AP106" s="1013">
        <f t="shared" si="182"/>
        <v>0</v>
      </c>
      <c r="AQ106" s="1011"/>
      <c r="AR106" s="1012"/>
      <c r="AS106" s="1012"/>
      <c r="AT106" s="1013">
        <f t="shared" si="183"/>
        <v>0</v>
      </c>
      <c r="AU106" s="483"/>
      <c r="AV106" s="483"/>
      <c r="AW106" s="483"/>
      <c r="AX106" s="483"/>
      <c r="AY106" s="483"/>
    </row>
    <row r="107" spans="1:51">
      <c r="A107" s="532">
        <f t="shared" si="184"/>
        <v>93</v>
      </c>
      <c r="B107" s="832">
        <v>18</v>
      </c>
      <c r="C107" s="993" t="s">
        <v>673</v>
      </c>
      <c r="D107" s="944" t="s">
        <v>672</v>
      </c>
      <c r="E107" s="994" t="s">
        <v>1225</v>
      </c>
      <c r="F107" s="1007" t="s">
        <v>636</v>
      </c>
      <c r="G107" s="1417">
        <f t="shared" si="174"/>
        <v>0</v>
      </c>
      <c r="H107" s="1418">
        <f t="shared" si="174"/>
        <v>0</v>
      </c>
      <c r="I107" s="1418">
        <f t="shared" si="174"/>
        <v>0</v>
      </c>
      <c r="J107" s="473">
        <f t="shared" si="174"/>
        <v>0</v>
      </c>
      <c r="K107" s="1417">
        <f t="shared" si="175"/>
        <v>0</v>
      </c>
      <c r="L107" s="1418">
        <f t="shared" si="175"/>
        <v>0</v>
      </c>
      <c r="M107" s="1418">
        <f t="shared" si="175"/>
        <v>0</v>
      </c>
      <c r="N107" s="473">
        <f t="shared" si="175"/>
        <v>0</v>
      </c>
      <c r="O107" s="1011"/>
      <c r="P107" s="1012"/>
      <c r="Q107" s="1012"/>
      <c r="R107" s="1013">
        <f t="shared" si="176"/>
        <v>0</v>
      </c>
      <c r="S107" s="1011"/>
      <c r="T107" s="1012"/>
      <c r="U107" s="1012"/>
      <c r="V107" s="1013">
        <f t="shared" si="177"/>
        <v>0</v>
      </c>
      <c r="W107" s="1011"/>
      <c r="X107" s="1012"/>
      <c r="Y107" s="1012"/>
      <c r="Z107" s="1013">
        <f t="shared" si="178"/>
        <v>0</v>
      </c>
      <c r="AA107" s="1011"/>
      <c r="AB107" s="1012"/>
      <c r="AC107" s="1012"/>
      <c r="AD107" s="1013">
        <f t="shared" si="179"/>
        <v>0</v>
      </c>
      <c r="AE107" s="1417">
        <f t="shared" si="180"/>
        <v>0</v>
      </c>
      <c r="AF107" s="1418">
        <f t="shared" si="180"/>
        <v>0</v>
      </c>
      <c r="AG107" s="1418">
        <f t="shared" si="180"/>
        <v>0</v>
      </c>
      <c r="AH107" s="473">
        <f t="shared" si="180"/>
        <v>0</v>
      </c>
      <c r="AI107" s="1011"/>
      <c r="AJ107" s="1012"/>
      <c r="AK107" s="1012"/>
      <c r="AL107" s="1013">
        <f t="shared" si="181"/>
        <v>0</v>
      </c>
      <c r="AM107" s="1011"/>
      <c r="AN107" s="1012"/>
      <c r="AO107" s="1012"/>
      <c r="AP107" s="1013">
        <f t="shared" si="182"/>
        <v>0</v>
      </c>
      <c r="AQ107" s="1011"/>
      <c r="AR107" s="1012"/>
      <c r="AS107" s="1012"/>
      <c r="AT107" s="1013">
        <f t="shared" si="183"/>
        <v>0</v>
      </c>
      <c r="AU107" s="483"/>
      <c r="AV107" s="483"/>
      <c r="AW107" s="483"/>
      <c r="AX107" s="483"/>
      <c r="AY107" s="483"/>
    </row>
    <row r="108" spans="1:51">
      <c r="A108" s="532">
        <f t="shared" si="184"/>
        <v>94</v>
      </c>
      <c r="B108" s="832">
        <v>18</v>
      </c>
      <c r="C108" s="993" t="s">
        <v>996</v>
      </c>
      <c r="D108" s="944" t="s">
        <v>997</v>
      </c>
      <c r="E108" s="994" t="s">
        <v>1225</v>
      </c>
      <c r="F108" s="1007" t="s">
        <v>998</v>
      </c>
      <c r="G108" s="1417">
        <f t="shared" si="174"/>
        <v>0</v>
      </c>
      <c r="H108" s="1418">
        <f t="shared" si="174"/>
        <v>0</v>
      </c>
      <c r="I108" s="1418">
        <f t="shared" si="174"/>
        <v>0</v>
      </c>
      <c r="J108" s="473">
        <f t="shared" si="174"/>
        <v>0</v>
      </c>
      <c r="K108" s="1417">
        <f t="shared" si="175"/>
        <v>0</v>
      </c>
      <c r="L108" s="1418">
        <f t="shared" si="175"/>
        <v>0</v>
      </c>
      <c r="M108" s="1418">
        <f t="shared" si="175"/>
        <v>0</v>
      </c>
      <c r="N108" s="473">
        <f t="shared" si="175"/>
        <v>0</v>
      </c>
      <c r="O108" s="1011"/>
      <c r="P108" s="1012"/>
      <c r="Q108" s="1012"/>
      <c r="R108" s="1013">
        <f t="shared" si="176"/>
        <v>0</v>
      </c>
      <c r="S108" s="1011"/>
      <c r="T108" s="1012"/>
      <c r="U108" s="1012"/>
      <c r="V108" s="1013">
        <f t="shared" si="177"/>
        <v>0</v>
      </c>
      <c r="W108" s="1011"/>
      <c r="X108" s="1012"/>
      <c r="Y108" s="1012"/>
      <c r="Z108" s="1013">
        <f t="shared" si="178"/>
        <v>0</v>
      </c>
      <c r="AA108" s="1011"/>
      <c r="AB108" s="1012"/>
      <c r="AC108" s="1012"/>
      <c r="AD108" s="1013">
        <f t="shared" si="179"/>
        <v>0</v>
      </c>
      <c r="AE108" s="1417">
        <f t="shared" si="180"/>
        <v>0</v>
      </c>
      <c r="AF108" s="1418">
        <f t="shared" si="180"/>
        <v>0</v>
      </c>
      <c r="AG108" s="1418">
        <f t="shared" si="180"/>
        <v>0</v>
      </c>
      <c r="AH108" s="473">
        <f t="shared" si="180"/>
        <v>0</v>
      </c>
      <c r="AI108" s="1011"/>
      <c r="AJ108" s="1012"/>
      <c r="AK108" s="1012"/>
      <c r="AL108" s="1013">
        <f t="shared" si="181"/>
        <v>0</v>
      </c>
      <c r="AM108" s="1011"/>
      <c r="AN108" s="1012"/>
      <c r="AO108" s="1012"/>
      <c r="AP108" s="1013">
        <f t="shared" si="182"/>
        <v>0</v>
      </c>
      <c r="AQ108" s="1011"/>
      <c r="AR108" s="1012"/>
      <c r="AS108" s="1012"/>
      <c r="AT108" s="1013">
        <f t="shared" si="183"/>
        <v>0</v>
      </c>
      <c r="AU108" s="483"/>
      <c r="AV108" s="483"/>
      <c r="AW108" s="483"/>
      <c r="AX108" s="483"/>
      <c r="AY108" s="483"/>
    </row>
    <row r="109" spans="1:51" ht="12.75" thickBot="1">
      <c r="A109" s="532">
        <f t="shared" si="184"/>
        <v>95</v>
      </c>
      <c r="B109" s="832">
        <v>18</v>
      </c>
      <c r="C109" s="993" t="s">
        <v>1006</v>
      </c>
      <c r="D109" s="944" t="s">
        <v>1005</v>
      </c>
      <c r="E109" s="994" t="s">
        <v>1225</v>
      </c>
      <c r="F109" s="1007" t="s">
        <v>998</v>
      </c>
      <c r="G109" s="1417">
        <f t="shared" si="174"/>
        <v>0</v>
      </c>
      <c r="H109" s="1418">
        <f t="shared" si="174"/>
        <v>0</v>
      </c>
      <c r="I109" s="1418">
        <f t="shared" si="174"/>
        <v>0</v>
      </c>
      <c r="J109" s="473">
        <f t="shared" si="174"/>
        <v>0</v>
      </c>
      <c r="K109" s="1417">
        <f t="shared" si="175"/>
        <v>0</v>
      </c>
      <c r="L109" s="1418">
        <f t="shared" si="175"/>
        <v>0</v>
      </c>
      <c r="M109" s="1418">
        <f t="shared" si="175"/>
        <v>0</v>
      </c>
      <c r="N109" s="473">
        <f t="shared" si="175"/>
        <v>0</v>
      </c>
      <c r="O109" s="1011"/>
      <c r="P109" s="1012"/>
      <c r="Q109" s="1012"/>
      <c r="R109" s="1013">
        <f t="shared" si="176"/>
        <v>0</v>
      </c>
      <c r="S109" s="1011"/>
      <c r="T109" s="1012"/>
      <c r="U109" s="1012"/>
      <c r="V109" s="1013">
        <f t="shared" si="177"/>
        <v>0</v>
      </c>
      <c r="W109" s="1011"/>
      <c r="X109" s="1012"/>
      <c r="Y109" s="1012"/>
      <c r="Z109" s="1013">
        <f t="shared" si="178"/>
        <v>0</v>
      </c>
      <c r="AA109" s="1011"/>
      <c r="AB109" s="1012"/>
      <c r="AC109" s="1012"/>
      <c r="AD109" s="1013">
        <f t="shared" si="179"/>
        <v>0</v>
      </c>
      <c r="AE109" s="1417">
        <f t="shared" si="180"/>
        <v>0</v>
      </c>
      <c r="AF109" s="1418">
        <f t="shared" si="180"/>
        <v>0</v>
      </c>
      <c r="AG109" s="1418">
        <f t="shared" si="180"/>
        <v>0</v>
      </c>
      <c r="AH109" s="473">
        <f t="shared" si="180"/>
        <v>0</v>
      </c>
      <c r="AI109" s="1011"/>
      <c r="AJ109" s="1012"/>
      <c r="AK109" s="1012"/>
      <c r="AL109" s="1013">
        <f t="shared" si="181"/>
        <v>0</v>
      </c>
      <c r="AM109" s="1011"/>
      <c r="AN109" s="1012"/>
      <c r="AO109" s="1012"/>
      <c r="AP109" s="1013">
        <f t="shared" si="182"/>
        <v>0</v>
      </c>
      <c r="AQ109" s="1011"/>
      <c r="AR109" s="1012"/>
      <c r="AS109" s="1012"/>
      <c r="AT109" s="1013">
        <f t="shared" si="183"/>
        <v>0</v>
      </c>
      <c r="AU109" s="483"/>
      <c r="AV109" s="483"/>
      <c r="AW109" s="483"/>
      <c r="AX109" s="483"/>
      <c r="AY109" s="483"/>
    </row>
    <row r="110" spans="1:51" s="481" customFormat="1" ht="12.75" thickBot="1">
      <c r="A110" s="528" t="s">
        <v>746</v>
      </c>
      <c r="B110" s="835"/>
      <c r="C110" s="1540" t="s">
        <v>871</v>
      </c>
      <c r="D110" s="1541"/>
      <c r="E110" s="1541"/>
      <c r="F110" s="1542"/>
      <c r="G110" s="517">
        <f>SUM(G103:G109)</f>
        <v>0</v>
      </c>
      <c r="H110" s="518">
        <f>SUM(H103:H109)</f>
        <v>0</v>
      </c>
      <c r="I110" s="518">
        <f>SUM(I103:I109)</f>
        <v>0</v>
      </c>
      <c r="J110" s="413">
        <f>SUM(J103:J109)</f>
        <v>0</v>
      </c>
      <c r="K110" s="517">
        <f t="shared" ref="K110" si="185">SUM(K103:K109)</f>
        <v>0</v>
      </c>
      <c r="L110" s="518">
        <f t="shared" ref="L110:M110" si="186">SUM(L103:L109)</f>
        <v>0</v>
      </c>
      <c r="M110" s="518">
        <f t="shared" si="186"/>
        <v>0</v>
      </c>
      <c r="N110" s="413">
        <f t="shared" ref="N110:AQ110" si="187">SUM(N103:N109)</f>
        <v>0</v>
      </c>
      <c r="O110" s="495">
        <f t="shared" si="187"/>
        <v>0</v>
      </c>
      <c r="P110" s="356">
        <f t="shared" ref="P110:Q110" si="188">SUM(P103:P109)</f>
        <v>0</v>
      </c>
      <c r="Q110" s="356">
        <f t="shared" si="188"/>
        <v>0</v>
      </c>
      <c r="R110" s="343">
        <f t="shared" si="187"/>
        <v>0</v>
      </c>
      <c r="S110" s="495">
        <f t="shared" si="187"/>
        <v>0</v>
      </c>
      <c r="T110" s="356">
        <f t="shared" ref="T110:V110" si="189">SUM(T103:T109)</f>
        <v>0</v>
      </c>
      <c r="U110" s="356">
        <f t="shared" si="189"/>
        <v>0</v>
      </c>
      <c r="V110" s="343">
        <f t="shared" si="189"/>
        <v>0</v>
      </c>
      <c r="W110" s="495">
        <f t="shared" si="187"/>
        <v>0</v>
      </c>
      <c r="X110" s="356">
        <f t="shared" ref="X110:Z110" si="190">SUM(X103:X109)</f>
        <v>0</v>
      </c>
      <c r="Y110" s="356">
        <f t="shared" si="190"/>
        <v>0</v>
      </c>
      <c r="Z110" s="343">
        <f t="shared" si="190"/>
        <v>0</v>
      </c>
      <c r="AA110" s="495">
        <f t="shared" si="187"/>
        <v>0</v>
      </c>
      <c r="AB110" s="356">
        <f t="shared" ref="AB110:AD110" si="191">SUM(AB103:AB109)</f>
        <v>0</v>
      </c>
      <c r="AC110" s="356">
        <f t="shared" si="191"/>
        <v>0</v>
      </c>
      <c r="AD110" s="343">
        <f t="shared" si="191"/>
        <v>0</v>
      </c>
      <c r="AE110" s="517">
        <f t="shared" si="187"/>
        <v>0</v>
      </c>
      <c r="AF110" s="518">
        <f t="shared" ref="AF110:AG110" si="192">SUM(AF103:AF109)</f>
        <v>0</v>
      </c>
      <c r="AG110" s="518">
        <f t="shared" si="192"/>
        <v>0</v>
      </c>
      <c r="AH110" s="413">
        <f t="shared" si="187"/>
        <v>0</v>
      </c>
      <c r="AI110" s="495">
        <f t="shared" si="187"/>
        <v>0</v>
      </c>
      <c r="AJ110" s="356">
        <f t="shared" ref="AJ110:AL110" si="193">SUM(AJ103:AJ109)</f>
        <v>0</v>
      </c>
      <c r="AK110" s="356">
        <f t="shared" si="193"/>
        <v>0</v>
      </c>
      <c r="AL110" s="343">
        <f t="shared" si="193"/>
        <v>0</v>
      </c>
      <c r="AM110" s="495">
        <f t="shared" si="187"/>
        <v>0</v>
      </c>
      <c r="AN110" s="356">
        <f t="shared" ref="AN110:AP110" si="194">SUM(AN103:AN109)</f>
        <v>0</v>
      </c>
      <c r="AO110" s="356">
        <f t="shared" si="194"/>
        <v>0</v>
      </c>
      <c r="AP110" s="343">
        <f t="shared" si="194"/>
        <v>0</v>
      </c>
      <c r="AQ110" s="495">
        <f t="shared" si="187"/>
        <v>0</v>
      </c>
      <c r="AR110" s="356">
        <f t="shared" ref="AR110:AT110" si="195">SUM(AR103:AR109)</f>
        <v>0</v>
      </c>
      <c r="AS110" s="356">
        <f t="shared" si="195"/>
        <v>0</v>
      </c>
      <c r="AT110" s="343">
        <f t="shared" si="195"/>
        <v>0</v>
      </c>
      <c r="AU110" s="483"/>
      <c r="AV110" s="483"/>
      <c r="AW110" s="483"/>
      <c r="AX110" s="483"/>
      <c r="AY110" s="483"/>
    </row>
    <row r="111" spans="1:51" s="481" customFormat="1" ht="12.75" thickBot="1">
      <c r="A111" s="529" t="s">
        <v>22</v>
      </c>
      <c r="B111" s="836"/>
      <c r="C111" s="1555" t="s">
        <v>872</v>
      </c>
      <c r="D111" s="1556"/>
      <c r="E111" s="1556"/>
      <c r="F111" s="1557"/>
      <c r="G111" s="497">
        <f t="shared" ref="G111" si="196">+G98+G102+G110</f>
        <v>41459</v>
      </c>
      <c r="H111" s="498">
        <f t="shared" ref="H111:I111" si="197">+H98+H102+H110</f>
        <v>41459</v>
      </c>
      <c r="I111" s="498">
        <f t="shared" si="197"/>
        <v>0</v>
      </c>
      <c r="J111" s="499">
        <f t="shared" ref="J111:AQ111" si="198">+J98+J102+J110</f>
        <v>41459</v>
      </c>
      <c r="K111" s="497">
        <f t="shared" si="198"/>
        <v>41459</v>
      </c>
      <c r="L111" s="498">
        <f t="shared" ref="L111:M111" si="199">+L98+L102+L110</f>
        <v>41459</v>
      </c>
      <c r="M111" s="498">
        <f t="shared" si="199"/>
        <v>0</v>
      </c>
      <c r="N111" s="499">
        <f t="shared" si="198"/>
        <v>41459</v>
      </c>
      <c r="O111" s="497">
        <f t="shared" si="198"/>
        <v>0</v>
      </c>
      <c r="P111" s="498">
        <f t="shared" ref="P111:Q111" si="200">+P98+P102+P110</f>
        <v>0</v>
      </c>
      <c r="Q111" s="498">
        <f t="shared" si="200"/>
        <v>0</v>
      </c>
      <c r="R111" s="499">
        <f t="shared" si="198"/>
        <v>0</v>
      </c>
      <c r="S111" s="497">
        <f t="shared" si="198"/>
        <v>0</v>
      </c>
      <c r="T111" s="498">
        <f t="shared" ref="T111:V111" si="201">+T98+T102+T110</f>
        <v>0</v>
      </c>
      <c r="U111" s="498">
        <f t="shared" si="201"/>
        <v>0</v>
      </c>
      <c r="V111" s="499">
        <f t="shared" si="201"/>
        <v>0</v>
      </c>
      <c r="W111" s="497">
        <f t="shared" si="198"/>
        <v>41459</v>
      </c>
      <c r="X111" s="498">
        <f t="shared" ref="X111:Z111" si="202">+X98+X102+X110</f>
        <v>41459</v>
      </c>
      <c r="Y111" s="498">
        <f t="shared" si="202"/>
        <v>0</v>
      </c>
      <c r="Z111" s="499">
        <f t="shared" si="202"/>
        <v>41459</v>
      </c>
      <c r="AA111" s="497">
        <f t="shared" si="198"/>
        <v>0</v>
      </c>
      <c r="AB111" s="498">
        <f t="shared" ref="AB111:AD111" si="203">+AB98+AB102+AB110</f>
        <v>0</v>
      </c>
      <c r="AC111" s="498">
        <f t="shared" si="203"/>
        <v>0</v>
      </c>
      <c r="AD111" s="499">
        <f t="shared" si="203"/>
        <v>0</v>
      </c>
      <c r="AE111" s="497">
        <f t="shared" si="198"/>
        <v>0</v>
      </c>
      <c r="AF111" s="498">
        <f t="shared" ref="AF111:AG111" si="204">+AF98+AF102+AF110</f>
        <v>0</v>
      </c>
      <c r="AG111" s="498">
        <f t="shared" si="204"/>
        <v>0</v>
      </c>
      <c r="AH111" s="499">
        <f t="shared" si="198"/>
        <v>0</v>
      </c>
      <c r="AI111" s="497">
        <f t="shared" si="198"/>
        <v>0</v>
      </c>
      <c r="AJ111" s="498">
        <f t="shared" ref="AJ111:AL111" si="205">+AJ98+AJ102+AJ110</f>
        <v>0</v>
      </c>
      <c r="AK111" s="498">
        <f t="shared" si="205"/>
        <v>0</v>
      </c>
      <c r="AL111" s="499">
        <f t="shared" si="205"/>
        <v>0</v>
      </c>
      <c r="AM111" s="497">
        <f t="shared" si="198"/>
        <v>0</v>
      </c>
      <c r="AN111" s="498">
        <f t="shared" ref="AN111:AP111" si="206">+AN98+AN102+AN110</f>
        <v>0</v>
      </c>
      <c r="AO111" s="498">
        <f t="shared" si="206"/>
        <v>0</v>
      </c>
      <c r="AP111" s="499">
        <f t="shared" si="206"/>
        <v>0</v>
      </c>
      <c r="AQ111" s="497">
        <f t="shared" si="198"/>
        <v>0</v>
      </c>
      <c r="AR111" s="498">
        <f t="shared" ref="AR111:AT111" si="207">+AR98+AR102+AR110</f>
        <v>0</v>
      </c>
      <c r="AS111" s="498">
        <f t="shared" si="207"/>
        <v>0</v>
      </c>
      <c r="AT111" s="499">
        <f t="shared" si="207"/>
        <v>0</v>
      </c>
      <c r="AU111" s="483"/>
      <c r="AV111" s="483"/>
      <c r="AW111" s="483"/>
      <c r="AX111" s="483"/>
      <c r="AY111" s="483"/>
    </row>
    <row r="112" spans="1:51" s="481" customFormat="1" ht="12.75" thickBot="1">
      <c r="A112" s="528"/>
      <c r="B112" s="839"/>
      <c r="C112" s="925"/>
      <c r="D112" s="527"/>
      <c r="E112" s="920"/>
      <c r="F112" s="494"/>
      <c r="G112" s="517"/>
      <c r="H112" s="518"/>
      <c r="I112" s="518"/>
      <c r="J112" s="413"/>
      <c r="K112" s="517"/>
      <c r="L112" s="518"/>
      <c r="M112" s="518"/>
      <c r="N112" s="413"/>
      <c r="O112" s="495"/>
      <c r="P112" s="356"/>
      <c r="Q112" s="356"/>
      <c r="R112" s="343"/>
      <c r="S112" s="495"/>
      <c r="T112" s="356"/>
      <c r="U112" s="356"/>
      <c r="V112" s="343"/>
      <c r="W112" s="495"/>
      <c r="X112" s="356"/>
      <c r="Y112" s="356"/>
      <c r="Z112" s="343"/>
      <c r="AA112" s="495"/>
      <c r="AB112" s="356"/>
      <c r="AC112" s="356"/>
      <c r="AD112" s="343"/>
      <c r="AE112" s="517"/>
      <c r="AF112" s="518"/>
      <c r="AG112" s="518"/>
      <c r="AH112" s="413"/>
      <c r="AI112" s="495"/>
      <c r="AJ112" s="356"/>
      <c r="AK112" s="356"/>
      <c r="AL112" s="343"/>
      <c r="AM112" s="495"/>
      <c r="AN112" s="356"/>
      <c r="AO112" s="356"/>
      <c r="AP112" s="343"/>
      <c r="AQ112" s="495"/>
      <c r="AR112" s="356"/>
      <c r="AS112" s="356"/>
      <c r="AT112" s="343"/>
      <c r="AU112" s="483"/>
      <c r="AV112" s="483"/>
      <c r="AW112" s="483"/>
      <c r="AX112" s="483"/>
      <c r="AY112" s="483"/>
    </row>
    <row r="113" spans="1:51">
      <c r="A113" s="532">
        <f>+A109+1</f>
        <v>96</v>
      </c>
      <c r="B113" s="832">
        <v>19</v>
      </c>
      <c r="C113" s="993" t="s">
        <v>1076</v>
      </c>
      <c r="D113" s="944" t="s">
        <v>1077</v>
      </c>
      <c r="E113" s="994" t="s">
        <v>1225</v>
      </c>
      <c r="F113" s="1007" t="s">
        <v>1078</v>
      </c>
      <c r="G113" s="1417">
        <f t="shared" ref="G113:J118" si="208">+K113+AE113</f>
        <v>0</v>
      </c>
      <c r="H113" s="1418">
        <f t="shared" si="208"/>
        <v>0</v>
      </c>
      <c r="I113" s="1418">
        <f t="shared" si="208"/>
        <v>0</v>
      </c>
      <c r="J113" s="473">
        <f t="shared" si="208"/>
        <v>0</v>
      </c>
      <c r="K113" s="1417">
        <f t="shared" ref="K113:N118" si="209">+O113+S113+W113+AA113</f>
        <v>0</v>
      </c>
      <c r="L113" s="1418">
        <f t="shared" si="209"/>
        <v>0</v>
      </c>
      <c r="M113" s="1418">
        <f t="shared" si="209"/>
        <v>0</v>
      </c>
      <c r="N113" s="473">
        <f t="shared" si="209"/>
        <v>0</v>
      </c>
      <c r="O113" s="1011"/>
      <c r="P113" s="1012"/>
      <c r="Q113" s="1012"/>
      <c r="R113" s="1013">
        <f t="shared" ref="R113:R118" si="210">+P113+Q113</f>
        <v>0</v>
      </c>
      <c r="S113" s="1011"/>
      <c r="T113" s="1012"/>
      <c r="U113" s="1012"/>
      <c r="V113" s="1013">
        <f t="shared" ref="V113:V118" si="211">+T113+U113</f>
        <v>0</v>
      </c>
      <c r="W113" s="1011"/>
      <c r="X113" s="1012"/>
      <c r="Y113" s="1012"/>
      <c r="Z113" s="1013">
        <f t="shared" ref="Z113:Z118" si="212">+X113+Y113</f>
        <v>0</v>
      </c>
      <c r="AA113" s="1011"/>
      <c r="AB113" s="1012"/>
      <c r="AC113" s="1012"/>
      <c r="AD113" s="1013">
        <f t="shared" ref="AD113:AD118" si="213">+AB113+AC113</f>
        <v>0</v>
      </c>
      <c r="AE113" s="1417">
        <f t="shared" ref="AE113:AH118" si="214">+AI113+AM113+AQ113</f>
        <v>0</v>
      </c>
      <c r="AF113" s="1418">
        <f t="shared" si="214"/>
        <v>0</v>
      </c>
      <c r="AG113" s="1418">
        <f t="shared" si="214"/>
        <v>0</v>
      </c>
      <c r="AH113" s="473">
        <f t="shared" si="214"/>
        <v>0</v>
      </c>
      <c r="AI113" s="1011"/>
      <c r="AJ113" s="1012"/>
      <c r="AK113" s="1012"/>
      <c r="AL113" s="1013">
        <f t="shared" ref="AL113:AL118" si="215">+AJ113+AK113</f>
        <v>0</v>
      </c>
      <c r="AM113" s="1011"/>
      <c r="AN113" s="1012"/>
      <c r="AO113" s="1012"/>
      <c r="AP113" s="1013">
        <f t="shared" ref="AP113:AP118" si="216">+AN113+AO113</f>
        <v>0</v>
      </c>
      <c r="AQ113" s="1011"/>
      <c r="AR113" s="1012"/>
      <c r="AS113" s="1012"/>
      <c r="AT113" s="1013">
        <f t="shared" ref="AT113:AT118" si="217">+AR113+AS113</f>
        <v>0</v>
      </c>
      <c r="AU113" s="483"/>
      <c r="AV113" s="483"/>
      <c r="AW113" s="483"/>
      <c r="AX113" s="483"/>
      <c r="AY113" s="483"/>
    </row>
    <row r="114" spans="1:51">
      <c r="A114" s="532">
        <f>+A113+1</f>
        <v>97</v>
      </c>
      <c r="B114" s="832">
        <v>20</v>
      </c>
      <c r="C114" s="993" t="s">
        <v>1079</v>
      </c>
      <c r="D114" s="944" t="s">
        <v>1080</v>
      </c>
      <c r="E114" s="994" t="s">
        <v>1239</v>
      </c>
      <c r="F114" s="1007" t="s">
        <v>1085</v>
      </c>
      <c r="G114" s="1417">
        <f t="shared" si="208"/>
        <v>10362</v>
      </c>
      <c r="H114" s="1418">
        <f t="shared" si="208"/>
        <v>10362</v>
      </c>
      <c r="I114" s="1418">
        <f t="shared" si="208"/>
        <v>0</v>
      </c>
      <c r="J114" s="473">
        <f t="shared" si="208"/>
        <v>10362</v>
      </c>
      <c r="K114" s="1417">
        <f t="shared" si="209"/>
        <v>10362</v>
      </c>
      <c r="L114" s="1418">
        <f t="shared" si="209"/>
        <v>10362</v>
      </c>
      <c r="M114" s="1418">
        <f t="shared" si="209"/>
        <v>0</v>
      </c>
      <c r="N114" s="473">
        <f t="shared" si="209"/>
        <v>10362</v>
      </c>
      <c r="O114" s="1011"/>
      <c r="P114" s="1012"/>
      <c r="Q114" s="1012"/>
      <c r="R114" s="1013">
        <f t="shared" si="210"/>
        <v>0</v>
      </c>
      <c r="S114" s="1011"/>
      <c r="T114" s="1012"/>
      <c r="U114" s="1012"/>
      <c r="V114" s="1013">
        <f t="shared" si="211"/>
        <v>0</v>
      </c>
      <c r="W114" s="1011">
        <v>10362</v>
      </c>
      <c r="X114" s="1012">
        <v>10362</v>
      </c>
      <c r="Y114" s="1012"/>
      <c r="Z114" s="1013">
        <f t="shared" si="212"/>
        <v>10362</v>
      </c>
      <c r="AA114" s="1011"/>
      <c r="AB114" s="1012"/>
      <c r="AC114" s="1012"/>
      <c r="AD114" s="1013">
        <f t="shared" si="213"/>
        <v>0</v>
      </c>
      <c r="AE114" s="1417">
        <f t="shared" si="214"/>
        <v>0</v>
      </c>
      <c r="AF114" s="1418">
        <f t="shared" si="214"/>
        <v>0</v>
      </c>
      <c r="AG114" s="1418">
        <f t="shared" si="214"/>
        <v>0</v>
      </c>
      <c r="AH114" s="473">
        <f t="shared" si="214"/>
        <v>0</v>
      </c>
      <c r="AI114" s="1011"/>
      <c r="AJ114" s="1012"/>
      <c r="AK114" s="1012"/>
      <c r="AL114" s="1013">
        <f t="shared" si="215"/>
        <v>0</v>
      </c>
      <c r="AM114" s="1011"/>
      <c r="AN114" s="1012"/>
      <c r="AO114" s="1012"/>
      <c r="AP114" s="1013">
        <f t="shared" si="216"/>
        <v>0</v>
      </c>
      <c r="AQ114" s="1011"/>
      <c r="AR114" s="1012"/>
      <c r="AS114" s="1012"/>
      <c r="AT114" s="1013">
        <f t="shared" si="217"/>
        <v>0</v>
      </c>
      <c r="AU114" s="483"/>
      <c r="AV114" s="483"/>
      <c r="AW114" s="483"/>
      <c r="AX114" s="483"/>
      <c r="AY114" s="483"/>
    </row>
    <row r="115" spans="1:51">
      <c r="A115" s="532">
        <f>+A114+1</f>
        <v>98</v>
      </c>
      <c r="B115" s="832">
        <v>20</v>
      </c>
      <c r="C115" s="993" t="s">
        <v>1079</v>
      </c>
      <c r="D115" s="944" t="s">
        <v>1080</v>
      </c>
      <c r="E115" s="994" t="s">
        <v>1240</v>
      </c>
      <c r="F115" s="1007" t="s">
        <v>1086</v>
      </c>
      <c r="G115" s="1417">
        <f t="shared" si="208"/>
        <v>11035</v>
      </c>
      <c r="H115" s="1418">
        <f t="shared" si="208"/>
        <v>11035</v>
      </c>
      <c r="I115" s="1418">
        <f t="shared" si="208"/>
        <v>0</v>
      </c>
      <c r="J115" s="473">
        <f t="shared" si="208"/>
        <v>11035</v>
      </c>
      <c r="K115" s="1417">
        <f t="shared" si="209"/>
        <v>11035</v>
      </c>
      <c r="L115" s="1418">
        <f t="shared" si="209"/>
        <v>11035</v>
      </c>
      <c r="M115" s="1418">
        <f t="shared" si="209"/>
        <v>0</v>
      </c>
      <c r="N115" s="473">
        <f t="shared" si="209"/>
        <v>11035</v>
      </c>
      <c r="O115" s="1011"/>
      <c r="P115" s="1012"/>
      <c r="Q115" s="1012"/>
      <c r="R115" s="1013">
        <f t="shared" si="210"/>
        <v>0</v>
      </c>
      <c r="S115" s="1011"/>
      <c r="T115" s="1012"/>
      <c r="U115" s="1012"/>
      <c r="V115" s="1013">
        <f t="shared" si="211"/>
        <v>0</v>
      </c>
      <c r="W115" s="1011">
        <v>11035</v>
      </c>
      <c r="X115" s="1012">
        <v>11035</v>
      </c>
      <c r="Y115" s="1012"/>
      <c r="Z115" s="1013">
        <f t="shared" si="212"/>
        <v>11035</v>
      </c>
      <c r="AA115" s="1011"/>
      <c r="AB115" s="1012"/>
      <c r="AC115" s="1012"/>
      <c r="AD115" s="1013">
        <f t="shared" si="213"/>
        <v>0</v>
      </c>
      <c r="AE115" s="1417">
        <f t="shared" si="214"/>
        <v>0</v>
      </c>
      <c r="AF115" s="1418">
        <f t="shared" si="214"/>
        <v>0</v>
      </c>
      <c r="AG115" s="1418">
        <f t="shared" si="214"/>
        <v>0</v>
      </c>
      <c r="AH115" s="473">
        <f t="shared" si="214"/>
        <v>0</v>
      </c>
      <c r="AI115" s="1011"/>
      <c r="AJ115" s="1012"/>
      <c r="AK115" s="1012"/>
      <c r="AL115" s="1013">
        <f t="shared" si="215"/>
        <v>0</v>
      </c>
      <c r="AM115" s="1011"/>
      <c r="AN115" s="1012"/>
      <c r="AO115" s="1012"/>
      <c r="AP115" s="1013">
        <f t="shared" si="216"/>
        <v>0</v>
      </c>
      <c r="AQ115" s="1011"/>
      <c r="AR115" s="1012"/>
      <c r="AS115" s="1012"/>
      <c r="AT115" s="1013">
        <f t="shared" si="217"/>
        <v>0</v>
      </c>
      <c r="AU115" s="483"/>
      <c r="AV115" s="483"/>
      <c r="AW115" s="483"/>
      <c r="AX115" s="483"/>
      <c r="AY115" s="483"/>
    </row>
    <row r="116" spans="1:51">
      <c r="A116" s="532">
        <f t="shared" ref="A116:A118" si="218">+A115+1</f>
        <v>99</v>
      </c>
      <c r="B116" s="832">
        <v>21</v>
      </c>
      <c r="C116" s="993" t="s">
        <v>1081</v>
      </c>
      <c r="D116" s="944" t="s">
        <v>1171</v>
      </c>
      <c r="E116" s="994" t="s">
        <v>1241</v>
      </c>
      <c r="F116" s="1007" t="s">
        <v>573</v>
      </c>
      <c r="G116" s="1417">
        <f t="shared" si="208"/>
        <v>0</v>
      </c>
      <c r="H116" s="1418">
        <f t="shared" si="208"/>
        <v>0</v>
      </c>
      <c r="I116" s="1418">
        <f t="shared" si="208"/>
        <v>0</v>
      </c>
      <c r="J116" s="473">
        <f t="shared" si="208"/>
        <v>0</v>
      </c>
      <c r="K116" s="1417">
        <f t="shared" si="209"/>
        <v>0</v>
      </c>
      <c r="L116" s="1418">
        <f t="shared" si="209"/>
        <v>0</v>
      </c>
      <c r="M116" s="1418">
        <f t="shared" si="209"/>
        <v>0</v>
      </c>
      <c r="N116" s="473">
        <f t="shared" si="209"/>
        <v>0</v>
      </c>
      <c r="O116" s="1011"/>
      <c r="P116" s="1012"/>
      <c r="Q116" s="1012"/>
      <c r="R116" s="1013">
        <f t="shared" si="210"/>
        <v>0</v>
      </c>
      <c r="S116" s="1011"/>
      <c r="T116" s="1012"/>
      <c r="U116" s="1012"/>
      <c r="V116" s="1013">
        <f t="shared" si="211"/>
        <v>0</v>
      </c>
      <c r="W116" s="1011"/>
      <c r="X116" s="1012"/>
      <c r="Y116" s="1012"/>
      <c r="Z116" s="1013">
        <f t="shared" si="212"/>
        <v>0</v>
      </c>
      <c r="AA116" s="1011"/>
      <c r="AB116" s="1012"/>
      <c r="AC116" s="1012"/>
      <c r="AD116" s="1013">
        <f t="shared" si="213"/>
        <v>0</v>
      </c>
      <c r="AE116" s="1417">
        <f t="shared" si="214"/>
        <v>0</v>
      </c>
      <c r="AF116" s="1418">
        <f t="shared" si="214"/>
        <v>0</v>
      </c>
      <c r="AG116" s="1418">
        <f t="shared" si="214"/>
        <v>0</v>
      </c>
      <c r="AH116" s="473">
        <f t="shared" si="214"/>
        <v>0</v>
      </c>
      <c r="AI116" s="1011"/>
      <c r="AJ116" s="1012"/>
      <c r="AK116" s="1012"/>
      <c r="AL116" s="1013">
        <f t="shared" si="215"/>
        <v>0</v>
      </c>
      <c r="AM116" s="1011"/>
      <c r="AN116" s="1012"/>
      <c r="AO116" s="1012"/>
      <c r="AP116" s="1013">
        <f t="shared" si="216"/>
        <v>0</v>
      </c>
      <c r="AQ116" s="1011"/>
      <c r="AR116" s="1012"/>
      <c r="AS116" s="1012"/>
      <c r="AT116" s="1013">
        <f t="shared" si="217"/>
        <v>0</v>
      </c>
      <c r="AU116" s="483"/>
      <c r="AV116" s="483"/>
      <c r="AW116" s="483"/>
      <c r="AX116" s="483"/>
      <c r="AY116" s="483"/>
    </row>
    <row r="117" spans="1:51">
      <c r="A117" s="532">
        <f t="shared" si="218"/>
        <v>100</v>
      </c>
      <c r="B117" s="832">
        <v>20</v>
      </c>
      <c r="C117" s="993" t="s">
        <v>1082</v>
      </c>
      <c r="D117" s="944" t="s">
        <v>1083</v>
      </c>
      <c r="E117" s="994" t="s">
        <v>1242</v>
      </c>
      <c r="F117" s="1007" t="s">
        <v>1084</v>
      </c>
      <c r="G117" s="1417">
        <f t="shared" si="208"/>
        <v>174</v>
      </c>
      <c r="H117" s="1418">
        <f t="shared" si="208"/>
        <v>174</v>
      </c>
      <c r="I117" s="1418">
        <f t="shared" si="208"/>
        <v>0</v>
      </c>
      <c r="J117" s="473">
        <f t="shared" si="208"/>
        <v>174</v>
      </c>
      <c r="K117" s="1417">
        <f t="shared" si="209"/>
        <v>174</v>
      </c>
      <c r="L117" s="1418">
        <f t="shared" si="209"/>
        <v>174</v>
      </c>
      <c r="M117" s="1418">
        <f t="shared" si="209"/>
        <v>0</v>
      </c>
      <c r="N117" s="473">
        <f t="shared" si="209"/>
        <v>174</v>
      </c>
      <c r="O117" s="1011"/>
      <c r="P117" s="1012"/>
      <c r="Q117" s="1012"/>
      <c r="R117" s="1013">
        <f t="shared" si="210"/>
        <v>0</v>
      </c>
      <c r="S117" s="1011"/>
      <c r="T117" s="1012"/>
      <c r="U117" s="1012"/>
      <c r="V117" s="1013">
        <f t="shared" si="211"/>
        <v>0</v>
      </c>
      <c r="W117" s="1011">
        <v>174</v>
      </c>
      <c r="X117" s="1012">
        <v>174</v>
      </c>
      <c r="Y117" s="1012"/>
      <c r="Z117" s="1013">
        <f t="shared" si="212"/>
        <v>174</v>
      </c>
      <c r="AA117" s="1011"/>
      <c r="AB117" s="1012"/>
      <c r="AC117" s="1012"/>
      <c r="AD117" s="1013">
        <f t="shared" si="213"/>
        <v>0</v>
      </c>
      <c r="AE117" s="1417">
        <f t="shared" si="214"/>
        <v>0</v>
      </c>
      <c r="AF117" s="1418">
        <f t="shared" si="214"/>
        <v>0</v>
      </c>
      <c r="AG117" s="1418">
        <f t="shared" si="214"/>
        <v>0</v>
      </c>
      <c r="AH117" s="473">
        <f t="shared" si="214"/>
        <v>0</v>
      </c>
      <c r="AI117" s="1011"/>
      <c r="AJ117" s="1012"/>
      <c r="AK117" s="1012"/>
      <c r="AL117" s="1013">
        <f t="shared" si="215"/>
        <v>0</v>
      </c>
      <c r="AM117" s="1011"/>
      <c r="AN117" s="1012"/>
      <c r="AO117" s="1012"/>
      <c r="AP117" s="1013">
        <f t="shared" si="216"/>
        <v>0</v>
      </c>
      <c r="AQ117" s="1011"/>
      <c r="AR117" s="1012"/>
      <c r="AS117" s="1012"/>
      <c r="AT117" s="1013">
        <f t="shared" si="217"/>
        <v>0</v>
      </c>
      <c r="AU117" s="483"/>
      <c r="AV117" s="483"/>
      <c r="AW117" s="483"/>
      <c r="AX117" s="483"/>
      <c r="AY117" s="483"/>
    </row>
    <row r="118" spans="1:51" ht="12.75" thickBot="1">
      <c r="A118" s="532">
        <f t="shared" si="218"/>
        <v>101</v>
      </c>
      <c r="B118" s="832">
        <v>19</v>
      </c>
      <c r="C118" s="993" t="s">
        <v>1002</v>
      </c>
      <c r="D118" s="944" t="s">
        <v>1003</v>
      </c>
      <c r="E118" s="994" t="s">
        <v>1225</v>
      </c>
      <c r="F118" s="1007" t="s">
        <v>1078</v>
      </c>
      <c r="G118" s="1417">
        <f t="shared" si="208"/>
        <v>0</v>
      </c>
      <c r="H118" s="1418">
        <f t="shared" si="208"/>
        <v>0</v>
      </c>
      <c r="I118" s="1418">
        <f t="shared" si="208"/>
        <v>0</v>
      </c>
      <c r="J118" s="473">
        <f t="shared" si="208"/>
        <v>0</v>
      </c>
      <c r="K118" s="1417">
        <f t="shared" si="209"/>
        <v>0</v>
      </c>
      <c r="L118" s="1418">
        <f t="shared" si="209"/>
        <v>0</v>
      </c>
      <c r="M118" s="1418">
        <f t="shared" si="209"/>
        <v>0</v>
      </c>
      <c r="N118" s="473">
        <f t="shared" si="209"/>
        <v>0</v>
      </c>
      <c r="O118" s="1011"/>
      <c r="P118" s="1012"/>
      <c r="Q118" s="1012"/>
      <c r="R118" s="1013">
        <f t="shared" si="210"/>
        <v>0</v>
      </c>
      <c r="S118" s="1011"/>
      <c r="T118" s="1012"/>
      <c r="U118" s="1012"/>
      <c r="V118" s="1013">
        <f t="shared" si="211"/>
        <v>0</v>
      </c>
      <c r="W118" s="1011"/>
      <c r="X118" s="1012"/>
      <c r="Y118" s="1012"/>
      <c r="Z118" s="1013">
        <f t="shared" si="212"/>
        <v>0</v>
      </c>
      <c r="AA118" s="1011"/>
      <c r="AB118" s="1012"/>
      <c r="AC118" s="1012"/>
      <c r="AD118" s="1013">
        <f t="shared" si="213"/>
        <v>0</v>
      </c>
      <c r="AE118" s="1417">
        <f t="shared" si="214"/>
        <v>0</v>
      </c>
      <c r="AF118" s="1418">
        <f t="shared" si="214"/>
        <v>0</v>
      </c>
      <c r="AG118" s="1418">
        <f t="shared" si="214"/>
        <v>0</v>
      </c>
      <c r="AH118" s="473">
        <f t="shared" si="214"/>
        <v>0</v>
      </c>
      <c r="AI118" s="1011"/>
      <c r="AJ118" s="1012"/>
      <c r="AK118" s="1012"/>
      <c r="AL118" s="1013">
        <f t="shared" si="215"/>
        <v>0</v>
      </c>
      <c r="AM118" s="1011"/>
      <c r="AN118" s="1012"/>
      <c r="AO118" s="1012"/>
      <c r="AP118" s="1013">
        <f t="shared" si="216"/>
        <v>0</v>
      </c>
      <c r="AQ118" s="1011"/>
      <c r="AR118" s="1012"/>
      <c r="AS118" s="1012"/>
      <c r="AT118" s="1013">
        <f t="shared" si="217"/>
        <v>0</v>
      </c>
      <c r="AU118" s="483"/>
      <c r="AV118" s="483"/>
      <c r="AW118" s="483"/>
      <c r="AX118" s="483"/>
      <c r="AY118" s="483"/>
    </row>
    <row r="119" spans="1:51" s="481" customFormat="1" ht="12.75" thickBot="1">
      <c r="A119" s="528" t="s">
        <v>747</v>
      </c>
      <c r="B119" s="835"/>
      <c r="C119" s="1558" t="s">
        <v>417</v>
      </c>
      <c r="D119" s="1559"/>
      <c r="E119" s="1559"/>
      <c r="F119" s="1560"/>
      <c r="G119" s="517">
        <f>SUM(G113:G118)</f>
        <v>21571</v>
      </c>
      <c r="H119" s="518">
        <f>SUM(H113:H118)</f>
        <v>21571</v>
      </c>
      <c r="I119" s="518">
        <f>SUM(I113:I118)</f>
        <v>0</v>
      </c>
      <c r="J119" s="413">
        <f>SUM(J113:J118)</f>
        <v>21571</v>
      </c>
      <c r="K119" s="517">
        <f t="shared" ref="K119" si="219">SUM(K113:K118)</f>
        <v>21571</v>
      </c>
      <c r="L119" s="518">
        <f t="shared" ref="L119:M119" si="220">SUM(L113:L118)</f>
        <v>21571</v>
      </c>
      <c r="M119" s="518">
        <f t="shared" si="220"/>
        <v>0</v>
      </c>
      <c r="N119" s="413">
        <f t="shared" ref="N119:AQ119" si="221">SUM(N113:N118)</f>
        <v>21571</v>
      </c>
      <c r="O119" s="495">
        <f t="shared" si="221"/>
        <v>0</v>
      </c>
      <c r="P119" s="356">
        <f t="shared" ref="P119:Q119" si="222">SUM(P113:P118)</f>
        <v>0</v>
      </c>
      <c r="Q119" s="356">
        <f t="shared" si="222"/>
        <v>0</v>
      </c>
      <c r="R119" s="343">
        <f t="shared" si="221"/>
        <v>0</v>
      </c>
      <c r="S119" s="495">
        <f t="shared" si="221"/>
        <v>0</v>
      </c>
      <c r="T119" s="356">
        <f t="shared" ref="T119:V119" si="223">SUM(T113:T118)</f>
        <v>0</v>
      </c>
      <c r="U119" s="356">
        <f t="shared" si="223"/>
        <v>0</v>
      </c>
      <c r="V119" s="343">
        <f t="shared" si="223"/>
        <v>0</v>
      </c>
      <c r="W119" s="495">
        <f t="shared" si="221"/>
        <v>21571</v>
      </c>
      <c r="X119" s="356">
        <f t="shared" ref="X119:Z119" si="224">SUM(X113:X118)</f>
        <v>21571</v>
      </c>
      <c r="Y119" s="356">
        <f t="shared" si="224"/>
        <v>0</v>
      </c>
      <c r="Z119" s="343">
        <f t="shared" si="224"/>
        <v>21571</v>
      </c>
      <c r="AA119" s="495">
        <f t="shared" si="221"/>
        <v>0</v>
      </c>
      <c r="AB119" s="356">
        <f t="shared" ref="AB119:AD119" si="225">SUM(AB113:AB118)</f>
        <v>0</v>
      </c>
      <c r="AC119" s="356">
        <f t="shared" si="225"/>
        <v>0</v>
      </c>
      <c r="AD119" s="343">
        <f t="shared" si="225"/>
        <v>0</v>
      </c>
      <c r="AE119" s="517">
        <f t="shared" si="221"/>
        <v>0</v>
      </c>
      <c r="AF119" s="518">
        <f t="shared" ref="AF119:AG119" si="226">SUM(AF113:AF118)</f>
        <v>0</v>
      </c>
      <c r="AG119" s="518">
        <f t="shared" si="226"/>
        <v>0</v>
      </c>
      <c r="AH119" s="413">
        <f t="shared" si="221"/>
        <v>0</v>
      </c>
      <c r="AI119" s="495">
        <f t="shared" si="221"/>
        <v>0</v>
      </c>
      <c r="AJ119" s="356">
        <f t="shared" ref="AJ119:AL119" si="227">SUM(AJ113:AJ118)</f>
        <v>0</v>
      </c>
      <c r="AK119" s="356">
        <f t="shared" si="227"/>
        <v>0</v>
      </c>
      <c r="AL119" s="343">
        <f t="shared" si="227"/>
        <v>0</v>
      </c>
      <c r="AM119" s="495">
        <f t="shared" si="221"/>
        <v>0</v>
      </c>
      <c r="AN119" s="356">
        <f t="shared" ref="AN119:AP119" si="228">SUM(AN113:AN118)</f>
        <v>0</v>
      </c>
      <c r="AO119" s="356">
        <f t="shared" si="228"/>
        <v>0</v>
      </c>
      <c r="AP119" s="343">
        <f t="shared" si="228"/>
        <v>0</v>
      </c>
      <c r="AQ119" s="495">
        <f t="shared" si="221"/>
        <v>0</v>
      </c>
      <c r="AR119" s="356">
        <f t="shared" ref="AR119:AT119" si="229">SUM(AR113:AR118)</f>
        <v>0</v>
      </c>
      <c r="AS119" s="356">
        <f t="shared" si="229"/>
        <v>0</v>
      </c>
      <c r="AT119" s="343">
        <f t="shared" si="229"/>
        <v>0</v>
      </c>
      <c r="AU119" s="483"/>
      <c r="AV119" s="483"/>
      <c r="AW119" s="483"/>
      <c r="AX119" s="483"/>
      <c r="AY119" s="483"/>
    </row>
    <row r="120" spans="1:51" s="485" customFormat="1" ht="12.75" customHeight="1" thickBot="1">
      <c r="A120" s="534">
        <f>+A118+1</f>
        <v>102</v>
      </c>
      <c r="B120" s="840">
        <v>22</v>
      </c>
      <c r="C120" s="926" t="s">
        <v>19</v>
      </c>
      <c r="D120" s="1008" t="s">
        <v>19</v>
      </c>
      <c r="E120" s="921" t="s">
        <v>19</v>
      </c>
      <c r="F120" s="1008" t="s">
        <v>19</v>
      </c>
      <c r="G120" s="1427">
        <f>+K120+AE120</f>
        <v>0</v>
      </c>
      <c r="H120" s="1428">
        <f>+L120+AF120</f>
        <v>0</v>
      </c>
      <c r="I120" s="1428">
        <f>+M120+AG120</f>
        <v>0</v>
      </c>
      <c r="J120" s="421">
        <f>+N120+AH120</f>
        <v>0</v>
      </c>
      <c r="K120" s="1427">
        <f>+O120+S120+W120+AA120</f>
        <v>0</v>
      </c>
      <c r="L120" s="1428">
        <f>+P120+T120+X120+AB120</f>
        <v>0</v>
      </c>
      <c r="M120" s="1428">
        <f>+Q120+U120+Y120+AC120</f>
        <v>0</v>
      </c>
      <c r="N120" s="421">
        <f>+R120+V120+Z120+AD120</f>
        <v>0</v>
      </c>
      <c r="O120" s="491"/>
      <c r="P120" s="490"/>
      <c r="Q120" s="490"/>
      <c r="R120" s="440">
        <f t="shared" ref="R120" si="230">+P120+Q120</f>
        <v>0</v>
      </c>
      <c r="S120" s="491"/>
      <c r="T120" s="490"/>
      <c r="U120" s="490"/>
      <c r="V120" s="440">
        <f t="shared" ref="V120" si="231">+T120+U120</f>
        <v>0</v>
      </c>
      <c r="W120" s="491"/>
      <c r="X120" s="490"/>
      <c r="Y120" s="490"/>
      <c r="Z120" s="440">
        <f t="shared" ref="Z120" si="232">+X120+Y120</f>
        <v>0</v>
      </c>
      <c r="AA120" s="491"/>
      <c r="AB120" s="490"/>
      <c r="AC120" s="490"/>
      <c r="AD120" s="440">
        <f t="shared" ref="AD120" si="233">+AB120+AC120</f>
        <v>0</v>
      </c>
      <c r="AE120" s="1427">
        <f>+AI120+AM120+AQ120</f>
        <v>0</v>
      </c>
      <c r="AF120" s="1428">
        <f>+AJ120+AN120+AR120</f>
        <v>0</v>
      </c>
      <c r="AG120" s="1428">
        <f>+AK120+AO120+AS120</f>
        <v>0</v>
      </c>
      <c r="AH120" s="421">
        <f>+AL120+AP120+AT120</f>
        <v>0</v>
      </c>
      <c r="AI120" s="491"/>
      <c r="AJ120" s="490"/>
      <c r="AK120" s="490"/>
      <c r="AL120" s="440">
        <f t="shared" ref="AL120" si="234">+AJ120+AK120</f>
        <v>0</v>
      </c>
      <c r="AM120" s="491"/>
      <c r="AN120" s="490"/>
      <c r="AO120" s="490"/>
      <c r="AP120" s="440">
        <f t="shared" ref="AP120" si="235">+AN120+AO120</f>
        <v>0</v>
      </c>
      <c r="AQ120" s="491"/>
      <c r="AR120" s="490"/>
      <c r="AS120" s="490"/>
      <c r="AT120" s="440">
        <f t="shared" ref="AT120" si="236">+AR120+AS120</f>
        <v>0</v>
      </c>
      <c r="AU120" s="483"/>
      <c r="AV120" s="483"/>
      <c r="AW120" s="483"/>
      <c r="AX120" s="483"/>
      <c r="AY120" s="483"/>
    </row>
    <row r="121" spans="1:51" s="481" customFormat="1" ht="12.75" thickBot="1">
      <c r="A121" s="863" t="s">
        <v>748</v>
      </c>
      <c r="B121" s="835"/>
      <c r="C121" s="1558" t="s">
        <v>418</v>
      </c>
      <c r="D121" s="1559"/>
      <c r="E121" s="1559"/>
      <c r="F121" s="1560"/>
      <c r="G121" s="517">
        <f>SUM(G120)</f>
        <v>0</v>
      </c>
      <c r="H121" s="518">
        <f>SUM(H120)</f>
        <v>0</v>
      </c>
      <c r="I121" s="518">
        <f>SUM(I120)</f>
        <v>0</v>
      </c>
      <c r="J121" s="413">
        <f>SUM(J120)</f>
        <v>0</v>
      </c>
      <c r="K121" s="517">
        <f t="shared" ref="K121" si="237">SUM(K120)</f>
        <v>0</v>
      </c>
      <c r="L121" s="518">
        <f t="shared" ref="L121:M121" si="238">SUM(L120)</f>
        <v>0</v>
      </c>
      <c r="M121" s="518">
        <f t="shared" si="238"/>
        <v>0</v>
      </c>
      <c r="N121" s="413">
        <f t="shared" ref="N121:AQ121" si="239">SUM(N120)</f>
        <v>0</v>
      </c>
      <c r="O121" s="495">
        <f t="shared" si="239"/>
        <v>0</v>
      </c>
      <c r="P121" s="356">
        <f t="shared" ref="P121:Q121" si="240">SUM(P120)</f>
        <v>0</v>
      </c>
      <c r="Q121" s="356">
        <f t="shared" si="240"/>
        <v>0</v>
      </c>
      <c r="R121" s="343">
        <f t="shared" si="239"/>
        <v>0</v>
      </c>
      <c r="S121" s="495">
        <f t="shared" si="239"/>
        <v>0</v>
      </c>
      <c r="T121" s="356">
        <f t="shared" ref="T121:V121" si="241">SUM(T120)</f>
        <v>0</v>
      </c>
      <c r="U121" s="356">
        <f t="shared" si="241"/>
        <v>0</v>
      </c>
      <c r="V121" s="343">
        <f t="shared" si="241"/>
        <v>0</v>
      </c>
      <c r="W121" s="495">
        <f t="shared" si="239"/>
        <v>0</v>
      </c>
      <c r="X121" s="356">
        <f t="shared" ref="X121:Z121" si="242">SUM(X120)</f>
        <v>0</v>
      </c>
      <c r="Y121" s="356">
        <f t="shared" si="242"/>
        <v>0</v>
      </c>
      <c r="Z121" s="343">
        <f t="shared" si="242"/>
        <v>0</v>
      </c>
      <c r="AA121" s="495">
        <f t="shared" si="239"/>
        <v>0</v>
      </c>
      <c r="AB121" s="356">
        <f t="shared" ref="AB121:AD121" si="243">SUM(AB120)</f>
        <v>0</v>
      </c>
      <c r="AC121" s="356">
        <f t="shared" si="243"/>
        <v>0</v>
      </c>
      <c r="AD121" s="343">
        <f t="shared" si="243"/>
        <v>0</v>
      </c>
      <c r="AE121" s="517">
        <f t="shared" si="239"/>
        <v>0</v>
      </c>
      <c r="AF121" s="518">
        <f t="shared" ref="AF121:AG121" si="244">SUM(AF120)</f>
        <v>0</v>
      </c>
      <c r="AG121" s="518">
        <f t="shared" si="244"/>
        <v>0</v>
      </c>
      <c r="AH121" s="413">
        <f t="shared" si="239"/>
        <v>0</v>
      </c>
      <c r="AI121" s="495">
        <f t="shared" si="239"/>
        <v>0</v>
      </c>
      <c r="AJ121" s="356">
        <f t="shared" ref="AJ121:AL121" si="245">SUM(AJ120)</f>
        <v>0</v>
      </c>
      <c r="AK121" s="356">
        <f t="shared" si="245"/>
        <v>0</v>
      </c>
      <c r="AL121" s="343">
        <f t="shared" si="245"/>
        <v>0</v>
      </c>
      <c r="AM121" s="495">
        <f t="shared" si="239"/>
        <v>0</v>
      </c>
      <c r="AN121" s="356">
        <f t="shared" ref="AN121:AP121" si="246">SUM(AN120)</f>
        <v>0</v>
      </c>
      <c r="AO121" s="356">
        <f t="shared" si="246"/>
        <v>0</v>
      </c>
      <c r="AP121" s="343">
        <f t="shared" si="246"/>
        <v>0</v>
      </c>
      <c r="AQ121" s="495">
        <f t="shared" si="239"/>
        <v>0</v>
      </c>
      <c r="AR121" s="356">
        <f t="shared" ref="AR121:AT121" si="247">SUM(AR120)</f>
        <v>0</v>
      </c>
      <c r="AS121" s="356">
        <f t="shared" si="247"/>
        <v>0</v>
      </c>
      <c r="AT121" s="343">
        <f t="shared" si="247"/>
        <v>0</v>
      </c>
      <c r="AU121" s="483"/>
      <c r="AV121" s="483"/>
      <c r="AW121" s="483"/>
      <c r="AX121" s="483"/>
      <c r="AY121" s="483"/>
    </row>
    <row r="122" spans="1:51" s="485" customFormat="1" ht="12.75" customHeight="1" thickBot="1">
      <c r="A122" s="534">
        <f>+A120+1</f>
        <v>103</v>
      </c>
      <c r="B122" s="840">
        <v>23</v>
      </c>
      <c r="C122" s="926" t="s">
        <v>19</v>
      </c>
      <c r="D122" s="1008" t="s">
        <v>19</v>
      </c>
      <c r="E122" s="921" t="s">
        <v>19</v>
      </c>
      <c r="F122" s="1008" t="s">
        <v>19</v>
      </c>
      <c r="G122" s="1427">
        <f>+K122+AE122</f>
        <v>0</v>
      </c>
      <c r="H122" s="1428">
        <f>+L122+AF122</f>
        <v>0</v>
      </c>
      <c r="I122" s="1428">
        <f>+M122+AG122</f>
        <v>0</v>
      </c>
      <c r="J122" s="421">
        <f>+N122+AH122</f>
        <v>0</v>
      </c>
      <c r="K122" s="1427">
        <f>+O122+S122+W122+AA122</f>
        <v>0</v>
      </c>
      <c r="L122" s="1428">
        <f>+P122+T122+X122+AB122</f>
        <v>0</v>
      </c>
      <c r="M122" s="1428">
        <f>+Q122+U122+Y122+AC122</f>
        <v>0</v>
      </c>
      <c r="N122" s="421">
        <f>+R122+V122+Z122+AD122</f>
        <v>0</v>
      </c>
      <c r="O122" s="491"/>
      <c r="P122" s="490"/>
      <c r="Q122" s="490"/>
      <c r="R122" s="440">
        <f t="shared" ref="R122" si="248">+P122+Q122</f>
        <v>0</v>
      </c>
      <c r="S122" s="491"/>
      <c r="T122" s="490"/>
      <c r="U122" s="490"/>
      <c r="V122" s="440">
        <f t="shared" ref="V122" si="249">+T122+U122</f>
        <v>0</v>
      </c>
      <c r="W122" s="491"/>
      <c r="X122" s="490"/>
      <c r="Y122" s="490"/>
      <c r="Z122" s="440">
        <f t="shared" ref="Z122" si="250">+X122+Y122</f>
        <v>0</v>
      </c>
      <c r="AA122" s="491"/>
      <c r="AB122" s="490"/>
      <c r="AC122" s="490"/>
      <c r="AD122" s="440">
        <f t="shared" ref="AD122" si="251">+AB122+AC122</f>
        <v>0</v>
      </c>
      <c r="AE122" s="1427">
        <f>+AI122+AM122+AQ122</f>
        <v>0</v>
      </c>
      <c r="AF122" s="1428">
        <f>+AJ122+AN122+AR122</f>
        <v>0</v>
      </c>
      <c r="AG122" s="1428">
        <f>+AK122+AO122+AS122</f>
        <v>0</v>
      </c>
      <c r="AH122" s="421">
        <f>+AL122+AP122+AT122</f>
        <v>0</v>
      </c>
      <c r="AI122" s="491"/>
      <c r="AJ122" s="490"/>
      <c r="AK122" s="490"/>
      <c r="AL122" s="440">
        <f t="shared" ref="AL122" si="252">+AJ122+AK122</f>
        <v>0</v>
      </c>
      <c r="AM122" s="491"/>
      <c r="AN122" s="490"/>
      <c r="AO122" s="490"/>
      <c r="AP122" s="440">
        <f t="shared" ref="AP122" si="253">+AN122+AO122</f>
        <v>0</v>
      </c>
      <c r="AQ122" s="491"/>
      <c r="AR122" s="490"/>
      <c r="AS122" s="490"/>
      <c r="AT122" s="440">
        <f t="shared" ref="AT122" si="254">+AR122+AS122</f>
        <v>0</v>
      </c>
      <c r="AU122" s="483"/>
      <c r="AV122" s="483"/>
      <c r="AW122" s="483"/>
      <c r="AX122" s="483"/>
      <c r="AY122" s="483"/>
    </row>
    <row r="123" spans="1:51" s="481" customFormat="1" ht="12.75" thickBot="1">
      <c r="A123" s="528" t="s">
        <v>749</v>
      </c>
      <c r="B123" s="835"/>
      <c r="C123" s="1558" t="s">
        <v>766</v>
      </c>
      <c r="D123" s="1559"/>
      <c r="E123" s="1559"/>
      <c r="F123" s="1560"/>
      <c r="G123" s="517">
        <f>SUM(G122)</f>
        <v>0</v>
      </c>
      <c r="H123" s="518">
        <f>SUM(H122)</f>
        <v>0</v>
      </c>
      <c r="I123" s="518">
        <f>SUM(I122)</f>
        <v>0</v>
      </c>
      <c r="J123" s="413">
        <f>SUM(J122)</f>
        <v>0</v>
      </c>
      <c r="K123" s="517">
        <f t="shared" ref="K123" si="255">SUM(K122)</f>
        <v>0</v>
      </c>
      <c r="L123" s="518">
        <f t="shared" ref="L123:M123" si="256">SUM(L122)</f>
        <v>0</v>
      </c>
      <c r="M123" s="518">
        <f t="shared" si="256"/>
        <v>0</v>
      </c>
      <c r="N123" s="413">
        <f t="shared" ref="N123:AQ123" si="257">SUM(N122)</f>
        <v>0</v>
      </c>
      <c r="O123" s="495">
        <f t="shared" si="257"/>
        <v>0</v>
      </c>
      <c r="P123" s="356">
        <f t="shared" ref="P123:Q123" si="258">SUM(P122)</f>
        <v>0</v>
      </c>
      <c r="Q123" s="356">
        <f t="shared" si="258"/>
        <v>0</v>
      </c>
      <c r="R123" s="343">
        <f t="shared" si="257"/>
        <v>0</v>
      </c>
      <c r="S123" s="495">
        <f t="shared" si="257"/>
        <v>0</v>
      </c>
      <c r="T123" s="356">
        <f t="shared" ref="T123:V123" si="259">SUM(T122)</f>
        <v>0</v>
      </c>
      <c r="U123" s="356">
        <f t="shared" si="259"/>
        <v>0</v>
      </c>
      <c r="V123" s="343">
        <f t="shared" si="259"/>
        <v>0</v>
      </c>
      <c r="W123" s="495">
        <f t="shared" si="257"/>
        <v>0</v>
      </c>
      <c r="X123" s="356">
        <f t="shared" ref="X123:Z123" si="260">SUM(X122)</f>
        <v>0</v>
      </c>
      <c r="Y123" s="356">
        <f t="shared" si="260"/>
        <v>0</v>
      </c>
      <c r="Z123" s="343">
        <f t="shared" si="260"/>
        <v>0</v>
      </c>
      <c r="AA123" s="495">
        <f t="shared" si="257"/>
        <v>0</v>
      </c>
      <c r="AB123" s="356">
        <f t="shared" ref="AB123:AD123" si="261">SUM(AB122)</f>
        <v>0</v>
      </c>
      <c r="AC123" s="356">
        <f t="shared" si="261"/>
        <v>0</v>
      </c>
      <c r="AD123" s="343">
        <f t="shared" si="261"/>
        <v>0</v>
      </c>
      <c r="AE123" s="517">
        <f t="shared" si="257"/>
        <v>0</v>
      </c>
      <c r="AF123" s="518">
        <f t="shared" ref="AF123:AG123" si="262">SUM(AF122)</f>
        <v>0</v>
      </c>
      <c r="AG123" s="518">
        <f t="shared" si="262"/>
        <v>0</v>
      </c>
      <c r="AH123" s="413">
        <f t="shared" si="257"/>
        <v>0</v>
      </c>
      <c r="AI123" s="495">
        <f t="shared" si="257"/>
        <v>0</v>
      </c>
      <c r="AJ123" s="356">
        <f t="shared" ref="AJ123:AL123" si="263">SUM(AJ122)</f>
        <v>0</v>
      </c>
      <c r="AK123" s="356">
        <f t="shared" si="263"/>
        <v>0</v>
      </c>
      <c r="AL123" s="343">
        <f t="shared" si="263"/>
        <v>0</v>
      </c>
      <c r="AM123" s="495">
        <f t="shared" si="257"/>
        <v>0</v>
      </c>
      <c r="AN123" s="356">
        <f t="shared" ref="AN123:AP123" si="264">SUM(AN122)</f>
        <v>0</v>
      </c>
      <c r="AO123" s="356">
        <f t="shared" si="264"/>
        <v>0</v>
      </c>
      <c r="AP123" s="343">
        <f t="shared" si="264"/>
        <v>0</v>
      </c>
      <c r="AQ123" s="495">
        <f t="shared" si="257"/>
        <v>0</v>
      </c>
      <c r="AR123" s="356">
        <f t="shared" ref="AR123:AT123" si="265">SUM(AR122)</f>
        <v>0</v>
      </c>
      <c r="AS123" s="356">
        <f t="shared" si="265"/>
        <v>0</v>
      </c>
      <c r="AT123" s="343">
        <f t="shared" si="265"/>
        <v>0</v>
      </c>
      <c r="AU123" s="483"/>
      <c r="AV123" s="483"/>
      <c r="AW123" s="483"/>
      <c r="AX123" s="483"/>
      <c r="AY123" s="483"/>
    </row>
    <row r="124" spans="1:51" s="481" customFormat="1" ht="12.75" thickBot="1">
      <c r="A124" s="529" t="s">
        <v>21</v>
      </c>
      <c r="B124" s="836"/>
      <c r="C124" s="1552" t="s">
        <v>419</v>
      </c>
      <c r="D124" s="1553"/>
      <c r="E124" s="1553"/>
      <c r="F124" s="1554"/>
      <c r="G124" s="497">
        <f>+G119+G121+G123</f>
        <v>21571</v>
      </c>
      <c r="H124" s="498">
        <f>+H119+H121+H123</f>
        <v>21571</v>
      </c>
      <c r="I124" s="498">
        <f>+I119+I121+I123</f>
        <v>0</v>
      </c>
      <c r="J124" s="499">
        <f>+J119+J121+J123</f>
        <v>21571</v>
      </c>
      <c r="K124" s="497">
        <f t="shared" ref="K124" si="266">+K119+K121+K123</f>
        <v>21571</v>
      </c>
      <c r="L124" s="498">
        <f t="shared" ref="L124:M124" si="267">+L119+L121+L123</f>
        <v>21571</v>
      </c>
      <c r="M124" s="498">
        <f t="shared" si="267"/>
        <v>0</v>
      </c>
      <c r="N124" s="499">
        <f t="shared" ref="N124:AQ124" si="268">+N119+N121+N123</f>
        <v>21571</v>
      </c>
      <c r="O124" s="509">
        <f t="shared" si="268"/>
        <v>0</v>
      </c>
      <c r="P124" s="510">
        <f t="shared" ref="P124:Q124" si="269">+P119+P121+P123</f>
        <v>0</v>
      </c>
      <c r="Q124" s="510">
        <f t="shared" si="269"/>
        <v>0</v>
      </c>
      <c r="R124" s="511">
        <f t="shared" si="268"/>
        <v>0</v>
      </c>
      <c r="S124" s="509">
        <f t="shared" si="268"/>
        <v>0</v>
      </c>
      <c r="T124" s="510">
        <f t="shared" ref="T124:V124" si="270">+T119+T121+T123</f>
        <v>0</v>
      </c>
      <c r="U124" s="510">
        <f t="shared" si="270"/>
        <v>0</v>
      </c>
      <c r="V124" s="511">
        <f t="shared" si="270"/>
        <v>0</v>
      </c>
      <c r="W124" s="509">
        <f t="shared" si="268"/>
        <v>21571</v>
      </c>
      <c r="X124" s="510">
        <f t="shared" ref="X124:Z124" si="271">+X119+X121+X123</f>
        <v>21571</v>
      </c>
      <c r="Y124" s="510">
        <f t="shared" si="271"/>
        <v>0</v>
      </c>
      <c r="Z124" s="511">
        <f t="shared" si="271"/>
        <v>21571</v>
      </c>
      <c r="AA124" s="509">
        <f t="shared" si="268"/>
        <v>0</v>
      </c>
      <c r="AB124" s="510">
        <f t="shared" ref="AB124:AD124" si="272">+AB119+AB121+AB123</f>
        <v>0</v>
      </c>
      <c r="AC124" s="510">
        <f t="shared" si="272"/>
        <v>0</v>
      </c>
      <c r="AD124" s="511">
        <f t="shared" si="272"/>
        <v>0</v>
      </c>
      <c r="AE124" s="497">
        <f t="shared" si="268"/>
        <v>0</v>
      </c>
      <c r="AF124" s="498">
        <f t="shared" ref="AF124:AG124" si="273">+AF119+AF121+AF123</f>
        <v>0</v>
      </c>
      <c r="AG124" s="498">
        <f t="shared" si="273"/>
        <v>0</v>
      </c>
      <c r="AH124" s="499">
        <f t="shared" si="268"/>
        <v>0</v>
      </c>
      <c r="AI124" s="509">
        <f t="shared" si="268"/>
        <v>0</v>
      </c>
      <c r="AJ124" s="510">
        <f t="shared" ref="AJ124:AL124" si="274">+AJ119+AJ121+AJ123</f>
        <v>0</v>
      </c>
      <c r="AK124" s="510">
        <f t="shared" si="274"/>
        <v>0</v>
      </c>
      <c r="AL124" s="511">
        <f t="shared" si="274"/>
        <v>0</v>
      </c>
      <c r="AM124" s="509">
        <f t="shared" si="268"/>
        <v>0</v>
      </c>
      <c r="AN124" s="510">
        <f t="shared" ref="AN124:AP124" si="275">+AN119+AN121+AN123</f>
        <v>0</v>
      </c>
      <c r="AO124" s="510">
        <f t="shared" si="275"/>
        <v>0</v>
      </c>
      <c r="AP124" s="511">
        <f t="shared" si="275"/>
        <v>0</v>
      </c>
      <c r="AQ124" s="509">
        <f t="shared" si="268"/>
        <v>0</v>
      </c>
      <c r="AR124" s="510">
        <f t="shared" ref="AR124:AT124" si="276">+AR119+AR121+AR123</f>
        <v>0</v>
      </c>
      <c r="AS124" s="510">
        <f t="shared" si="276"/>
        <v>0</v>
      </c>
      <c r="AT124" s="511">
        <f t="shared" si="276"/>
        <v>0</v>
      </c>
      <c r="AU124" s="483"/>
      <c r="AV124" s="483"/>
      <c r="AW124" s="483"/>
      <c r="AX124" s="483"/>
      <c r="AY124" s="483"/>
    </row>
    <row r="125" spans="1:51" s="481" customFormat="1" ht="12.75" thickBot="1">
      <c r="A125" s="528"/>
      <c r="B125" s="839"/>
      <c r="C125" s="925"/>
      <c r="D125" s="527"/>
      <c r="E125" s="920"/>
      <c r="F125" s="494"/>
      <c r="G125" s="517"/>
      <c r="H125" s="518"/>
      <c r="I125" s="518"/>
      <c r="J125" s="413"/>
      <c r="K125" s="517"/>
      <c r="L125" s="518"/>
      <c r="M125" s="518"/>
      <c r="N125" s="413"/>
      <c r="O125" s="495"/>
      <c r="P125" s="356"/>
      <c r="Q125" s="356"/>
      <c r="R125" s="343"/>
      <c r="S125" s="495"/>
      <c r="T125" s="356"/>
      <c r="U125" s="356"/>
      <c r="V125" s="343"/>
      <c r="W125" s="495"/>
      <c r="X125" s="356"/>
      <c r="Y125" s="356"/>
      <c r="Z125" s="343"/>
      <c r="AA125" s="495"/>
      <c r="AB125" s="356"/>
      <c r="AC125" s="356"/>
      <c r="AD125" s="343"/>
      <c r="AE125" s="517"/>
      <c r="AF125" s="518"/>
      <c r="AG125" s="518"/>
      <c r="AH125" s="413"/>
      <c r="AI125" s="495"/>
      <c r="AJ125" s="356"/>
      <c r="AK125" s="356"/>
      <c r="AL125" s="343"/>
      <c r="AM125" s="495"/>
      <c r="AN125" s="356"/>
      <c r="AO125" s="356"/>
      <c r="AP125" s="343"/>
      <c r="AQ125" s="495"/>
      <c r="AR125" s="356"/>
      <c r="AS125" s="356"/>
      <c r="AT125" s="343"/>
      <c r="AU125" s="483"/>
      <c r="AV125" s="483"/>
      <c r="AW125" s="483"/>
      <c r="AX125" s="483"/>
      <c r="AY125" s="483"/>
    </row>
    <row r="126" spans="1:51">
      <c r="A126" s="532">
        <f>+A122+1</f>
        <v>104</v>
      </c>
      <c r="B126" s="832">
        <v>24</v>
      </c>
      <c r="C126" s="993" t="s">
        <v>1087</v>
      </c>
      <c r="D126" s="944" t="s">
        <v>1088</v>
      </c>
      <c r="E126" s="994" t="s">
        <v>1225</v>
      </c>
      <c r="F126" s="1007" t="s">
        <v>1088</v>
      </c>
      <c r="G126" s="1417">
        <f t="shared" ref="G126:J130" si="277">+K126+AE126</f>
        <v>0</v>
      </c>
      <c r="H126" s="1418">
        <f t="shared" si="277"/>
        <v>0</v>
      </c>
      <c r="I126" s="1418">
        <f t="shared" si="277"/>
        <v>0</v>
      </c>
      <c r="J126" s="473">
        <f t="shared" si="277"/>
        <v>0</v>
      </c>
      <c r="K126" s="1417">
        <f t="shared" ref="K126:N130" si="278">+O126+S126+W126+AA126</f>
        <v>0</v>
      </c>
      <c r="L126" s="1418">
        <f t="shared" si="278"/>
        <v>0</v>
      </c>
      <c r="M126" s="1418">
        <f t="shared" si="278"/>
        <v>0</v>
      </c>
      <c r="N126" s="473">
        <f t="shared" si="278"/>
        <v>0</v>
      </c>
      <c r="O126" s="1011"/>
      <c r="P126" s="1012"/>
      <c r="Q126" s="1012"/>
      <c r="R126" s="1013">
        <f t="shared" ref="R126:R130" si="279">+P126+Q126</f>
        <v>0</v>
      </c>
      <c r="S126" s="1011"/>
      <c r="T126" s="1012"/>
      <c r="U126" s="1012"/>
      <c r="V126" s="1013">
        <f t="shared" ref="V126:V130" si="280">+T126+U126</f>
        <v>0</v>
      </c>
      <c r="W126" s="1011"/>
      <c r="X126" s="1012"/>
      <c r="Y126" s="1012"/>
      <c r="Z126" s="1013">
        <f t="shared" ref="Z126:Z130" si="281">+X126+Y126</f>
        <v>0</v>
      </c>
      <c r="AA126" s="1011"/>
      <c r="AB126" s="1012"/>
      <c r="AC126" s="1012"/>
      <c r="AD126" s="1013">
        <f t="shared" ref="AD126:AD130" si="282">+AB126+AC126</f>
        <v>0</v>
      </c>
      <c r="AE126" s="1417">
        <f t="shared" ref="AE126:AH130" si="283">+AI126+AM126+AQ126</f>
        <v>0</v>
      </c>
      <c r="AF126" s="1418">
        <f t="shared" si="283"/>
        <v>0</v>
      </c>
      <c r="AG126" s="1418">
        <f t="shared" si="283"/>
        <v>0</v>
      </c>
      <c r="AH126" s="473">
        <f t="shared" si="283"/>
        <v>0</v>
      </c>
      <c r="AI126" s="1011"/>
      <c r="AJ126" s="1012"/>
      <c r="AK126" s="1012"/>
      <c r="AL126" s="1013">
        <f t="shared" ref="AL126:AL130" si="284">+AJ126+AK126</f>
        <v>0</v>
      </c>
      <c r="AM126" s="1011"/>
      <c r="AN126" s="1012"/>
      <c r="AO126" s="1012"/>
      <c r="AP126" s="1013">
        <f t="shared" ref="AP126:AP130" si="285">+AN126+AO126</f>
        <v>0</v>
      </c>
      <c r="AQ126" s="1011"/>
      <c r="AR126" s="1012"/>
      <c r="AS126" s="1012"/>
      <c r="AT126" s="1013">
        <f t="shared" ref="AT126:AT130" si="286">+AR126+AS126</f>
        <v>0</v>
      </c>
      <c r="AU126" s="483"/>
      <c r="AV126" s="483"/>
      <c r="AW126" s="483"/>
      <c r="AX126" s="483"/>
      <c r="AY126" s="483"/>
    </row>
    <row r="127" spans="1:51">
      <c r="A127" s="532">
        <f>+A126+1</f>
        <v>105</v>
      </c>
      <c r="B127" s="832">
        <v>25</v>
      </c>
      <c r="C127" s="993" t="s">
        <v>1090</v>
      </c>
      <c r="D127" s="944" t="s">
        <v>1089</v>
      </c>
      <c r="E127" s="994" t="s">
        <v>1225</v>
      </c>
      <c r="F127" s="1007" t="s">
        <v>1089</v>
      </c>
      <c r="G127" s="1417">
        <f t="shared" si="277"/>
        <v>500</v>
      </c>
      <c r="H127" s="1418">
        <f t="shared" si="277"/>
        <v>500</v>
      </c>
      <c r="I127" s="1418">
        <f t="shared" si="277"/>
        <v>0</v>
      </c>
      <c r="J127" s="473">
        <f t="shared" si="277"/>
        <v>500</v>
      </c>
      <c r="K127" s="1417">
        <f t="shared" si="278"/>
        <v>500</v>
      </c>
      <c r="L127" s="1418">
        <f t="shared" si="278"/>
        <v>500</v>
      </c>
      <c r="M127" s="1418">
        <f t="shared" si="278"/>
        <v>0</v>
      </c>
      <c r="N127" s="473">
        <f t="shared" si="278"/>
        <v>500</v>
      </c>
      <c r="O127" s="1011"/>
      <c r="P127" s="1012"/>
      <c r="Q127" s="1012"/>
      <c r="R127" s="1013">
        <f t="shared" si="279"/>
        <v>0</v>
      </c>
      <c r="S127" s="1011"/>
      <c r="T127" s="1012"/>
      <c r="U127" s="1012"/>
      <c r="V127" s="1013">
        <f t="shared" si="280"/>
        <v>0</v>
      </c>
      <c r="W127" s="1011">
        <v>500</v>
      </c>
      <c r="X127" s="1012">
        <v>500</v>
      </c>
      <c r="Y127" s="1012"/>
      <c r="Z127" s="1013">
        <f t="shared" si="281"/>
        <v>500</v>
      </c>
      <c r="AA127" s="1011"/>
      <c r="AB127" s="1012"/>
      <c r="AC127" s="1012"/>
      <c r="AD127" s="1013">
        <f t="shared" si="282"/>
        <v>0</v>
      </c>
      <c r="AE127" s="1417">
        <f t="shared" si="283"/>
        <v>0</v>
      </c>
      <c r="AF127" s="1418">
        <f t="shared" si="283"/>
        <v>0</v>
      </c>
      <c r="AG127" s="1418">
        <f t="shared" si="283"/>
        <v>0</v>
      </c>
      <c r="AH127" s="473">
        <f t="shared" si="283"/>
        <v>0</v>
      </c>
      <c r="AI127" s="1011"/>
      <c r="AJ127" s="1012"/>
      <c r="AK127" s="1012"/>
      <c r="AL127" s="1013">
        <f t="shared" si="284"/>
        <v>0</v>
      </c>
      <c r="AM127" s="1011"/>
      <c r="AN127" s="1012"/>
      <c r="AO127" s="1012"/>
      <c r="AP127" s="1013">
        <f t="shared" si="285"/>
        <v>0</v>
      </c>
      <c r="AQ127" s="1011"/>
      <c r="AR127" s="1012"/>
      <c r="AS127" s="1012"/>
      <c r="AT127" s="1013">
        <f t="shared" si="286"/>
        <v>0</v>
      </c>
      <c r="AU127" s="483"/>
      <c r="AV127" s="483"/>
      <c r="AW127" s="483"/>
      <c r="AX127" s="483"/>
      <c r="AY127" s="483"/>
    </row>
    <row r="128" spans="1:51">
      <c r="A128" s="532">
        <f t="shared" ref="A128:A130" si="287">+A127+1</f>
        <v>106</v>
      </c>
      <c r="B128" s="832">
        <v>26</v>
      </c>
      <c r="C128" s="993" t="s">
        <v>1092</v>
      </c>
      <c r="D128" s="944" t="s">
        <v>1091</v>
      </c>
      <c r="E128" s="994" t="s">
        <v>1243</v>
      </c>
      <c r="F128" s="1007" t="s">
        <v>1095</v>
      </c>
      <c r="G128" s="1417">
        <f t="shared" si="277"/>
        <v>100</v>
      </c>
      <c r="H128" s="1418">
        <f t="shared" si="277"/>
        <v>100</v>
      </c>
      <c r="I128" s="1418">
        <f t="shared" si="277"/>
        <v>0</v>
      </c>
      <c r="J128" s="473">
        <f t="shared" si="277"/>
        <v>100</v>
      </c>
      <c r="K128" s="1417">
        <f t="shared" si="278"/>
        <v>100</v>
      </c>
      <c r="L128" s="1418">
        <f t="shared" si="278"/>
        <v>100</v>
      </c>
      <c r="M128" s="1418">
        <f t="shared" si="278"/>
        <v>0</v>
      </c>
      <c r="N128" s="473">
        <f t="shared" si="278"/>
        <v>100</v>
      </c>
      <c r="O128" s="1011"/>
      <c r="P128" s="1012"/>
      <c r="Q128" s="1012"/>
      <c r="R128" s="1013">
        <f t="shared" si="279"/>
        <v>0</v>
      </c>
      <c r="S128" s="1011"/>
      <c r="T128" s="1012"/>
      <c r="U128" s="1012"/>
      <c r="V128" s="1013">
        <f t="shared" si="280"/>
        <v>0</v>
      </c>
      <c r="W128" s="1011">
        <v>100</v>
      </c>
      <c r="X128" s="1012">
        <v>100</v>
      </c>
      <c r="Y128" s="1012"/>
      <c r="Z128" s="1013">
        <f t="shared" si="281"/>
        <v>100</v>
      </c>
      <c r="AA128" s="1011"/>
      <c r="AB128" s="1012"/>
      <c r="AC128" s="1012"/>
      <c r="AD128" s="1013">
        <f t="shared" si="282"/>
        <v>0</v>
      </c>
      <c r="AE128" s="1417">
        <f t="shared" si="283"/>
        <v>0</v>
      </c>
      <c r="AF128" s="1418">
        <f t="shared" si="283"/>
        <v>0</v>
      </c>
      <c r="AG128" s="1418">
        <f t="shared" si="283"/>
        <v>0</v>
      </c>
      <c r="AH128" s="473">
        <f t="shared" si="283"/>
        <v>0</v>
      </c>
      <c r="AI128" s="1011"/>
      <c r="AJ128" s="1012"/>
      <c r="AK128" s="1012"/>
      <c r="AL128" s="1013">
        <f t="shared" si="284"/>
        <v>0</v>
      </c>
      <c r="AM128" s="1011"/>
      <c r="AN128" s="1012"/>
      <c r="AO128" s="1012"/>
      <c r="AP128" s="1013">
        <f t="shared" si="285"/>
        <v>0</v>
      </c>
      <c r="AQ128" s="1011"/>
      <c r="AR128" s="1012"/>
      <c r="AS128" s="1012"/>
      <c r="AT128" s="1013">
        <f t="shared" si="286"/>
        <v>0</v>
      </c>
      <c r="AU128" s="483"/>
      <c r="AV128" s="483"/>
      <c r="AW128" s="483"/>
      <c r="AX128" s="483"/>
      <c r="AY128" s="483"/>
    </row>
    <row r="129" spans="1:51">
      <c r="A129" s="532">
        <f t="shared" si="287"/>
        <v>107</v>
      </c>
      <c r="B129" s="832">
        <v>25</v>
      </c>
      <c r="C129" s="993" t="s">
        <v>1093</v>
      </c>
      <c r="D129" s="944" t="s">
        <v>1094</v>
      </c>
      <c r="E129" s="994" t="s">
        <v>1244</v>
      </c>
      <c r="F129" s="1007" t="s">
        <v>1096</v>
      </c>
      <c r="G129" s="1417">
        <f t="shared" si="277"/>
        <v>0</v>
      </c>
      <c r="H129" s="1418">
        <f t="shared" si="277"/>
        <v>0</v>
      </c>
      <c r="I129" s="1418">
        <f t="shared" si="277"/>
        <v>0</v>
      </c>
      <c r="J129" s="473">
        <f t="shared" si="277"/>
        <v>0</v>
      </c>
      <c r="K129" s="1417">
        <f t="shared" si="278"/>
        <v>0</v>
      </c>
      <c r="L129" s="1418">
        <f t="shared" si="278"/>
        <v>0</v>
      </c>
      <c r="M129" s="1418">
        <f t="shared" si="278"/>
        <v>0</v>
      </c>
      <c r="N129" s="473">
        <f t="shared" si="278"/>
        <v>0</v>
      </c>
      <c r="O129" s="1011"/>
      <c r="P129" s="1012"/>
      <c r="Q129" s="1012"/>
      <c r="R129" s="1013">
        <f t="shared" si="279"/>
        <v>0</v>
      </c>
      <c r="S129" s="1011"/>
      <c r="T129" s="1012"/>
      <c r="U129" s="1012"/>
      <c r="V129" s="1013">
        <f t="shared" si="280"/>
        <v>0</v>
      </c>
      <c r="W129" s="1011"/>
      <c r="X129" s="1012"/>
      <c r="Y129" s="1012"/>
      <c r="Z129" s="1013">
        <f t="shared" si="281"/>
        <v>0</v>
      </c>
      <c r="AA129" s="1011"/>
      <c r="AB129" s="1012"/>
      <c r="AC129" s="1012"/>
      <c r="AD129" s="1013">
        <f t="shared" si="282"/>
        <v>0</v>
      </c>
      <c r="AE129" s="1417">
        <f t="shared" si="283"/>
        <v>0</v>
      </c>
      <c r="AF129" s="1418">
        <f t="shared" si="283"/>
        <v>0</v>
      </c>
      <c r="AG129" s="1418">
        <f t="shared" si="283"/>
        <v>0</v>
      </c>
      <c r="AH129" s="473">
        <f t="shared" si="283"/>
        <v>0</v>
      </c>
      <c r="AI129" s="1011"/>
      <c r="AJ129" s="1012"/>
      <c r="AK129" s="1012"/>
      <c r="AL129" s="1013">
        <f t="shared" si="284"/>
        <v>0</v>
      </c>
      <c r="AM129" s="1011"/>
      <c r="AN129" s="1012"/>
      <c r="AO129" s="1012"/>
      <c r="AP129" s="1013">
        <f t="shared" si="285"/>
        <v>0</v>
      </c>
      <c r="AQ129" s="1011"/>
      <c r="AR129" s="1012"/>
      <c r="AS129" s="1012"/>
      <c r="AT129" s="1013">
        <f t="shared" si="286"/>
        <v>0</v>
      </c>
      <c r="AU129" s="483"/>
      <c r="AV129" s="483"/>
      <c r="AW129" s="483"/>
      <c r="AX129" s="483"/>
      <c r="AY129" s="483"/>
    </row>
    <row r="130" spans="1:51" ht="12.75" thickBot="1">
      <c r="A130" s="532">
        <f t="shared" si="287"/>
        <v>108</v>
      </c>
      <c r="B130" s="832">
        <v>25</v>
      </c>
      <c r="C130" s="993" t="s">
        <v>1002</v>
      </c>
      <c r="D130" s="944" t="s">
        <v>1003</v>
      </c>
      <c r="E130" s="994" t="s">
        <v>1225</v>
      </c>
      <c r="F130" s="1007" t="s">
        <v>1089</v>
      </c>
      <c r="G130" s="1417">
        <f t="shared" si="277"/>
        <v>0</v>
      </c>
      <c r="H130" s="1418">
        <f t="shared" si="277"/>
        <v>0</v>
      </c>
      <c r="I130" s="1418">
        <f t="shared" si="277"/>
        <v>0</v>
      </c>
      <c r="J130" s="473">
        <f t="shared" si="277"/>
        <v>0</v>
      </c>
      <c r="K130" s="1417">
        <f t="shared" si="278"/>
        <v>0</v>
      </c>
      <c r="L130" s="1418">
        <f t="shared" si="278"/>
        <v>0</v>
      </c>
      <c r="M130" s="1418">
        <f t="shared" si="278"/>
        <v>0</v>
      </c>
      <c r="N130" s="473">
        <f t="shared" si="278"/>
        <v>0</v>
      </c>
      <c r="O130" s="1011"/>
      <c r="P130" s="1012"/>
      <c r="Q130" s="1012"/>
      <c r="R130" s="1013">
        <f t="shared" si="279"/>
        <v>0</v>
      </c>
      <c r="S130" s="1011"/>
      <c r="T130" s="1012"/>
      <c r="U130" s="1012"/>
      <c r="V130" s="1013">
        <f t="shared" si="280"/>
        <v>0</v>
      </c>
      <c r="W130" s="1011"/>
      <c r="X130" s="1012"/>
      <c r="Y130" s="1012"/>
      <c r="Z130" s="1013">
        <f t="shared" si="281"/>
        <v>0</v>
      </c>
      <c r="AA130" s="1011"/>
      <c r="AB130" s="1012"/>
      <c r="AC130" s="1012"/>
      <c r="AD130" s="1013">
        <f t="shared" si="282"/>
        <v>0</v>
      </c>
      <c r="AE130" s="1417">
        <f t="shared" si="283"/>
        <v>0</v>
      </c>
      <c r="AF130" s="1418">
        <f t="shared" si="283"/>
        <v>0</v>
      </c>
      <c r="AG130" s="1418">
        <f t="shared" si="283"/>
        <v>0</v>
      </c>
      <c r="AH130" s="473">
        <f t="shared" si="283"/>
        <v>0</v>
      </c>
      <c r="AI130" s="1011"/>
      <c r="AJ130" s="1012"/>
      <c r="AK130" s="1012"/>
      <c r="AL130" s="1013">
        <f t="shared" si="284"/>
        <v>0</v>
      </c>
      <c r="AM130" s="1011"/>
      <c r="AN130" s="1012"/>
      <c r="AO130" s="1012"/>
      <c r="AP130" s="1013">
        <f t="shared" si="285"/>
        <v>0</v>
      </c>
      <c r="AQ130" s="1011"/>
      <c r="AR130" s="1012"/>
      <c r="AS130" s="1012"/>
      <c r="AT130" s="1013">
        <f t="shared" si="286"/>
        <v>0</v>
      </c>
      <c r="AU130" s="483"/>
      <c r="AV130" s="483"/>
      <c r="AW130" s="483"/>
      <c r="AX130" s="483"/>
      <c r="AY130" s="483"/>
    </row>
    <row r="131" spans="1:51" s="481" customFormat="1" ht="12.75" thickBot="1">
      <c r="A131" s="528" t="s">
        <v>750</v>
      </c>
      <c r="B131" s="835"/>
      <c r="C131" s="1558" t="s">
        <v>420</v>
      </c>
      <c r="D131" s="1559"/>
      <c r="E131" s="1559"/>
      <c r="F131" s="1560"/>
      <c r="G131" s="517">
        <f>SUM(G126:G130)</f>
        <v>600</v>
      </c>
      <c r="H131" s="518">
        <f>SUM(H126:H130)</f>
        <v>600</v>
      </c>
      <c r="I131" s="518">
        <f>SUM(I126:I130)</f>
        <v>0</v>
      </c>
      <c r="J131" s="413">
        <f>SUM(J126:J130)</f>
        <v>600</v>
      </c>
      <c r="K131" s="517">
        <f t="shared" ref="K131" si="288">SUM(K126:K130)</f>
        <v>600</v>
      </c>
      <c r="L131" s="518">
        <f t="shared" ref="L131:M131" si="289">SUM(L126:L130)</f>
        <v>600</v>
      </c>
      <c r="M131" s="518">
        <f t="shared" si="289"/>
        <v>0</v>
      </c>
      <c r="N131" s="413">
        <f t="shared" ref="N131:AQ131" si="290">SUM(N126:N130)</f>
        <v>600</v>
      </c>
      <c r="O131" s="495">
        <f t="shared" si="290"/>
        <v>0</v>
      </c>
      <c r="P131" s="356">
        <f t="shared" ref="P131:Q131" si="291">SUM(P126:P130)</f>
        <v>0</v>
      </c>
      <c r="Q131" s="356">
        <f t="shared" si="291"/>
        <v>0</v>
      </c>
      <c r="R131" s="343">
        <f t="shared" si="290"/>
        <v>0</v>
      </c>
      <c r="S131" s="495">
        <f t="shared" si="290"/>
        <v>0</v>
      </c>
      <c r="T131" s="356">
        <f t="shared" ref="T131:V131" si="292">SUM(T126:T130)</f>
        <v>0</v>
      </c>
      <c r="U131" s="356">
        <f t="shared" si="292"/>
        <v>0</v>
      </c>
      <c r="V131" s="343">
        <f t="shared" si="292"/>
        <v>0</v>
      </c>
      <c r="W131" s="495">
        <f t="shared" si="290"/>
        <v>600</v>
      </c>
      <c r="X131" s="356">
        <f t="shared" ref="X131:Z131" si="293">SUM(X126:X130)</f>
        <v>600</v>
      </c>
      <c r="Y131" s="356">
        <f t="shared" si="293"/>
        <v>0</v>
      </c>
      <c r="Z131" s="343">
        <f t="shared" si="293"/>
        <v>600</v>
      </c>
      <c r="AA131" s="495">
        <f t="shared" si="290"/>
        <v>0</v>
      </c>
      <c r="AB131" s="356">
        <f t="shared" ref="AB131:AD131" si="294">SUM(AB126:AB130)</f>
        <v>0</v>
      </c>
      <c r="AC131" s="356">
        <f t="shared" si="294"/>
        <v>0</v>
      </c>
      <c r="AD131" s="343">
        <f t="shared" si="294"/>
        <v>0</v>
      </c>
      <c r="AE131" s="517">
        <f t="shared" si="290"/>
        <v>0</v>
      </c>
      <c r="AF131" s="518">
        <f t="shared" ref="AF131:AG131" si="295">SUM(AF126:AF130)</f>
        <v>0</v>
      </c>
      <c r="AG131" s="518">
        <f t="shared" si="295"/>
        <v>0</v>
      </c>
      <c r="AH131" s="413">
        <f t="shared" si="290"/>
        <v>0</v>
      </c>
      <c r="AI131" s="495">
        <f t="shared" si="290"/>
        <v>0</v>
      </c>
      <c r="AJ131" s="356">
        <f t="shared" ref="AJ131:AL131" si="296">SUM(AJ126:AJ130)</f>
        <v>0</v>
      </c>
      <c r="AK131" s="356">
        <f t="shared" si="296"/>
        <v>0</v>
      </c>
      <c r="AL131" s="343">
        <f t="shared" si="296"/>
        <v>0</v>
      </c>
      <c r="AM131" s="495">
        <f t="shared" si="290"/>
        <v>0</v>
      </c>
      <c r="AN131" s="356">
        <f t="shared" ref="AN131:AP131" si="297">SUM(AN126:AN130)</f>
        <v>0</v>
      </c>
      <c r="AO131" s="356">
        <f t="shared" si="297"/>
        <v>0</v>
      </c>
      <c r="AP131" s="343">
        <f t="shared" si="297"/>
        <v>0</v>
      </c>
      <c r="AQ131" s="495">
        <f t="shared" si="290"/>
        <v>0</v>
      </c>
      <c r="AR131" s="356">
        <f t="shared" ref="AR131:AT131" si="298">SUM(AR126:AR130)</f>
        <v>0</v>
      </c>
      <c r="AS131" s="356">
        <f t="shared" si="298"/>
        <v>0</v>
      </c>
      <c r="AT131" s="343">
        <f t="shared" si="298"/>
        <v>0</v>
      </c>
      <c r="AU131" s="483"/>
      <c r="AV131" s="483"/>
      <c r="AW131" s="483"/>
      <c r="AX131" s="483"/>
      <c r="AY131" s="483"/>
    </row>
    <row r="132" spans="1:51" s="485" customFormat="1" ht="12.75" customHeight="1" thickBot="1">
      <c r="A132" s="534">
        <f>A130+1</f>
        <v>109</v>
      </c>
      <c r="B132" s="840">
        <v>27</v>
      </c>
      <c r="C132" s="926" t="s">
        <v>19</v>
      </c>
      <c r="D132" s="525" t="s">
        <v>19</v>
      </c>
      <c r="E132" s="921" t="s">
        <v>19</v>
      </c>
      <c r="F132" s="1009" t="s">
        <v>19</v>
      </c>
      <c r="G132" s="1427">
        <f>+K132+AE132</f>
        <v>0</v>
      </c>
      <c r="H132" s="1428">
        <f>+L132+AF132</f>
        <v>0</v>
      </c>
      <c r="I132" s="1428">
        <f>+M132+AG132</f>
        <v>0</v>
      </c>
      <c r="J132" s="421">
        <f>+N132+AH132</f>
        <v>0</v>
      </c>
      <c r="K132" s="1427">
        <f>+O132+S132+W132+AA132</f>
        <v>0</v>
      </c>
      <c r="L132" s="1428">
        <f>+P132+T132+X132+AB132</f>
        <v>0</v>
      </c>
      <c r="M132" s="1428">
        <f>+Q132+U132+Y132+AC132</f>
        <v>0</v>
      </c>
      <c r="N132" s="421">
        <f>+R132+V132+Z132+AD132</f>
        <v>0</v>
      </c>
      <c r="O132" s="491"/>
      <c r="P132" s="490"/>
      <c r="Q132" s="490"/>
      <c r="R132" s="440">
        <f t="shared" ref="R132" si="299">+P132+Q132</f>
        <v>0</v>
      </c>
      <c r="S132" s="491"/>
      <c r="T132" s="490"/>
      <c r="U132" s="490"/>
      <c r="V132" s="440">
        <f t="shared" ref="V132" si="300">+T132+U132</f>
        <v>0</v>
      </c>
      <c r="W132" s="491"/>
      <c r="X132" s="490"/>
      <c r="Y132" s="490"/>
      <c r="Z132" s="440">
        <f t="shared" ref="Z132" si="301">+X132+Y132</f>
        <v>0</v>
      </c>
      <c r="AA132" s="491"/>
      <c r="AB132" s="490"/>
      <c r="AC132" s="490"/>
      <c r="AD132" s="440">
        <f t="shared" ref="AD132" si="302">+AB132+AC132</f>
        <v>0</v>
      </c>
      <c r="AE132" s="1427">
        <f>+AI132+AM132+AQ132</f>
        <v>0</v>
      </c>
      <c r="AF132" s="1428">
        <f>+AJ132+AN132+AR132</f>
        <v>0</v>
      </c>
      <c r="AG132" s="1428">
        <f>+AK132+AO132+AS132</f>
        <v>0</v>
      </c>
      <c r="AH132" s="421">
        <f>+AL132+AP132+AT132</f>
        <v>0</v>
      </c>
      <c r="AI132" s="491"/>
      <c r="AJ132" s="490"/>
      <c r="AK132" s="490"/>
      <c r="AL132" s="440">
        <f t="shared" ref="AL132" si="303">+AJ132+AK132</f>
        <v>0</v>
      </c>
      <c r="AM132" s="491"/>
      <c r="AN132" s="490"/>
      <c r="AO132" s="490"/>
      <c r="AP132" s="440">
        <f t="shared" ref="AP132" si="304">+AN132+AO132</f>
        <v>0</v>
      </c>
      <c r="AQ132" s="491"/>
      <c r="AR132" s="490"/>
      <c r="AS132" s="490"/>
      <c r="AT132" s="440">
        <f t="shared" ref="AT132" si="305">+AR132+AS132</f>
        <v>0</v>
      </c>
      <c r="AU132" s="483"/>
      <c r="AV132" s="483"/>
      <c r="AW132" s="483"/>
      <c r="AX132" s="483"/>
      <c r="AY132" s="483"/>
    </row>
    <row r="133" spans="1:51" s="481" customFormat="1" ht="12.75" thickBot="1">
      <c r="A133" s="528" t="s">
        <v>633</v>
      </c>
      <c r="B133" s="835"/>
      <c r="C133" s="1558" t="s">
        <v>752</v>
      </c>
      <c r="D133" s="1559"/>
      <c r="E133" s="1559"/>
      <c r="F133" s="1560"/>
      <c r="G133" s="517">
        <f>SUM(G132)</f>
        <v>0</v>
      </c>
      <c r="H133" s="518">
        <f>SUM(H132)</f>
        <v>0</v>
      </c>
      <c r="I133" s="518">
        <f>SUM(I132)</f>
        <v>0</v>
      </c>
      <c r="J133" s="413">
        <f>SUM(J132)</f>
        <v>0</v>
      </c>
      <c r="K133" s="517">
        <f t="shared" ref="K133" si="306">SUM(K132)</f>
        <v>0</v>
      </c>
      <c r="L133" s="518">
        <f t="shared" ref="L133:M133" si="307">SUM(L132)</f>
        <v>0</v>
      </c>
      <c r="M133" s="518">
        <f t="shared" si="307"/>
        <v>0</v>
      </c>
      <c r="N133" s="413">
        <f t="shared" ref="N133:AQ135" si="308">SUM(N132)</f>
        <v>0</v>
      </c>
      <c r="O133" s="495">
        <f t="shared" si="308"/>
        <v>0</v>
      </c>
      <c r="P133" s="356">
        <f t="shared" ref="P133:Q133" si="309">SUM(P132)</f>
        <v>0</v>
      </c>
      <c r="Q133" s="356">
        <f t="shared" si="309"/>
        <v>0</v>
      </c>
      <c r="R133" s="343">
        <f t="shared" si="308"/>
        <v>0</v>
      </c>
      <c r="S133" s="495">
        <f t="shared" si="308"/>
        <v>0</v>
      </c>
      <c r="T133" s="356">
        <f t="shared" ref="T133:V133" si="310">SUM(T132)</f>
        <v>0</v>
      </c>
      <c r="U133" s="356">
        <f t="shared" si="310"/>
        <v>0</v>
      </c>
      <c r="V133" s="343">
        <f t="shared" si="310"/>
        <v>0</v>
      </c>
      <c r="W133" s="495">
        <f t="shared" si="308"/>
        <v>0</v>
      </c>
      <c r="X133" s="356">
        <f t="shared" ref="X133:Z133" si="311">SUM(X132)</f>
        <v>0</v>
      </c>
      <c r="Y133" s="356">
        <f t="shared" si="311"/>
        <v>0</v>
      </c>
      <c r="Z133" s="343">
        <f t="shared" si="311"/>
        <v>0</v>
      </c>
      <c r="AA133" s="495">
        <f t="shared" si="308"/>
        <v>0</v>
      </c>
      <c r="AB133" s="356">
        <f t="shared" ref="AB133:AD133" si="312">SUM(AB132)</f>
        <v>0</v>
      </c>
      <c r="AC133" s="356">
        <f t="shared" si="312"/>
        <v>0</v>
      </c>
      <c r="AD133" s="343">
        <f t="shared" si="312"/>
        <v>0</v>
      </c>
      <c r="AE133" s="517">
        <f t="shared" si="308"/>
        <v>0</v>
      </c>
      <c r="AF133" s="518">
        <f t="shared" ref="AF133:AG133" si="313">SUM(AF132)</f>
        <v>0</v>
      </c>
      <c r="AG133" s="518">
        <f t="shared" si="313"/>
        <v>0</v>
      </c>
      <c r="AH133" s="413">
        <f t="shared" si="308"/>
        <v>0</v>
      </c>
      <c r="AI133" s="495">
        <f t="shared" si="308"/>
        <v>0</v>
      </c>
      <c r="AJ133" s="356">
        <f t="shared" ref="AJ133:AL133" si="314">SUM(AJ132)</f>
        <v>0</v>
      </c>
      <c r="AK133" s="356">
        <f t="shared" si="314"/>
        <v>0</v>
      </c>
      <c r="AL133" s="343">
        <f t="shared" si="314"/>
        <v>0</v>
      </c>
      <c r="AM133" s="495">
        <f t="shared" si="308"/>
        <v>0</v>
      </c>
      <c r="AN133" s="356">
        <f t="shared" ref="AN133:AP133" si="315">SUM(AN132)</f>
        <v>0</v>
      </c>
      <c r="AO133" s="356">
        <f t="shared" si="315"/>
        <v>0</v>
      </c>
      <c r="AP133" s="343">
        <f t="shared" si="315"/>
        <v>0</v>
      </c>
      <c r="AQ133" s="495">
        <f t="shared" si="308"/>
        <v>0</v>
      </c>
      <c r="AR133" s="356">
        <f t="shared" ref="AR133:AT133" si="316">SUM(AR132)</f>
        <v>0</v>
      </c>
      <c r="AS133" s="356">
        <f t="shared" si="316"/>
        <v>0</v>
      </c>
      <c r="AT133" s="343">
        <f t="shared" si="316"/>
        <v>0</v>
      </c>
      <c r="AU133" s="483"/>
      <c r="AV133" s="483"/>
      <c r="AW133" s="483"/>
      <c r="AX133" s="483"/>
      <c r="AY133" s="483"/>
    </row>
    <row r="134" spans="1:51" s="485" customFormat="1" ht="12.75" customHeight="1" thickBot="1">
      <c r="A134" s="534">
        <f>+A132+1</f>
        <v>110</v>
      </c>
      <c r="B134" s="840">
        <v>28</v>
      </c>
      <c r="C134" s="926" t="s">
        <v>19</v>
      </c>
      <c r="D134" s="525" t="s">
        <v>19</v>
      </c>
      <c r="E134" s="921" t="s">
        <v>19</v>
      </c>
      <c r="F134" s="1009" t="s">
        <v>19</v>
      </c>
      <c r="G134" s="1427">
        <f>+K134+AE134</f>
        <v>0</v>
      </c>
      <c r="H134" s="1428">
        <f>+L134+AF134</f>
        <v>0</v>
      </c>
      <c r="I134" s="1428">
        <f>+M134+AG134</f>
        <v>0</v>
      </c>
      <c r="J134" s="421">
        <f>+N134+AH134</f>
        <v>0</v>
      </c>
      <c r="K134" s="1427">
        <f>+O134+S134+W134+AA134</f>
        <v>0</v>
      </c>
      <c r="L134" s="1428">
        <f>+P134+T134+X134+AB134</f>
        <v>0</v>
      </c>
      <c r="M134" s="1428">
        <f>+Q134+U134+Y134+AC134</f>
        <v>0</v>
      </c>
      <c r="N134" s="421">
        <f>+R134+V134+Z134+AD134</f>
        <v>0</v>
      </c>
      <c r="O134" s="491"/>
      <c r="P134" s="490"/>
      <c r="Q134" s="490"/>
      <c r="R134" s="440">
        <f t="shared" ref="R134" si="317">+P134+Q134</f>
        <v>0</v>
      </c>
      <c r="S134" s="491"/>
      <c r="T134" s="490"/>
      <c r="U134" s="490"/>
      <c r="V134" s="440">
        <f t="shared" ref="V134" si="318">+T134+U134</f>
        <v>0</v>
      </c>
      <c r="W134" s="491"/>
      <c r="X134" s="490"/>
      <c r="Y134" s="490"/>
      <c r="Z134" s="440">
        <f t="shared" ref="Z134" si="319">+X134+Y134</f>
        <v>0</v>
      </c>
      <c r="AA134" s="491"/>
      <c r="AB134" s="490"/>
      <c r="AC134" s="490"/>
      <c r="AD134" s="440">
        <f t="shared" ref="AD134" si="320">+AB134+AC134</f>
        <v>0</v>
      </c>
      <c r="AE134" s="1427">
        <f>+AI134+AM134+AQ134</f>
        <v>0</v>
      </c>
      <c r="AF134" s="1428">
        <f>+AJ134+AN134+AR134</f>
        <v>0</v>
      </c>
      <c r="AG134" s="1428">
        <f>+AK134+AO134+AS134</f>
        <v>0</v>
      </c>
      <c r="AH134" s="421">
        <f>+AL134+AP134+AT134</f>
        <v>0</v>
      </c>
      <c r="AI134" s="491"/>
      <c r="AJ134" s="490"/>
      <c r="AK134" s="490"/>
      <c r="AL134" s="440">
        <f t="shared" ref="AL134" si="321">+AJ134+AK134</f>
        <v>0</v>
      </c>
      <c r="AM134" s="491"/>
      <c r="AN134" s="490"/>
      <c r="AO134" s="490"/>
      <c r="AP134" s="440">
        <f t="shared" ref="AP134" si="322">+AN134+AO134</f>
        <v>0</v>
      </c>
      <c r="AQ134" s="491"/>
      <c r="AR134" s="490"/>
      <c r="AS134" s="490"/>
      <c r="AT134" s="440">
        <f t="shared" ref="AT134" si="323">+AR134+AS134</f>
        <v>0</v>
      </c>
      <c r="AU134" s="483"/>
      <c r="AV134" s="483"/>
      <c r="AW134" s="483"/>
      <c r="AX134" s="483"/>
      <c r="AY134" s="483"/>
    </row>
    <row r="135" spans="1:51" s="481" customFormat="1" ht="12.75" thickBot="1">
      <c r="A135" s="528" t="s">
        <v>751</v>
      </c>
      <c r="B135" s="835"/>
      <c r="C135" s="1558" t="s">
        <v>767</v>
      </c>
      <c r="D135" s="1559"/>
      <c r="E135" s="1559"/>
      <c r="F135" s="1560"/>
      <c r="G135" s="517">
        <f>SUM(G134)</f>
        <v>0</v>
      </c>
      <c r="H135" s="518">
        <f>SUM(H134)</f>
        <v>0</v>
      </c>
      <c r="I135" s="518">
        <f>SUM(I134)</f>
        <v>0</v>
      </c>
      <c r="J135" s="413">
        <f>SUM(J134)</f>
        <v>0</v>
      </c>
      <c r="K135" s="517">
        <f t="shared" ref="K135" si="324">SUM(K134)</f>
        <v>0</v>
      </c>
      <c r="L135" s="518">
        <f t="shared" ref="L135:M135" si="325">SUM(L134)</f>
        <v>0</v>
      </c>
      <c r="M135" s="518">
        <f t="shared" si="325"/>
        <v>0</v>
      </c>
      <c r="N135" s="413">
        <f t="shared" si="308"/>
        <v>0</v>
      </c>
      <c r="O135" s="495">
        <f t="shared" si="308"/>
        <v>0</v>
      </c>
      <c r="P135" s="356">
        <f t="shared" ref="P135:Q135" si="326">SUM(P134)</f>
        <v>0</v>
      </c>
      <c r="Q135" s="356">
        <f t="shared" si="326"/>
        <v>0</v>
      </c>
      <c r="R135" s="343">
        <f t="shared" si="308"/>
        <v>0</v>
      </c>
      <c r="S135" s="495">
        <f t="shared" si="308"/>
        <v>0</v>
      </c>
      <c r="T135" s="356">
        <f t="shared" ref="T135:V135" si="327">SUM(T134)</f>
        <v>0</v>
      </c>
      <c r="U135" s="356">
        <f t="shared" si="327"/>
        <v>0</v>
      </c>
      <c r="V135" s="343">
        <f t="shared" si="327"/>
        <v>0</v>
      </c>
      <c r="W135" s="495">
        <f t="shared" si="308"/>
        <v>0</v>
      </c>
      <c r="X135" s="356">
        <f t="shared" ref="X135:Z135" si="328">SUM(X134)</f>
        <v>0</v>
      </c>
      <c r="Y135" s="356">
        <f t="shared" si="328"/>
        <v>0</v>
      </c>
      <c r="Z135" s="343">
        <f t="shared" si="328"/>
        <v>0</v>
      </c>
      <c r="AA135" s="495">
        <f t="shared" si="308"/>
        <v>0</v>
      </c>
      <c r="AB135" s="356">
        <f t="shared" ref="AB135:AD135" si="329">SUM(AB134)</f>
        <v>0</v>
      </c>
      <c r="AC135" s="356">
        <f t="shared" si="329"/>
        <v>0</v>
      </c>
      <c r="AD135" s="343">
        <f t="shared" si="329"/>
        <v>0</v>
      </c>
      <c r="AE135" s="517">
        <f t="shared" si="308"/>
        <v>0</v>
      </c>
      <c r="AF135" s="518">
        <f t="shared" ref="AF135:AG135" si="330">SUM(AF134)</f>
        <v>0</v>
      </c>
      <c r="AG135" s="518">
        <f t="shared" si="330"/>
        <v>0</v>
      </c>
      <c r="AH135" s="413">
        <f t="shared" si="308"/>
        <v>0</v>
      </c>
      <c r="AI135" s="495">
        <f t="shared" si="308"/>
        <v>0</v>
      </c>
      <c r="AJ135" s="356">
        <f t="shared" ref="AJ135:AL135" si="331">SUM(AJ134)</f>
        <v>0</v>
      </c>
      <c r="AK135" s="356">
        <f t="shared" si="331"/>
        <v>0</v>
      </c>
      <c r="AL135" s="343">
        <f t="shared" si="331"/>
        <v>0</v>
      </c>
      <c r="AM135" s="495">
        <f t="shared" si="308"/>
        <v>0</v>
      </c>
      <c r="AN135" s="356">
        <f t="shared" ref="AN135:AP135" si="332">SUM(AN134)</f>
        <v>0</v>
      </c>
      <c r="AO135" s="356">
        <f t="shared" si="332"/>
        <v>0</v>
      </c>
      <c r="AP135" s="343">
        <f t="shared" si="332"/>
        <v>0</v>
      </c>
      <c r="AQ135" s="495">
        <f t="shared" si="308"/>
        <v>0</v>
      </c>
      <c r="AR135" s="356">
        <f t="shared" ref="AR135:AT135" si="333">SUM(AR134)</f>
        <v>0</v>
      </c>
      <c r="AS135" s="356">
        <f t="shared" si="333"/>
        <v>0</v>
      </c>
      <c r="AT135" s="343">
        <f t="shared" si="333"/>
        <v>0</v>
      </c>
      <c r="AU135" s="483"/>
      <c r="AV135" s="483"/>
      <c r="AW135" s="483"/>
      <c r="AX135" s="483"/>
      <c r="AY135" s="483"/>
    </row>
    <row r="136" spans="1:51" s="481" customFormat="1" ht="12.75" thickBot="1">
      <c r="A136" s="529" t="s">
        <v>20</v>
      </c>
      <c r="B136" s="836"/>
      <c r="C136" s="1552" t="s">
        <v>422</v>
      </c>
      <c r="D136" s="1553"/>
      <c r="E136" s="1553"/>
      <c r="F136" s="1554"/>
      <c r="G136" s="497">
        <f>+G131+G133+G135</f>
        <v>600</v>
      </c>
      <c r="H136" s="498">
        <f>+H131+H133+H135</f>
        <v>600</v>
      </c>
      <c r="I136" s="498">
        <f>+I131+I133+I135</f>
        <v>0</v>
      </c>
      <c r="J136" s="499">
        <f>+J131+J133+J135</f>
        <v>600</v>
      </c>
      <c r="K136" s="497">
        <f t="shared" ref="K136" si="334">+K131+K133+K135</f>
        <v>600</v>
      </c>
      <c r="L136" s="498">
        <f t="shared" ref="L136:M136" si="335">+L131+L133+L135</f>
        <v>600</v>
      </c>
      <c r="M136" s="498">
        <f t="shared" si="335"/>
        <v>0</v>
      </c>
      <c r="N136" s="499">
        <f t="shared" ref="N136:AQ136" si="336">+N131+N133+N135</f>
        <v>600</v>
      </c>
      <c r="O136" s="509">
        <f t="shared" si="336"/>
        <v>0</v>
      </c>
      <c r="P136" s="510">
        <f t="shared" ref="P136:Q136" si="337">+P131+P133+P135</f>
        <v>0</v>
      </c>
      <c r="Q136" s="510">
        <f t="shared" si="337"/>
        <v>0</v>
      </c>
      <c r="R136" s="511">
        <f t="shared" si="336"/>
        <v>0</v>
      </c>
      <c r="S136" s="509">
        <f t="shared" si="336"/>
        <v>0</v>
      </c>
      <c r="T136" s="510">
        <f t="shared" ref="T136:V136" si="338">+T131+T133+T135</f>
        <v>0</v>
      </c>
      <c r="U136" s="510">
        <f t="shared" si="338"/>
        <v>0</v>
      </c>
      <c r="V136" s="511">
        <f t="shared" si="338"/>
        <v>0</v>
      </c>
      <c r="W136" s="509">
        <f t="shared" si="336"/>
        <v>600</v>
      </c>
      <c r="X136" s="510">
        <f t="shared" ref="X136:Z136" si="339">+X131+X133+X135</f>
        <v>600</v>
      </c>
      <c r="Y136" s="510">
        <f t="shared" si="339"/>
        <v>0</v>
      </c>
      <c r="Z136" s="511">
        <f t="shared" si="339"/>
        <v>600</v>
      </c>
      <c r="AA136" s="509">
        <f t="shared" si="336"/>
        <v>0</v>
      </c>
      <c r="AB136" s="510">
        <f t="shared" ref="AB136:AD136" si="340">+AB131+AB133+AB135</f>
        <v>0</v>
      </c>
      <c r="AC136" s="510">
        <f t="shared" si="340"/>
        <v>0</v>
      </c>
      <c r="AD136" s="511">
        <f t="shared" si="340"/>
        <v>0</v>
      </c>
      <c r="AE136" s="497">
        <f t="shared" si="336"/>
        <v>0</v>
      </c>
      <c r="AF136" s="498">
        <f t="shared" ref="AF136:AG136" si="341">+AF131+AF133+AF135</f>
        <v>0</v>
      </c>
      <c r="AG136" s="498">
        <f t="shared" si="341"/>
        <v>0</v>
      </c>
      <c r="AH136" s="499">
        <f t="shared" si="336"/>
        <v>0</v>
      </c>
      <c r="AI136" s="509">
        <f t="shared" si="336"/>
        <v>0</v>
      </c>
      <c r="AJ136" s="510">
        <f t="shared" ref="AJ136:AL136" si="342">+AJ131+AJ133+AJ135</f>
        <v>0</v>
      </c>
      <c r="AK136" s="510">
        <f t="shared" si="342"/>
        <v>0</v>
      </c>
      <c r="AL136" s="511">
        <f t="shared" si="342"/>
        <v>0</v>
      </c>
      <c r="AM136" s="509">
        <f t="shared" si="336"/>
        <v>0</v>
      </c>
      <c r="AN136" s="510">
        <f t="shared" ref="AN136:AP136" si="343">+AN131+AN133+AN135</f>
        <v>0</v>
      </c>
      <c r="AO136" s="510">
        <f t="shared" si="343"/>
        <v>0</v>
      </c>
      <c r="AP136" s="511">
        <f t="shared" si="343"/>
        <v>0</v>
      </c>
      <c r="AQ136" s="509">
        <f t="shared" si="336"/>
        <v>0</v>
      </c>
      <c r="AR136" s="510">
        <f t="shared" ref="AR136:AT136" si="344">+AR131+AR133+AR135</f>
        <v>0</v>
      </c>
      <c r="AS136" s="510">
        <f t="shared" si="344"/>
        <v>0</v>
      </c>
      <c r="AT136" s="511">
        <f t="shared" si="344"/>
        <v>0</v>
      </c>
      <c r="AU136" s="483"/>
      <c r="AV136" s="483"/>
      <c r="AW136" s="483"/>
      <c r="AX136" s="483"/>
      <c r="AY136" s="483"/>
    </row>
    <row r="137" spans="1:51" s="481" customFormat="1" ht="12.75" thickBot="1">
      <c r="A137" s="528"/>
      <c r="B137" s="839"/>
      <c r="C137" s="925"/>
      <c r="D137" s="527"/>
      <c r="E137" s="920"/>
      <c r="F137" s="494"/>
      <c r="G137" s="517"/>
      <c r="H137" s="518"/>
      <c r="I137" s="518"/>
      <c r="J137" s="413"/>
      <c r="K137" s="517"/>
      <c r="L137" s="518"/>
      <c r="M137" s="518"/>
      <c r="N137" s="413"/>
      <c r="O137" s="495"/>
      <c r="P137" s="356"/>
      <c r="Q137" s="356"/>
      <c r="R137" s="343"/>
      <c r="S137" s="495"/>
      <c r="T137" s="356"/>
      <c r="U137" s="356"/>
      <c r="V137" s="343"/>
      <c r="W137" s="495"/>
      <c r="X137" s="356"/>
      <c r="Y137" s="356"/>
      <c r="Z137" s="343"/>
      <c r="AA137" s="495"/>
      <c r="AB137" s="356"/>
      <c r="AC137" s="356"/>
      <c r="AD137" s="343"/>
      <c r="AE137" s="517"/>
      <c r="AF137" s="518"/>
      <c r="AG137" s="518"/>
      <c r="AH137" s="413"/>
      <c r="AI137" s="495"/>
      <c r="AJ137" s="356"/>
      <c r="AK137" s="356"/>
      <c r="AL137" s="343"/>
      <c r="AM137" s="495"/>
      <c r="AN137" s="356"/>
      <c r="AO137" s="356"/>
      <c r="AP137" s="343"/>
      <c r="AQ137" s="495"/>
      <c r="AR137" s="356"/>
      <c r="AS137" s="356"/>
      <c r="AT137" s="343"/>
      <c r="AU137" s="483"/>
      <c r="AV137" s="483"/>
      <c r="AW137" s="483"/>
      <c r="AX137" s="483"/>
      <c r="AY137" s="483"/>
    </row>
    <row r="138" spans="1:51" s="485" customFormat="1" ht="12.75" customHeight="1" thickBot="1">
      <c r="A138" s="532">
        <f>A134+1</f>
        <v>111</v>
      </c>
      <c r="B138" s="833">
        <v>29</v>
      </c>
      <c r="C138" s="993" t="s">
        <v>19</v>
      </c>
      <c r="D138" s="944" t="s">
        <v>19</v>
      </c>
      <c r="E138" s="994" t="s">
        <v>19</v>
      </c>
      <c r="F138" s="1007" t="s">
        <v>19</v>
      </c>
      <c r="G138" s="1417">
        <f>+K138+AE138</f>
        <v>0</v>
      </c>
      <c r="H138" s="1418">
        <f>+L138+AF138</f>
        <v>0</v>
      </c>
      <c r="I138" s="1418">
        <f>+M138+AG138</f>
        <v>0</v>
      </c>
      <c r="J138" s="473">
        <f>+N138+AH138</f>
        <v>0</v>
      </c>
      <c r="K138" s="1417">
        <f>+O138+S138+W138+AA138</f>
        <v>0</v>
      </c>
      <c r="L138" s="1418">
        <f>+P138+T138+X138+AB138</f>
        <v>0</v>
      </c>
      <c r="M138" s="1418">
        <f>+Q138+U138+Y138+AC138</f>
        <v>0</v>
      </c>
      <c r="N138" s="473">
        <f>+R138+V138+Z138+AD138</f>
        <v>0</v>
      </c>
      <c r="O138" s="1011"/>
      <c r="P138" s="1012"/>
      <c r="Q138" s="1012"/>
      <c r="R138" s="1013">
        <f t="shared" ref="R138" si="345">+P138+Q138</f>
        <v>0</v>
      </c>
      <c r="S138" s="1014"/>
      <c r="T138" s="1015"/>
      <c r="U138" s="1012"/>
      <c r="V138" s="1013">
        <f t="shared" ref="V138" si="346">+T138+U138</f>
        <v>0</v>
      </c>
      <c r="W138" s="1014"/>
      <c r="X138" s="1015"/>
      <c r="Y138" s="1012"/>
      <c r="Z138" s="1013">
        <f t="shared" ref="Z138" si="347">+X138+Y138</f>
        <v>0</v>
      </c>
      <c r="AA138" s="1014"/>
      <c r="AB138" s="1015"/>
      <c r="AC138" s="1012"/>
      <c r="AD138" s="1013">
        <f t="shared" ref="AD138" si="348">+AB138+AC138</f>
        <v>0</v>
      </c>
      <c r="AE138" s="1417">
        <f>+AI138+AM138+AQ138</f>
        <v>0</v>
      </c>
      <c r="AF138" s="1418">
        <f>+AJ138+AN138+AR138</f>
        <v>0</v>
      </c>
      <c r="AG138" s="1418">
        <f>+AK138+AO138+AS138</f>
        <v>0</v>
      </c>
      <c r="AH138" s="473">
        <f>+AL138+AP138+AT138</f>
        <v>0</v>
      </c>
      <c r="AI138" s="1014"/>
      <c r="AJ138" s="1015"/>
      <c r="AK138" s="1012"/>
      <c r="AL138" s="1013">
        <f t="shared" ref="AL138" si="349">+AJ138+AK138</f>
        <v>0</v>
      </c>
      <c r="AM138" s="1014"/>
      <c r="AN138" s="1015"/>
      <c r="AO138" s="1012"/>
      <c r="AP138" s="1013">
        <f t="shared" ref="AP138" si="350">+AN138+AO138</f>
        <v>0</v>
      </c>
      <c r="AQ138" s="1014"/>
      <c r="AR138" s="1015"/>
      <c r="AS138" s="1012"/>
      <c r="AT138" s="1013">
        <f t="shared" ref="AT138" si="351">+AR138+AS138</f>
        <v>0</v>
      </c>
      <c r="AU138" s="483"/>
      <c r="AV138" s="483"/>
      <c r="AW138" s="483"/>
      <c r="AX138" s="483"/>
      <c r="AY138" s="483"/>
    </row>
    <row r="139" spans="1:51" s="481" customFormat="1" ht="12.75" thickBot="1">
      <c r="A139" s="528" t="s">
        <v>885</v>
      </c>
      <c r="B139" s="835"/>
      <c r="C139" s="1558" t="s">
        <v>860</v>
      </c>
      <c r="D139" s="1559"/>
      <c r="E139" s="1559"/>
      <c r="F139" s="1560"/>
      <c r="G139" s="517">
        <f>SUM(G138)</f>
        <v>0</v>
      </c>
      <c r="H139" s="518">
        <f>SUM(H138)</f>
        <v>0</v>
      </c>
      <c r="I139" s="518">
        <f>SUM(I138)</f>
        <v>0</v>
      </c>
      <c r="J139" s="413">
        <f>SUM(J138)</f>
        <v>0</v>
      </c>
      <c r="K139" s="517">
        <f t="shared" ref="K139" si="352">SUM(K138)</f>
        <v>0</v>
      </c>
      <c r="L139" s="518">
        <f t="shared" ref="L139:M139" si="353">SUM(L138)</f>
        <v>0</v>
      </c>
      <c r="M139" s="518">
        <f t="shared" si="353"/>
        <v>0</v>
      </c>
      <c r="N139" s="413">
        <f t="shared" ref="N139:AQ139" si="354">SUM(N138)</f>
        <v>0</v>
      </c>
      <c r="O139" s="495">
        <f t="shared" si="354"/>
        <v>0</v>
      </c>
      <c r="P139" s="356">
        <f t="shared" ref="P139:Q139" si="355">SUM(P138)</f>
        <v>0</v>
      </c>
      <c r="Q139" s="356">
        <f t="shared" si="355"/>
        <v>0</v>
      </c>
      <c r="R139" s="343">
        <f t="shared" si="354"/>
        <v>0</v>
      </c>
      <c r="S139" s="495">
        <f t="shared" si="354"/>
        <v>0</v>
      </c>
      <c r="T139" s="356">
        <f t="shared" ref="T139:V139" si="356">SUM(T138)</f>
        <v>0</v>
      </c>
      <c r="U139" s="356">
        <f t="shared" si="356"/>
        <v>0</v>
      </c>
      <c r="V139" s="343">
        <f t="shared" si="356"/>
        <v>0</v>
      </c>
      <c r="W139" s="495">
        <f t="shared" si="354"/>
        <v>0</v>
      </c>
      <c r="X139" s="356">
        <f t="shared" ref="X139:Z139" si="357">SUM(X138)</f>
        <v>0</v>
      </c>
      <c r="Y139" s="356">
        <f t="shared" si="357"/>
        <v>0</v>
      </c>
      <c r="Z139" s="343">
        <f t="shared" si="357"/>
        <v>0</v>
      </c>
      <c r="AA139" s="495">
        <f t="shared" si="354"/>
        <v>0</v>
      </c>
      <c r="AB139" s="356">
        <f t="shared" ref="AB139:AD139" si="358">SUM(AB138)</f>
        <v>0</v>
      </c>
      <c r="AC139" s="356">
        <f t="shared" si="358"/>
        <v>0</v>
      </c>
      <c r="AD139" s="343">
        <f t="shared" si="358"/>
        <v>0</v>
      </c>
      <c r="AE139" s="517">
        <f t="shared" si="354"/>
        <v>0</v>
      </c>
      <c r="AF139" s="518">
        <f t="shared" ref="AF139:AG139" si="359">SUM(AF138)</f>
        <v>0</v>
      </c>
      <c r="AG139" s="518">
        <f t="shared" si="359"/>
        <v>0</v>
      </c>
      <c r="AH139" s="413">
        <f t="shared" si="354"/>
        <v>0</v>
      </c>
      <c r="AI139" s="495">
        <f t="shared" si="354"/>
        <v>0</v>
      </c>
      <c r="AJ139" s="356">
        <f t="shared" ref="AJ139:AL139" si="360">SUM(AJ138)</f>
        <v>0</v>
      </c>
      <c r="AK139" s="356">
        <f t="shared" si="360"/>
        <v>0</v>
      </c>
      <c r="AL139" s="343">
        <f t="shared" si="360"/>
        <v>0</v>
      </c>
      <c r="AM139" s="495">
        <f t="shared" si="354"/>
        <v>0</v>
      </c>
      <c r="AN139" s="356">
        <f t="shared" ref="AN139:AP139" si="361">SUM(AN138)</f>
        <v>0</v>
      </c>
      <c r="AO139" s="356">
        <f t="shared" si="361"/>
        <v>0</v>
      </c>
      <c r="AP139" s="343">
        <f t="shared" si="361"/>
        <v>0</v>
      </c>
      <c r="AQ139" s="495">
        <f t="shared" si="354"/>
        <v>0</v>
      </c>
      <c r="AR139" s="356">
        <f t="shared" ref="AR139:AT139" si="362">SUM(AR138)</f>
        <v>0</v>
      </c>
      <c r="AS139" s="356">
        <f t="shared" si="362"/>
        <v>0</v>
      </c>
      <c r="AT139" s="343">
        <f t="shared" si="362"/>
        <v>0</v>
      </c>
      <c r="AU139" s="483"/>
      <c r="AV139" s="483"/>
      <c r="AW139" s="483"/>
      <c r="AX139" s="483"/>
      <c r="AY139" s="483"/>
    </row>
    <row r="140" spans="1:51" s="485" customFormat="1" ht="12.75" customHeight="1">
      <c r="A140" s="886">
        <f>A138+1</f>
        <v>112</v>
      </c>
      <c r="B140" s="838">
        <v>30</v>
      </c>
      <c r="C140" s="1004" t="s">
        <v>1073</v>
      </c>
      <c r="D140" s="948" t="s">
        <v>1074</v>
      </c>
      <c r="E140" s="1005" t="s">
        <v>1225</v>
      </c>
      <c r="F140" s="1010" t="s">
        <v>1074</v>
      </c>
      <c r="G140" s="1425">
        <f t="shared" ref="G140:J141" si="363">+K140+AE140</f>
        <v>20793</v>
      </c>
      <c r="H140" s="1426">
        <f t="shared" si="363"/>
        <v>20793</v>
      </c>
      <c r="I140" s="1426">
        <f t="shared" si="363"/>
        <v>0</v>
      </c>
      <c r="J140" s="472">
        <f t="shared" si="363"/>
        <v>20793</v>
      </c>
      <c r="K140" s="1425">
        <f t="shared" ref="K140:N141" si="364">+O140+S140+W140+AA140</f>
        <v>20793</v>
      </c>
      <c r="L140" s="1426">
        <f t="shared" si="364"/>
        <v>20793</v>
      </c>
      <c r="M140" s="1426">
        <f t="shared" si="364"/>
        <v>0</v>
      </c>
      <c r="N140" s="472">
        <f t="shared" si="364"/>
        <v>20793</v>
      </c>
      <c r="O140" s="1017">
        <v>3240</v>
      </c>
      <c r="P140" s="1018">
        <v>3240</v>
      </c>
      <c r="Q140" s="1018"/>
      <c r="R140" s="1019">
        <f t="shared" ref="R140:R141" si="365">+P140+Q140</f>
        <v>3240</v>
      </c>
      <c r="S140" s="1017">
        <v>17553</v>
      </c>
      <c r="T140" s="1018">
        <v>17553</v>
      </c>
      <c r="U140" s="1018"/>
      <c r="V140" s="1019">
        <f t="shared" ref="V140:V141" si="366">+T140+U140</f>
        <v>17553</v>
      </c>
      <c r="W140" s="1017"/>
      <c r="X140" s="1018"/>
      <c r="Y140" s="1018"/>
      <c r="Z140" s="1019">
        <f t="shared" ref="Z140:Z141" si="367">+X140+Y140</f>
        <v>0</v>
      </c>
      <c r="AA140" s="1017"/>
      <c r="AB140" s="1018"/>
      <c r="AC140" s="1018"/>
      <c r="AD140" s="1019">
        <f t="shared" ref="AD140:AD141" si="368">+AB140+AC140</f>
        <v>0</v>
      </c>
      <c r="AE140" s="1425">
        <f t="shared" ref="AE140:AH141" si="369">+AI140+AM140+AQ140</f>
        <v>0</v>
      </c>
      <c r="AF140" s="1426">
        <f t="shared" si="369"/>
        <v>0</v>
      </c>
      <c r="AG140" s="1426">
        <f t="shared" si="369"/>
        <v>0</v>
      </c>
      <c r="AH140" s="472">
        <f t="shared" si="369"/>
        <v>0</v>
      </c>
      <c r="AI140" s="1017"/>
      <c r="AJ140" s="1018"/>
      <c r="AK140" s="1018"/>
      <c r="AL140" s="1019">
        <f t="shared" ref="AL140:AL141" si="370">+AJ140+AK140</f>
        <v>0</v>
      </c>
      <c r="AM140" s="1017"/>
      <c r="AN140" s="1018"/>
      <c r="AO140" s="1018"/>
      <c r="AP140" s="1019">
        <f t="shared" ref="AP140:AP141" si="371">+AN140+AO140</f>
        <v>0</v>
      </c>
      <c r="AQ140" s="1017"/>
      <c r="AR140" s="1018"/>
      <c r="AS140" s="1018"/>
      <c r="AT140" s="1019">
        <f t="shared" ref="AT140:AT141" si="372">+AR140+AS140</f>
        <v>0</v>
      </c>
      <c r="AU140" s="483"/>
      <c r="AV140" s="483"/>
      <c r="AW140" s="483"/>
      <c r="AX140" s="483"/>
      <c r="AY140" s="483"/>
    </row>
    <row r="141" spans="1:51" s="485" customFormat="1" ht="12.75" customHeight="1" thickBot="1">
      <c r="A141" s="534">
        <f>A140+1</f>
        <v>113</v>
      </c>
      <c r="B141" s="840">
        <v>30</v>
      </c>
      <c r="C141" s="993" t="s">
        <v>1002</v>
      </c>
      <c r="D141" s="525" t="s">
        <v>1003</v>
      </c>
      <c r="E141" s="921" t="s">
        <v>1225</v>
      </c>
      <c r="F141" s="1009" t="s">
        <v>1074</v>
      </c>
      <c r="G141" s="1427">
        <f t="shared" si="363"/>
        <v>0</v>
      </c>
      <c r="H141" s="1428">
        <f t="shared" si="363"/>
        <v>0</v>
      </c>
      <c r="I141" s="1428">
        <f t="shared" si="363"/>
        <v>0</v>
      </c>
      <c r="J141" s="421">
        <f t="shared" si="363"/>
        <v>0</v>
      </c>
      <c r="K141" s="1427">
        <f t="shared" si="364"/>
        <v>0</v>
      </c>
      <c r="L141" s="1428">
        <f t="shared" si="364"/>
        <v>0</v>
      </c>
      <c r="M141" s="1428">
        <f t="shared" si="364"/>
        <v>0</v>
      </c>
      <c r="N141" s="421">
        <f t="shared" si="364"/>
        <v>0</v>
      </c>
      <c r="O141" s="491"/>
      <c r="P141" s="490"/>
      <c r="Q141" s="490"/>
      <c r="R141" s="440">
        <f t="shared" si="365"/>
        <v>0</v>
      </c>
      <c r="S141" s="491"/>
      <c r="T141" s="490"/>
      <c r="U141" s="490"/>
      <c r="V141" s="440">
        <f t="shared" si="366"/>
        <v>0</v>
      </c>
      <c r="W141" s="491"/>
      <c r="X141" s="490"/>
      <c r="Y141" s="490"/>
      <c r="Z141" s="440">
        <f t="shared" si="367"/>
        <v>0</v>
      </c>
      <c r="AA141" s="491"/>
      <c r="AB141" s="490"/>
      <c r="AC141" s="490"/>
      <c r="AD141" s="440">
        <f t="shared" si="368"/>
        <v>0</v>
      </c>
      <c r="AE141" s="1427">
        <f t="shared" si="369"/>
        <v>0</v>
      </c>
      <c r="AF141" s="1428">
        <f t="shared" si="369"/>
        <v>0</v>
      </c>
      <c r="AG141" s="1428">
        <f t="shared" si="369"/>
        <v>0</v>
      </c>
      <c r="AH141" s="421">
        <f t="shared" si="369"/>
        <v>0</v>
      </c>
      <c r="AI141" s="491"/>
      <c r="AJ141" s="490"/>
      <c r="AK141" s="490"/>
      <c r="AL141" s="440">
        <f t="shared" si="370"/>
        <v>0</v>
      </c>
      <c r="AM141" s="491"/>
      <c r="AN141" s="490"/>
      <c r="AO141" s="490"/>
      <c r="AP141" s="440">
        <f t="shared" si="371"/>
        <v>0</v>
      </c>
      <c r="AQ141" s="491"/>
      <c r="AR141" s="490"/>
      <c r="AS141" s="490"/>
      <c r="AT141" s="440">
        <f t="shared" si="372"/>
        <v>0</v>
      </c>
      <c r="AU141" s="483"/>
      <c r="AV141" s="483"/>
      <c r="AW141" s="483"/>
      <c r="AX141" s="483"/>
      <c r="AY141" s="483"/>
    </row>
    <row r="142" spans="1:51" s="481" customFormat="1" ht="12.75" thickBot="1">
      <c r="A142" s="528" t="s">
        <v>886</v>
      </c>
      <c r="B142" s="835"/>
      <c r="C142" s="1558" t="s">
        <v>861</v>
      </c>
      <c r="D142" s="1559"/>
      <c r="E142" s="1559"/>
      <c r="F142" s="1560"/>
      <c r="G142" s="517">
        <f>SUM(G140:G141)</f>
        <v>20793</v>
      </c>
      <c r="H142" s="518">
        <f>SUM(H140:H141)</f>
        <v>20793</v>
      </c>
      <c r="I142" s="518">
        <f>SUM(I140:I141)</f>
        <v>0</v>
      </c>
      <c r="J142" s="413">
        <f>SUM(J140:J141)</f>
        <v>20793</v>
      </c>
      <c r="K142" s="517">
        <f t="shared" ref="K142" si="373">SUM(K140:K141)</f>
        <v>20793</v>
      </c>
      <c r="L142" s="518">
        <f t="shared" ref="L142:M142" si="374">SUM(L140:L141)</f>
        <v>20793</v>
      </c>
      <c r="M142" s="518">
        <f t="shared" si="374"/>
        <v>0</v>
      </c>
      <c r="N142" s="413">
        <f t="shared" ref="N142:AQ142" si="375">SUM(N140:N141)</f>
        <v>20793</v>
      </c>
      <c r="O142" s="495">
        <f t="shared" si="375"/>
        <v>3240</v>
      </c>
      <c r="P142" s="356">
        <f t="shared" ref="P142:Q142" si="376">SUM(P140:P141)</f>
        <v>3240</v>
      </c>
      <c r="Q142" s="356">
        <f t="shared" si="376"/>
        <v>0</v>
      </c>
      <c r="R142" s="343">
        <f t="shared" si="375"/>
        <v>3240</v>
      </c>
      <c r="S142" s="495">
        <f t="shared" si="375"/>
        <v>17553</v>
      </c>
      <c r="T142" s="356">
        <f t="shared" ref="T142:V142" si="377">SUM(T140:T141)</f>
        <v>17553</v>
      </c>
      <c r="U142" s="356">
        <f t="shared" si="377"/>
        <v>0</v>
      </c>
      <c r="V142" s="343">
        <f t="shared" si="377"/>
        <v>17553</v>
      </c>
      <c r="W142" s="495">
        <f t="shared" si="375"/>
        <v>0</v>
      </c>
      <c r="X142" s="356">
        <f t="shared" ref="X142:Z142" si="378">SUM(X140:X141)</f>
        <v>0</v>
      </c>
      <c r="Y142" s="356">
        <f t="shared" si="378"/>
        <v>0</v>
      </c>
      <c r="Z142" s="343">
        <f t="shared" si="378"/>
        <v>0</v>
      </c>
      <c r="AA142" s="495">
        <f t="shared" si="375"/>
        <v>0</v>
      </c>
      <c r="AB142" s="356">
        <f t="shared" ref="AB142:AD142" si="379">SUM(AB140:AB141)</f>
        <v>0</v>
      </c>
      <c r="AC142" s="356">
        <f t="shared" si="379"/>
        <v>0</v>
      </c>
      <c r="AD142" s="343">
        <f t="shared" si="379"/>
        <v>0</v>
      </c>
      <c r="AE142" s="517">
        <f t="shared" si="375"/>
        <v>0</v>
      </c>
      <c r="AF142" s="518">
        <f t="shared" ref="AF142:AG142" si="380">SUM(AF140:AF141)</f>
        <v>0</v>
      </c>
      <c r="AG142" s="518">
        <f t="shared" si="380"/>
        <v>0</v>
      </c>
      <c r="AH142" s="413">
        <f t="shared" si="375"/>
        <v>0</v>
      </c>
      <c r="AI142" s="495">
        <f t="shared" si="375"/>
        <v>0</v>
      </c>
      <c r="AJ142" s="356">
        <f t="shared" ref="AJ142:AL142" si="381">SUM(AJ140:AJ141)</f>
        <v>0</v>
      </c>
      <c r="AK142" s="356">
        <f t="shared" si="381"/>
        <v>0</v>
      </c>
      <c r="AL142" s="343">
        <f t="shared" si="381"/>
        <v>0</v>
      </c>
      <c r="AM142" s="495">
        <f t="shared" si="375"/>
        <v>0</v>
      </c>
      <c r="AN142" s="356">
        <f t="shared" ref="AN142:AP142" si="382">SUM(AN140:AN141)</f>
        <v>0</v>
      </c>
      <c r="AO142" s="356">
        <f t="shared" si="382"/>
        <v>0</v>
      </c>
      <c r="AP142" s="343">
        <f t="shared" si="382"/>
        <v>0</v>
      </c>
      <c r="AQ142" s="495">
        <f t="shared" si="375"/>
        <v>0</v>
      </c>
      <c r="AR142" s="356">
        <f t="shared" ref="AR142:AT142" si="383">SUM(AR140:AR141)</f>
        <v>0</v>
      </c>
      <c r="AS142" s="356">
        <f t="shared" si="383"/>
        <v>0</v>
      </c>
      <c r="AT142" s="343">
        <f t="shared" si="383"/>
        <v>0</v>
      </c>
      <c r="AU142" s="483"/>
      <c r="AV142" s="483"/>
      <c r="AW142" s="483"/>
      <c r="AX142" s="483"/>
      <c r="AY142" s="483"/>
    </row>
    <row r="143" spans="1:51" s="485" customFormat="1" ht="12.75" customHeight="1" thickBot="1">
      <c r="A143" s="534">
        <f>+A141+1</f>
        <v>114</v>
      </c>
      <c r="B143" s="840">
        <v>31</v>
      </c>
      <c r="C143" s="926" t="s">
        <v>19</v>
      </c>
      <c r="D143" s="525" t="s">
        <v>19</v>
      </c>
      <c r="E143" s="921" t="s">
        <v>19</v>
      </c>
      <c r="F143" s="1009" t="s">
        <v>19</v>
      </c>
      <c r="G143" s="1427">
        <f>+K143+AE143</f>
        <v>0</v>
      </c>
      <c r="H143" s="1428">
        <f>+L143+AF143</f>
        <v>0</v>
      </c>
      <c r="I143" s="1428">
        <f>+M143+AG143</f>
        <v>0</v>
      </c>
      <c r="J143" s="421">
        <f>+N143+AH143</f>
        <v>0</v>
      </c>
      <c r="K143" s="1427">
        <f>+O143+S143+W143+AA143</f>
        <v>0</v>
      </c>
      <c r="L143" s="1428">
        <f>+P143+T143+X143+AB143</f>
        <v>0</v>
      </c>
      <c r="M143" s="1428">
        <f>+Q143+U143+Y143+AC143</f>
        <v>0</v>
      </c>
      <c r="N143" s="421">
        <f>+R143+V143+Z143+AD143</f>
        <v>0</v>
      </c>
      <c r="O143" s="491"/>
      <c r="P143" s="490"/>
      <c r="Q143" s="490"/>
      <c r="R143" s="1013">
        <f t="shared" ref="R143" si="384">+P143+Q143</f>
        <v>0</v>
      </c>
      <c r="S143" s="491"/>
      <c r="T143" s="490"/>
      <c r="U143" s="490"/>
      <c r="V143" s="1013">
        <f t="shared" ref="V143" si="385">+T143+U143</f>
        <v>0</v>
      </c>
      <c r="W143" s="491"/>
      <c r="X143" s="490"/>
      <c r="Y143" s="490"/>
      <c r="Z143" s="1013">
        <f t="shared" ref="Z143" si="386">+X143+Y143</f>
        <v>0</v>
      </c>
      <c r="AA143" s="491"/>
      <c r="AB143" s="490"/>
      <c r="AC143" s="490"/>
      <c r="AD143" s="1013">
        <f t="shared" ref="AD143" si="387">+AB143+AC143</f>
        <v>0</v>
      </c>
      <c r="AE143" s="1427">
        <f>+AI143+AM143+AQ143</f>
        <v>0</v>
      </c>
      <c r="AF143" s="1428">
        <f>+AJ143+AN143+AR143</f>
        <v>0</v>
      </c>
      <c r="AG143" s="1428">
        <f>+AK143+AO143+AS143</f>
        <v>0</v>
      </c>
      <c r="AH143" s="421">
        <f>+AL143+AP143+AT143</f>
        <v>0</v>
      </c>
      <c r="AI143" s="491"/>
      <c r="AJ143" s="490"/>
      <c r="AK143" s="490"/>
      <c r="AL143" s="1013">
        <f t="shared" ref="AL143" si="388">+AJ143+AK143</f>
        <v>0</v>
      </c>
      <c r="AM143" s="491"/>
      <c r="AN143" s="490"/>
      <c r="AO143" s="490"/>
      <c r="AP143" s="1013">
        <f t="shared" ref="AP143" si="389">+AN143+AO143</f>
        <v>0</v>
      </c>
      <c r="AQ143" s="491"/>
      <c r="AR143" s="490"/>
      <c r="AS143" s="490"/>
      <c r="AT143" s="1013">
        <f t="shared" ref="AT143" si="390">+AR143+AS143</f>
        <v>0</v>
      </c>
      <c r="AU143" s="483"/>
      <c r="AV143" s="483"/>
      <c r="AW143" s="483"/>
      <c r="AX143" s="483"/>
      <c r="AY143" s="483"/>
    </row>
    <row r="144" spans="1:51" s="481" customFormat="1" ht="12.75" thickBot="1">
      <c r="A144" s="528" t="s">
        <v>887</v>
      </c>
      <c r="B144" s="835"/>
      <c r="C144" s="1558" t="s">
        <v>888</v>
      </c>
      <c r="D144" s="1559"/>
      <c r="E144" s="1559"/>
      <c r="F144" s="1560"/>
      <c r="G144" s="517">
        <f>SUM(G143)</f>
        <v>0</v>
      </c>
      <c r="H144" s="518">
        <f>SUM(H143)</f>
        <v>0</v>
      </c>
      <c r="I144" s="518">
        <f>SUM(I143)</f>
        <v>0</v>
      </c>
      <c r="J144" s="413">
        <f>SUM(J143)</f>
        <v>0</v>
      </c>
      <c r="K144" s="517">
        <f t="shared" ref="K144" si="391">SUM(K143)</f>
        <v>0</v>
      </c>
      <c r="L144" s="518">
        <f t="shared" ref="L144:M144" si="392">SUM(L143)</f>
        <v>0</v>
      </c>
      <c r="M144" s="518">
        <f t="shared" si="392"/>
        <v>0</v>
      </c>
      <c r="N144" s="413">
        <f t="shared" ref="N144:AQ144" si="393">SUM(N143)</f>
        <v>0</v>
      </c>
      <c r="O144" s="495">
        <f t="shared" si="393"/>
        <v>0</v>
      </c>
      <c r="P144" s="356">
        <f t="shared" ref="P144:Q144" si="394">SUM(P143)</f>
        <v>0</v>
      </c>
      <c r="Q144" s="356">
        <f t="shared" si="394"/>
        <v>0</v>
      </c>
      <c r="R144" s="343">
        <f t="shared" si="393"/>
        <v>0</v>
      </c>
      <c r="S144" s="495">
        <f t="shared" si="393"/>
        <v>0</v>
      </c>
      <c r="T144" s="356">
        <f t="shared" ref="T144:V144" si="395">SUM(T143)</f>
        <v>0</v>
      </c>
      <c r="U144" s="356">
        <f t="shared" si="395"/>
        <v>0</v>
      </c>
      <c r="V144" s="343">
        <f t="shared" si="395"/>
        <v>0</v>
      </c>
      <c r="W144" s="495">
        <f t="shared" si="393"/>
        <v>0</v>
      </c>
      <c r="X144" s="356">
        <f t="shared" ref="X144:Z144" si="396">SUM(X143)</f>
        <v>0</v>
      </c>
      <c r="Y144" s="356">
        <f t="shared" si="396"/>
        <v>0</v>
      </c>
      <c r="Z144" s="343">
        <f t="shared" si="396"/>
        <v>0</v>
      </c>
      <c r="AA144" s="495">
        <f t="shared" si="393"/>
        <v>0</v>
      </c>
      <c r="AB144" s="356">
        <f t="shared" ref="AB144:AD144" si="397">SUM(AB143)</f>
        <v>0</v>
      </c>
      <c r="AC144" s="356">
        <f t="shared" si="397"/>
        <v>0</v>
      </c>
      <c r="AD144" s="343">
        <f t="shared" si="397"/>
        <v>0</v>
      </c>
      <c r="AE144" s="517">
        <f t="shared" si="393"/>
        <v>0</v>
      </c>
      <c r="AF144" s="518">
        <f t="shared" ref="AF144:AG144" si="398">SUM(AF143)</f>
        <v>0</v>
      </c>
      <c r="AG144" s="518">
        <f t="shared" si="398"/>
        <v>0</v>
      </c>
      <c r="AH144" s="413">
        <f t="shared" si="393"/>
        <v>0</v>
      </c>
      <c r="AI144" s="495">
        <f t="shared" si="393"/>
        <v>0</v>
      </c>
      <c r="AJ144" s="356">
        <f t="shared" ref="AJ144:AL144" si="399">SUM(AJ143)</f>
        <v>0</v>
      </c>
      <c r="AK144" s="356">
        <f t="shared" si="399"/>
        <v>0</v>
      </c>
      <c r="AL144" s="343">
        <f t="shared" si="399"/>
        <v>0</v>
      </c>
      <c r="AM144" s="495">
        <f t="shared" si="393"/>
        <v>0</v>
      </c>
      <c r="AN144" s="356">
        <f t="shared" ref="AN144:AP144" si="400">SUM(AN143)</f>
        <v>0</v>
      </c>
      <c r="AO144" s="356">
        <f t="shared" si="400"/>
        <v>0</v>
      </c>
      <c r="AP144" s="343">
        <f t="shared" si="400"/>
        <v>0</v>
      </c>
      <c r="AQ144" s="495">
        <f t="shared" si="393"/>
        <v>0</v>
      </c>
      <c r="AR144" s="356">
        <f t="shared" ref="AR144:AT144" si="401">SUM(AR143)</f>
        <v>0</v>
      </c>
      <c r="AS144" s="356">
        <f t="shared" si="401"/>
        <v>0</v>
      </c>
      <c r="AT144" s="343">
        <f t="shared" si="401"/>
        <v>0</v>
      </c>
      <c r="AU144" s="483"/>
      <c r="AV144" s="483"/>
      <c r="AW144" s="483"/>
      <c r="AX144" s="483"/>
      <c r="AY144" s="483"/>
    </row>
    <row r="145" spans="1:51" s="481" customFormat="1" ht="12.75" thickBot="1">
      <c r="A145" s="529" t="s">
        <v>552</v>
      </c>
      <c r="B145" s="836"/>
      <c r="C145" s="1552" t="s">
        <v>862</v>
      </c>
      <c r="D145" s="1553"/>
      <c r="E145" s="1553"/>
      <c r="F145" s="1554"/>
      <c r="G145" s="497">
        <f>+G139+G142+G144</f>
        <v>20793</v>
      </c>
      <c r="H145" s="498">
        <f>+H139+H142+H144</f>
        <v>20793</v>
      </c>
      <c r="I145" s="498">
        <f>+I139+I142+I144</f>
        <v>0</v>
      </c>
      <c r="J145" s="499">
        <f>+J139+J142+J144</f>
        <v>20793</v>
      </c>
      <c r="K145" s="497">
        <f t="shared" ref="K145" si="402">+K139+K142+K144</f>
        <v>20793</v>
      </c>
      <c r="L145" s="498">
        <f t="shared" ref="L145:M145" si="403">+L139+L142+L144</f>
        <v>20793</v>
      </c>
      <c r="M145" s="498">
        <f t="shared" si="403"/>
        <v>0</v>
      </c>
      <c r="N145" s="499">
        <f t="shared" ref="N145:AQ145" si="404">+N139+N142+N144</f>
        <v>20793</v>
      </c>
      <c r="O145" s="509">
        <f t="shared" si="404"/>
        <v>3240</v>
      </c>
      <c r="P145" s="510">
        <f t="shared" ref="P145:Q145" si="405">+P139+P142+P144</f>
        <v>3240</v>
      </c>
      <c r="Q145" s="510">
        <f t="shared" si="405"/>
        <v>0</v>
      </c>
      <c r="R145" s="511">
        <f t="shared" si="404"/>
        <v>3240</v>
      </c>
      <c r="S145" s="509">
        <f t="shared" si="404"/>
        <v>17553</v>
      </c>
      <c r="T145" s="510">
        <f t="shared" ref="T145:V145" si="406">+T139+T142+T144</f>
        <v>17553</v>
      </c>
      <c r="U145" s="510">
        <f t="shared" si="406"/>
        <v>0</v>
      </c>
      <c r="V145" s="511">
        <f t="shared" si="406"/>
        <v>17553</v>
      </c>
      <c r="W145" s="509">
        <f t="shared" si="404"/>
        <v>0</v>
      </c>
      <c r="X145" s="510">
        <f t="shared" ref="X145:Z145" si="407">+X139+X142+X144</f>
        <v>0</v>
      </c>
      <c r="Y145" s="510">
        <f t="shared" si="407"/>
        <v>0</v>
      </c>
      <c r="Z145" s="511">
        <f t="shared" si="407"/>
        <v>0</v>
      </c>
      <c r="AA145" s="509">
        <f t="shared" si="404"/>
        <v>0</v>
      </c>
      <c r="AB145" s="510">
        <f t="shared" ref="AB145:AD145" si="408">+AB139+AB142+AB144</f>
        <v>0</v>
      </c>
      <c r="AC145" s="510">
        <f t="shared" si="408"/>
        <v>0</v>
      </c>
      <c r="AD145" s="511">
        <f t="shared" si="408"/>
        <v>0</v>
      </c>
      <c r="AE145" s="497">
        <f t="shared" si="404"/>
        <v>0</v>
      </c>
      <c r="AF145" s="498">
        <f t="shared" ref="AF145:AG145" si="409">+AF139+AF142+AF144</f>
        <v>0</v>
      </c>
      <c r="AG145" s="498">
        <f t="shared" si="409"/>
        <v>0</v>
      </c>
      <c r="AH145" s="499">
        <f t="shared" si="404"/>
        <v>0</v>
      </c>
      <c r="AI145" s="509">
        <f t="shared" si="404"/>
        <v>0</v>
      </c>
      <c r="AJ145" s="510">
        <f t="shared" ref="AJ145:AL145" si="410">+AJ139+AJ142+AJ144</f>
        <v>0</v>
      </c>
      <c r="AK145" s="510">
        <f t="shared" si="410"/>
        <v>0</v>
      </c>
      <c r="AL145" s="511">
        <f t="shared" si="410"/>
        <v>0</v>
      </c>
      <c r="AM145" s="509">
        <f t="shared" si="404"/>
        <v>0</v>
      </c>
      <c r="AN145" s="510">
        <f t="shared" ref="AN145:AP145" si="411">+AN139+AN142+AN144</f>
        <v>0</v>
      </c>
      <c r="AO145" s="510">
        <f t="shared" si="411"/>
        <v>0</v>
      </c>
      <c r="AP145" s="511">
        <f t="shared" si="411"/>
        <v>0</v>
      </c>
      <c r="AQ145" s="509">
        <f t="shared" si="404"/>
        <v>0</v>
      </c>
      <c r="AR145" s="510">
        <f t="shared" ref="AR145:AT145" si="412">+AR139+AR142+AR144</f>
        <v>0</v>
      </c>
      <c r="AS145" s="510">
        <f t="shared" si="412"/>
        <v>0</v>
      </c>
      <c r="AT145" s="511">
        <f t="shared" si="412"/>
        <v>0</v>
      </c>
      <c r="AU145" s="483"/>
      <c r="AV145" s="483"/>
      <c r="AW145" s="483"/>
      <c r="AX145" s="483"/>
      <c r="AY145" s="483"/>
    </row>
    <row r="146" spans="1:51" s="481" customFormat="1" ht="12.75" thickBot="1">
      <c r="A146" s="528"/>
      <c r="B146" s="839"/>
      <c r="C146" s="925"/>
      <c r="D146" s="527"/>
      <c r="E146" s="920"/>
      <c r="F146" s="494"/>
      <c r="G146" s="517"/>
      <c r="H146" s="518"/>
      <c r="I146" s="518"/>
      <c r="J146" s="413"/>
      <c r="K146" s="517"/>
      <c r="L146" s="518"/>
      <c r="M146" s="518"/>
      <c r="N146" s="413"/>
      <c r="O146" s="495"/>
      <c r="P146" s="356"/>
      <c r="Q146" s="356"/>
      <c r="R146" s="343"/>
      <c r="S146" s="495"/>
      <c r="T146" s="356"/>
      <c r="U146" s="356"/>
      <c r="V146" s="343"/>
      <c r="W146" s="495"/>
      <c r="X146" s="356"/>
      <c r="Y146" s="356"/>
      <c r="Z146" s="343"/>
      <c r="AA146" s="495"/>
      <c r="AB146" s="356"/>
      <c r="AC146" s="356"/>
      <c r="AD146" s="343"/>
      <c r="AE146" s="517"/>
      <c r="AF146" s="518"/>
      <c r="AG146" s="518"/>
      <c r="AH146" s="413"/>
      <c r="AI146" s="495"/>
      <c r="AJ146" s="356"/>
      <c r="AK146" s="356"/>
      <c r="AL146" s="343"/>
      <c r="AM146" s="495"/>
      <c r="AN146" s="356"/>
      <c r="AO146" s="356"/>
      <c r="AP146" s="343"/>
      <c r="AQ146" s="495"/>
      <c r="AR146" s="356"/>
      <c r="AS146" s="356"/>
      <c r="AT146" s="343"/>
      <c r="AU146" s="483"/>
      <c r="AV146" s="483"/>
      <c r="AW146" s="483"/>
      <c r="AX146" s="483"/>
      <c r="AY146" s="483"/>
    </row>
    <row r="147" spans="1:51">
      <c r="A147" s="532">
        <f>+A143+1</f>
        <v>115</v>
      </c>
      <c r="B147" s="832">
        <v>32</v>
      </c>
      <c r="C147" s="993" t="s">
        <v>1023</v>
      </c>
      <c r="D147" s="944" t="s">
        <v>1024</v>
      </c>
      <c r="E147" s="994" t="s">
        <v>1245</v>
      </c>
      <c r="F147" s="1007" t="s">
        <v>1025</v>
      </c>
      <c r="G147" s="1417">
        <f t="shared" ref="G147:J151" si="413">+K147+AE147</f>
        <v>0</v>
      </c>
      <c r="H147" s="1418">
        <f t="shared" si="413"/>
        <v>0</v>
      </c>
      <c r="I147" s="1418">
        <f t="shared" si="413"/>
        <v>0</v>
      </c>
      <c r="J147" s="473">
        <f t="shared" si="413"/>
        <v>0</v>
      </c>
      <c r="K147" s="1417">
        <f t="shared" ref="K147:N151" si="414">+O147+S147+W147+AA147</f>
        <v>0</v>
      </c>
      <c r="L147" s="1418">
        <f t="shared" si="414"/>
        <v>0</v>
      </c>
      <c r="M147" s="1418">
        <f t="shared" si="414"/>
        <v>0</v>
      </c>
      <c r="N147" s="473">
        <f t="shared" si="414"/>
        <v>0</v>
      </c>
      <c r="O147" s="1011"/>
      <c r="P147" s="1012"/>
      <c r="Q147" s="1012"/>
      <c r="R147" s="1013">
        <f t="shared" ref="R147:R151" si="415">+P147+Q147</f>
        <v>0</v>
      </c>
      <c r="S147" s="1011"/>
      <c r="T147" s="1012"/>
      <c r="U147" s="1012"/>
      <c r="V147" s="1013">
        <f t="shared" ref="V147:V151" si="416">+T147+U147</f>
        <v>0</v>
      </c>
      <c r="W147" s="1011"/>
      <c r="X147" s="1012"/>
      <c r="Y147" s="1012"/>
      <c r="Z147" s="1013">
        <f t="shared" ref="Z147:Z151" si="417">+X147+Y147</f>
        <v>0</v>
      </c>
      <c r="AA147" s="1011"/>
      <c r="AB147" s="1012"/>
      <c r="AC147" s="1012"/>
      <c r="AD147" s="1013">
        <f t="shared" ref="AD147:AD151" si="418">+AB147+AC147</f>
        <v>0</v>
      </c>
      <c r="AE147" s="1417">
        <f t="shared" ref="AE147:AH151" si="419">+AI147+AM147+AQ147</f>
        <v>0</v>
      </c>
      <c r="AF147" s="1418">
        <f t="shared" si="419"/>
        <v>0</v>
      </c>
      <c r="AG147" s="1418">
        <f t="shared" si="419"/>
        <v>0</v>
      </c>
      <c r="AH147" s="473">
        <f t="shared" si="419"/>
        <v>0</v>
      </c>
      <c r="AI147" s="1011"/>
      <c r="AJ147" s="1012"/>
      <c r="AK147" s="1012"/>
      <c r="AL147" s="1013">
        <f t="shared" ref="AL147:AL151" si="420">+AJ147+AK147</f>
        <v>0</v>
      </c>
      <c r="AM147" s="1011"/>
      <c r="AN147" s="1012"/>
      <c r="AO147" s="1012"/>
      <c r="AP147" s="1013">
        <f t="shared" ref="AP147:AP151" si="421">+AN147+AO147</f>
        <v>0</v>
      </c>
      <c r="AQ147" s="1011"/>
      <c r="AR147" s="1012"/>
      <c r="AS147" s="1012"/>
      <c r="AT147" s="1013">
        <f t="shared" ref="AT147:AT151" si="422">+AR147+AS147</f>
        <v>0</v>
      </c>
      <c r="AU147" s="483"/>
      <c r="AV147" s="483"/>
      <c r="AW147" s="483"/>
      <c r="AX147" s="483"/>
      <c r="AY147" s="483"/>
    </row>
    <row r="148" spans="1:51">
      <c r="A148" s="532">
        <f>+A147+1</f>
        <v>116</v>
      </c>
      <c r="B148" s="832">
        <v>32</v>
      </c>
      <c r="C148" s="993" t="s">
        <v>1023</v>
      </c>
      <c r="D148" s="944" t="s">
        <v>1024</v>
      </c>
      <c r="E148" s="994" t="s">
        <v>1246</v>
      </c>
      <c r="F148" s="1007" t="s">
        <v>1026</v>
      </c>
      <c r="G148" s="1417">
        <f t="shared" si="413"/>
        <v>0</v>
      </c>
      <c r="H148" s="1418">
        <f t="shared" si="413"/>
        <v>0</v>
      </c>
      <c r="I148" s="1418">
        <f t="shared" si="413"/>
        <v>0</v>
      </c>
      <c r="J148" s="473">
        <f t="shared" si="413"/>
        <v>0</v>
      </c>
      <c r="K148" s="1417">
        <f t="shared" si="414"/>
        <v>0</v>
      </c>
      <c r="L148" s="1418">
        <f t="shared" si="414"/>
        <v>0</v>
      </c>
      <c r="M148" s="1418">
        <f t="shared" si="414"/>
        <v>0</v>
      </c>
      <c r="N148" s="473">
        <f t="shared" si="414"/>
        <v>0</v>
      </c>
      <c r="O148" s="1011"/>
      <c r="P148" s="1012"/>
      <c r="Q148" s="1012"/>
      <c r="R148" s="1013">
        <f t="shared" si="415"/>
        <v>0</v>
      </c>
      <c r="S148" s="1011"/>
      <c r="T148" s="1012"/>
      <c r="U148" s="1012"/>
      <c r="V148" s="1013">
        <f t="shared" si="416"/>
        <v>0</v>
      </c>
      <c r="W148" s="1011"/>
      <c r="X148" s="1012"/>
      <c r="Y148" s="1012"/>
      <c r="Z148" s="1013">
        <f t="shared" si="417"/>
        <v>0</v>
      </c>
      <c r="AA148" s="1011"/>
      <c r="AB148" s="1012"/>
      <c r="AC148" s="1012"/>
      <c r="AD148" s="1013">
        <f t="shared" si="418"/>
        <v>0</v>
      </c>
      <c r="AE148" s="1417">
        <f t="shared" si="419"/>
        <v>0</v>
      </c>
      <c r="AF148" s="1418">
        <f t="shared" si="419"/>
        <v>0</v>
      </c>
      <c r="AG148" s="1418">
        <f t="shared" si="419"/>
        <v>0</v>
      </c>
      <c r="AH148" s="473">
        <f t="shared" si="419"/>
        <v>0</v>
      </c>
      <c r="AI148" s="1011"/>
      <c r="AJ148" s="1012"/>
      <c r="AK148" s="1012"/>
      <c r="AL148" s="1013">
        <f t="shared" si="420"/>
        <v>0</v>
      </c>
      <c r="AM148" s="1011"/>
      <c r="AN148" s="1012"/>
      <c r="AO148" s="1012"/>
      <c r="AP148" s="1013">
        <f t="shared" si="421"/>
        <v>0</v>
      </c>
      <c r="AQ148" s="1011"/>
      <c r="AR148" s="1012"/>
      <c r="AS148" s="1012"/>
      <c r="AT148" s="1013">
        <f t="shared" si="422"/>
        <v>0</v>
      </c>
      <c r="AU148" s="483"/>
      <c r="AV148" s="483"/>
      <c r="AW148" s="483"/>
      <c r="AX148" s="483"/>
      <c r="AY148" s="483"/>
    </row>
    <row r="149" spans="1:51">
      <c r="A149" s="532">
        <f>+A148+1</f>
        <v>117</v>
      </c>
      <c r="B149" s="832">
        <v>32</v>
      </c>
      <c r="C149" s="993" t="s">
        <v>1028</v>
      </c>
      <c r="D149" s="944" t="s">
        <v>1027</v>
      </c>
      <c r="E149" s="994" t="s">
        <v>1245</v>
      </c>
      <c r="F149" s="1007" t="s">
        <v>1025</v>
      </c>
      <c r="G149" s="1417">
        <f t="shared" si="413"/>
        <v>0</v>
      </c>
      <c r="H149" s="1418">
        <f t="shared" si="413"/>
        <v>0</v>
      </c>
      <c r="I149" s="1418">
        <f t="shared" si="413"/>
        <v>0</v>
      </c>
      <c r="J149" s="473">
        <f t="shared" si="413"/>
        <v>0</v>
      </c>
      <c r="K149" s="1417">
        <f t="shared" si="414"/>
        <v>0</v>
      </c>
      <c r="L149" s="1418">
        <f t="shared" si="414"/>
        <v>0</v>
      </c>
      <c r="M149" s="1418">
        <f t="shared" si="414"/>
        <v>0</v>
      </c>
      <c r="N149" s="473">
        <f t="shared" si="414"/>
        <v>0</v>
      </c>
      <c r="O149" s="1011"/>
      <c r="P149" s="1012"/>
      <c r="Q149" s="1012"/>
      <c r="R149" s="1013">
        <f t="shared" si="415"/>
        <v>0</v>
      </c>
      <c r="S149" s="1011"/>
      <c r="T149" s="1012"/>
      <c r="U149" s="1012"/>
      <c r="V149" s="1013">
        <f t="shared" si="416"/>
        <v>0</v>
      </c>
      <c r="W149" s="1011"/>
      <c r="X149" s="1012"/>
      <c r="Y149" s="1012"/>
      <c r="Z149" s="1013">
        <f t="shared" si="417"/>
        <v>0</v>
      </c>
      <c r="AA149" s="1011"/>
      <c r="AB149" s="1012"/>
      <c r="AC149" s="1012"/>
      <c r="AD149" s="1013">
        <f t="shared" si="418"/>
        <v>0</v>
      </c>
      <c r="AE149" s="1417">
        <f t="shared" si="419"/>
        <v>0</v>
      </c>
      <c r="AF149" s="1418">
        <f t="shared" si="419"/>
        <v>0</v>
      </c>
      <c r="AG149" s="1418">
        <f t="shared" si="419"/>
        <v>0</v>
      </c>
      <c r="AH149" s="473">
        <f t="shared" si="419"/>
        <v>0</v>
      </c>
      <c r="AI149" s="1011"/>
      <c r="AJ149" s="1012"/>
      <c r="AK149" s="1012"/>
      <c r="AL149" s="1013">
        <f t="shared" si="420"/>
        <v>0</v>
      </c>
      <c r="AM149" s="1011"/>
      <c r="AN149" s="1012"/>
      <c r="AO149" s="1012"/>
      <c r="AP149" s="1013">
        <f t="shared" si="421"/>
        <v>0</v>
      </c>
      <c r="AQ149" s="1011"/>
      <c r="AR149" s="1012"/>
      <c r="AS149" s="1012"/>
      <c r="AT149" s="1013">
        <f t="shared" si="422"/>
        <v>0</v>
      </c>
      <c r="AU149" s="483"/>
      <c r="AV149" s="483"/>
      <c r="AW149" s="483"/>
      <c r="AX149" s="483"/>
      <c r="AY149" s="483"/>
    </row>
    <row r="150" spans="1:51">
      <c r="A150" s="532">
        <f t="shared" ref="A150:A151" si="423">+A149+1</f>
        <v>118</v>
      </c>
      <c r="B150" s="832">
        <v>32</v>
      </c>
      <c r="C150" s="993" t="s">
        <v>1028</v>
      </c>
      <c r="D150" s="944" t="s">
        <v>1027</v>
      </c>
      <c r="E150" s="994" t="s">
        <v>1246</v>
      </c>
      <c r="F150" s="1007" t="s">
        <v>1026</v>
      </c>
      <c r="G150" s="1417">
        <f t="shared" si="413"/>
        <v>0</v>
      </c>
      <c r="H150" s="1418">
        <f t="shared" si="413"/>
        <v>0</v>
      </c>
      <c r="I150" s="1418">
        <f t="shared" si="413"/>
        <v>0</v>
      </c>
      <c r="J150" s="473">
        <f t="shared" si="413"/>
        <v>0</v>
      </c>
      <c r="K150" s="1417">
        <f t="shared" si="414"/>
        <v>0</v>
      </c>
      <c r="L150" s="1418">
        <f t="shared" si="414"/>
        <v>0</v>
      </c>
      <c r="M150" s="1418">
        <f t="shared" si="414"/>
        <v>0</v>
      </c>
      <c r="N150" s="473">
        <f t="shared" si="414"/>
        <v>0</v>
      </c>
      <c r="O150" s="1011"/>
      <c r="P150" s="1012"/>
      <c r="Q150" s="1012"/>
      <c r="R150" s="1013">
        <f t="shared" si="415"/>
        <v>0</v>
      </c>
      <c r="S150" s="1011"/>
      <c r="T150" s="1012"/>
      <c r="U150" s="1012"/>
      <c r="V150" s="1013">
        <f t="shared" si="416"/>
        <v>0</v>
      </c>
      <c r="W150" s="1011"/>
      <c r="X150" s="1012"/>
      <c r="Y150" s="1012"/>
      <c r="Z150" s="1013">
        <f t="shared" si="417"/>
        <v>0</v>
      </c>
      <c r="AA150" s="1011"/>
      <c r="AB150" s="1012"/>
      <c r="AC150" s="1012"/>
      <c r="AD150" s="1013">
        <f t="shared" si="418"/>
        <v>0</v>
      </c>
      <c r="AE150" s="1417">
        <f t="shared" si="419"/>
        <v>0</v>
      </c>
      <c r="AF150" s="1418">
        <f t="shared" si="419"/>
        <v>0</v>
      </c>
      <c r="AG150" s="1418">
        <f t="shared" si="419"/>
        <v>0</v>
      </c>
      <c r="AH150" s="473">
        <f t="shared" si="419"/>
        <v>0</v>
      </c>
      <c r="AI150" s="1011"/>
      <c r="AJ150" s="1012"/>
      <c r="AK150" s="1012"/>
      <c r="AL150" s="1013">
        <f t="shared" si="420"/>
        <v>0</v>
      </c>
      <c r="AM150" s="1011"/>
      <c r="AN150" s="1012"/>
      <c r="AO150" s="1012"/>
      <c r="AP150" s="1013">
        <f t="shared" si="421"/>
        <v>0</v>
      </c>
      <c r="AQ150" s="1011"/>
      <c r="AR150" s="1012"/>
      <c r="AS150" s="1012"/>
      <c r="AT150" s="1013">
        <f t="shared" si="422"/>
        <v>0</v>
      </c>
      <c r="AU150" s="483"/>
      <c r="AV150" s="483"/>
      <c r="AW150" s="483"/>
      <c r="AX150" s="483"/>
      <c r="AY150" s="483"/>
    </row>
    <row r="151" spans="1:51" ht="12.75" thickBot="1">
      <c r="A151" s="532">
        <f t="shared" si="423"/>
        <v>119</v>
      </c>
      <c r="B151" s="832">
        <v>32</v>
      </c>
      <c r="C151" s="993" t="s">
        <v>1002</v>
      </c>
      <c r="D151" s="944" t="s">
        <v>1003</v>
      </c>
      <c r="E151" s="994" t="s">
        <v>1245</v>
      </c>
      <c r="F151" s="1007" t="s">
        <v>1025</v>
      </c>
      <c r="G151" s="1417">
        <f t="shared" si="413"/>
        <v>0</v>
      </c>
      <c r="H151" s="1418">
        <f t="shared" si="413"/>
        <v>0</v>
      </c>
      <c r="I151" s="1418">
        <f t="shared" si="413"/>
        <v>0</v>
      </c>
      <c r="J151" s="473">
        <f t="shared" si="413"/>
        <v>0</v>
      </c>
      <c r="K151" s="1417">
        <f t="shared" si="414"/>
        <v>0</v>
      </c>
      <c r="L151" s="1418">
        <f t="shared" si="414"/>
        <v>0</v>
      </c>
      <c r="M151" s="1418">
        <f t="shared" si="414"/>
        <v>0</v>
      </c>
      <c r="N151" s="473">
        <f t="shared" si="414"/>
        <v>0</v>
      </c>
      <c r="O151" s="1011"/>
      <c r="P151" s="1012"/>
      <c r="Q151" s="1012"/>
      <c r="R151" s="1013">
        <f t="shared" si="415"/>
        <v>0</v>
      </c>
      <c r="S151" s="1011"/>
      <c r="T151" s="1012"/>
      <c r="U151" s="1012"/>
      <c r="V151" s="1013">
        <f t="shared" si="416"/>
        <v>0</v>
      </c>
      <c r="W151" s="1011"/>
      <c r="X151" s="1012"/>
      <c r="Y151" s="1012"/>
      <c r="Z151" s="1013">
        <f t="shared" si="417"/>
        <v>0</v>
      </c>
      <c r="AA151" s="1011"/>
      <c r="AB151" s="1012"/>
      <c r="AC151" s="1012"/>
      <c r="AD151" s="1013">
        <f t="shared" si="418"/>
        <v>0</v>
      </c>
      <c r="AE151" s="1417">
        <f t="shared" si="419"/>
        <v>0</v>
      </c>
      <c r="AF151" s="1418">
        <f t="shared" si="419"/>
        <v>0</v>
      </c>
      <c r="AG151" s="1418">
        <f t="shared" si="419"/>
        <v>0</v>
      </c>
      <c r="AH151" s="473">
        <f t="shared" si="419"/>
        <v>0</v>
      </c>
      <c r="AI151" s="1011"/>
      <c r="AJ151" s="1012"/>
      <c r="AK151" s="1012"/>
      <c r="AL151" s="1013">
        <f t="shared" si="420"/>
        <v>0</v>
      </c>
      <c r="AM151" s="1011"/>
      <c r="AN151" s="1012"/>
      <c r="AO151" s="1012"/>
      <c r="AP151" s="1013">
        <f t="shared" si="421"/>
        <v>0</v>
      </c>
      <c r="AQ151" s="1011"/>
      <c r="AR151" s="1012"/>
      <c r="AS151" s="1012"/>
      <c r="AT151" s="1013">
        <f t="shared" si="422"/>
        <v>0</v>
      </c>
      <c r="AU151" s="483"/>
      <c r="AV151" s="483"/>
      <c r="AW151" s="483"/>
      <c r="AX151" s="483"/>
      <c r="AY151" s="483"/>
    </row>
    <row r="152" spans="1:51" s="481" customFormat="1" ht="12.75" thickBot="1">
      <c r="A152" s="528" t="s">
        <v>1141</v>
      </c>
      <c r="B152" s="835"/>
      <c r="C152" s="1558" t="s">
        <v>1098</v>
      </c>
      <c r="D152" s="1559"/>
      <c r="E152" s="1559"/>
      <c r="F152" s="1560"/>
      <c r="G152" s="517">
        <f t="shared" ref="G152" si="424">SUM(G147:G151)</f>
        <v>0</v>
      </c>
      <c r="H152" s="518">
        <f t="shared" ref="H152:I152" si="425">SUM(H147:H151)</f>
        <v>0</v>
      </c>
      <c r="I152" s="518">
        <f t="shared" si="425"/>
        <v>0</v>
      </c>
      <c r="J152" s="413">
        <f t="shared" ref="J152:AQ152" si="426">SUM(J147:J151)</f>
        <v>0</v>
      </c>
      <c r="K152" s="517">
        <f t="shared" si="426"/>
        <v>0</v>
      </c>
      <c r="L152" s="518">
        <f t="shared" ref="L152:M152" si="427">SUM(L147:L151)</f>
        <v>0</v>
      </c>
      <c r="M152" s="518">
        <f t="shared" si="427"/>
        <v>0</v>
      </c>
      <c r="N152" s="413">
        <f t="shared" si="426"/>
        <v>0</v>
      </c>
      <c r="O152" s="495">
        <f t="shared" si="426"/>
        <v>0</v>
      </c>
      <c r="P152" s="356">
        <f t="shared" ref="P152:Q152" si="428">SUM(P147:P151)</f>
        <v>0</v>
      </c>
      <c r="Q152" s="356">
        <f t="shared" si="428"/>
        <v>0</v>
      </c>
      <c r="R152" s="343">
        <f t="shared" si="426"/>
        <v>0</v>
      </c>
      <c r="S152" s="495">
        <f t="shared" si="426"/>
        <v>0</v>
      </c>
      <c r="T152" s="356">
        <f t="shared" ref="T152:V152" si="429">SUM(T147:T151)</f>
        <v>0</v>
      </c>
      <c r="U152" s="356">
        <f t="shared" si="429"/>
        <v>0</v>
      </c>
      <c r="V152" s="343">
        <f t="shared" si="429"/>
        <v>0</v>
      </c>
      <c r="W152" s="495">
        <f t="shared" si="426"/>
        <v>0</v>
      </c>
      <c r="X152" s="356">
        <f t="shared" ref="X152:Z152" si="430">SUM(X147:X151)</f>
        <v>0</v>
      </c>
      <c r="Y152" s="356">
        <f t="shared" si="430"/>
        <v>0</v>
      </c>
      <c r="Z152" s="343">
        <f t="shared" si="430"/>
        <v>0</v>
      </c>
      <c r="AA152" s="495">
        <f t="shared" si="426"/>
        <v>0</v>
      </c>
      <c r="AB152" s="356">
        <f t="shared" ref="AB152:AD152" si="431">SUM(AB147:AB151)</f>
        <v>0</v>
      </c>
      <c r="AC152" s="356">
        <f t="shared" si="431"/>
        <v>0</v>
      </c>
      <c r="AD152" s="343">
        <f t="shared" si="431"/>
        <v>0</v>
      </c>
      <c r="AE152" s="517">
        <f t="shared" si="426"/>
        <v>0</v>
      </c>
      <c r="AF152" s="518">
        <f t="shared" ref="AF152:AG152" si="432">SUM(AF147:AF151)</f>
        <v>0</v>
      </c>
      <c r="AG152" s="518">
        <f t="shared" si="432"/>
        <v>0</v>
      </c>
      <c r="AH152" s="413">
        <f t="shared" si="426"/>
        <v>0</v>
      </c>
      <c r="AI152" s="495">
        <f t="shared" si="426"/>
        <v>0</v>
      </c>
      <c r="AJ152" s="356">
        <f t="shared" ref="AJ152:AL152" si="433">SUM(AJ147:AJ151)</f>
        <v>0</v>
      </c>
      <c r="AK152" s="356">
        <f t="shared" si="433"/>
        <v>0</v>
      </c>
      <c r="AL152" s="343">
        <f t="shared" si="433"/>
        <v>0</v>
      </c>
      <c r="AM152" s="495">
        <f t="shared" si="426"/>
        <v>0</v>
      </c>
      <c r="AN152" s="356">
        <f t="shared" ref="AN152:AP152" si="434">SUM(AN147:AN151)</f>
        <v>0</v>
      </c>
      <c r="AO152" s="356">
        <f t="shared" si="434"/>
        <v>0</v>
      </c>
      <c r="AP152" s="343">
        <f t="shared" si="434"/>
        <v>0</v>
      </c>
      <c r="AQ152" s="495">
        <f t="shared" si="426"/>
        <v>0</v>
      </c>
      <c r="AR152" s="356">
        <f t="shared" ref="AR152:AT152" si="435">SUM(AR147:AR151)</f>
        <v>0</v>
      </c>
      <c r="AS152" s="356">
        <f t="shared" si="435"/>
        <v>0</v>
      </c>
      <c r="AT152" s="343">
        <f t="shared" si="435"/>
        <v>0</v>
      </c>
      <c r="AU152" s="483"/>
      <c r="AV152" s="483"/>
      <c r="AW152" s="483"/>
      <c r="AX152" s="483"/>
      <c r="AY152" s="483"/>
    </row>
    <row r="153" spans="1:51" s="485" customFormat="1" ht="12.75" customHeight="1" thickBot="1">
      <c r="A153" s="534">
        <f>A151+1</f>
        <v>120</v>
      </c>
      <c r="B153" s="840">
        <v>33</v>
      </c>
      <c r="C153" s="926" t="s">
        <v>19</v>
      </c>
      <c r="D153" s="525" t="s">
        <v>19</v>
      </c>
      <c r="E153" s="921" t="s">
        <v>19</v>
      </c>
      <c r="F153" s="1009" t="s">
        <v>19</v>
      </c>
      <c r="G153" s="1427">
        <f>+K153+AE153</f>
        <v>0</v>
      </c>
      <c r="H153" s="1428">
        <f>+L153+AF153</f>
        <v>0</v>
      </c>
      <c r="I153" s="1428">
        <f>+M153+AG153</f>
        <v>0</v>
      </c>
      <c r="J153" s="421">
        <f>+N153+AH153</f>
        <v>0</v>
      </c>
      <c r="K153" s="1427">
        <f>+O153+S153+W153+AA153</f>
        <v>0</v>
      </c>
      <c r="L153" s="1428">
        <f>+P153+T153+X153+AB153</f>
        <v>0</v>
      </c>
      <c r="M153" s="1428">
        <f>+Q153+U153+Y153+AC153</f>
        <v>0</v>
      </c>
      <c r="N153" s="421">
        <f>+R153+V153+Z153+AD153</f>
        <v>0</v>
      </c>
      <c r="O153" s="491"/>
      <c r="P153" s="490"/>
      <c r="Q153" s="490"/>
      <c r="R153" s="440">
        <f t="shared" ref="R153" si="436">+P153+Q153</f>
        <v>0</v>
      </c>
      <c r="S153" s="491"/>
      <c r="T153" s="490"/>
      <c r="U153" s="490"/>
      <c r="V153" s="440">
        <f t="shared" ref="V153" si="437">+T153+U153</f>
        <v>0</v>
      </c>
      <c r="W153" s="491"/>
      <c r="X153" s="490"/>
      <c r="Y153" s="490"/>
      <c r="Z153" s="440">
        <f t="shared" ref="Z153" si="438">+X153+Y153</f>
        <v>0</v>
      </c>
      <c r="AA153" s="491"/>
      <c r="AB153" s="490"/>
      <c r="AC153" s="490"/>
      <c r="AD153" s="440">
        <f t="shared" ref="AD153" si="439">+AB153+AC153</f>
        <v>0</v>
      </c>
      <c r="AE153" s="1427">
        <f>+AI153+AM153+AQ153</f>
        <v>0</v>
      </c>
      <c r="AF153" s="1428">
        <f>+AJ153+AN153+AR153</f>
        <v>0</v>
      </c>
      <c r="AG153" s="1428">
        <f>+AK153+AO153+AS153</f>
        <v>0</v>
      </c>
      <c r="AH153" s="421">
        <f>+AL153+AP153+AT153</f>
        <v>0</v>
      </c>
      <c r="AI153" s="491"/>
      <c r="AJ153" s="490"/>
      <c r="AK153" s="490"/>
      <c r="AL153" s="440">
        <f t="shared" ref="AL153" si="440">+AJ153+AK153</f>
        <v>0</v>
      </c>
      <c r="AM153" s="491"/>
      <c r="AN153" s="490"/>
      <c r="AO153" s="490"/>
      <c r="AP153" s="440">
        <f t="shared" ref="AP153" si="441">+AN153+AO153</f>
        <v>0</v>
      </c>
      <c r="AQ153" s="491"/>
      <c r="AR153" s="490"/>
      <c r="AS153" s="490"/>
      <c r="AT153" s="440">
        <f t="shared" ref="AT153" si="442">+AR153+AS153</f>
        <v>0</v>
      </c>
      <c r="AU153" s="483"/>
      <c r="AV153" s="483"/>
      <c r="AW153" s="483"/>
      <c r="AX153" s="483"/>
      <c r="AY153" s="483"/>
    </row>
    <row r="154" spans="1:51" s="481" customFormat="1" ht="12.75" thickBot="1">
      <c r="A154" s="528" t="s">
        <v>1142</v>
      </c>
      <c r="B154" s="835"/>
      <c r="C154" s="1558" t="s">
        <v>1099</v>
      </c>
      <c r="D154" s="1559"/>
      <c r="E154" s="1559"/>
      <c r="F154" s="1560"/>
      <c r="G154" s="517">
        <f>SUM(G153)</f>
        <v>0</v>
      </c>
      <c r="H154" s="518">
        <f>SUM(H153)</f>
        <v>0</v>
      </c>
      <c r="I154" s="518">
        <f>SUM(I153)</f>
        <v>0</v>
      </c>
      <c r="J154" s="413">
        <f>SUM(J153)</f>
        <v>0</v>
      </c>
      <c r="K154" s="517">
        <f t="shared" ref="K154" si="443">SUM(K153)</f>
        <v>0</v>
      </c>
      <c r="L154" s="518">
        <f t="shared" ref="L154:M154" si="444">SUM(L153)</f>
        <v>0</v>
      </c>
      <c r="M154" s="518">
        <f t="shared" si="444"/>
        <v>0</v>
      </c>
      <c r="N154" s="413">
        <f t="shared" ref="N154:AQ154" si="445">SUM(N153)</f>
        <v>0</v>
      </c>
      <c r="O154" s="495">
        <f t="shared" si="445"/>
        <v>0</v>
      </c>
      <c r="P154" s="356">
        <f t="shared" ref="P154:Q154" si="446">SUM(P153)</f>
        <v>0</v>
      </c>
      <c r="Q154" s="356">
        <f t="shared" si="446"/>
        <v>0</v>
      </c>
      <c r="R154" s="343">
        <f t="shared" si="445"/>
        <v>0</v>
      </c>
      <c r="S154" s="495">
        <f t="shared" si="445"/>
        <v>0</v>
      </c>
      <c r="T154" s="356">
        <f t="shared" ref="T154:V154" si="447">SUM(T153)</f>
        <v>0</v>
      </c>
      <c r="U154" s="356">
        <f t="shared" si="447"/>
        <v>0</v>
      </c>
      <c r="V154" s="343">
        <f t="shared" si="447"/>
        <v>0</v>
      </c>
      <c r="W154" s="495">
        <f t="shared" si="445"/>
        <v>0</v>
      </c>
      <c r="X154" s="356">
        <f t="shared" ref="X154:Z154" si="448">SUM(X153)</f>
        <v>0</v>
      </c>
      <c r="Y154" s="356">
        <f t="shared" si="448"/>
        <v>0</v>
      </c>
      <c r="Z154" s="343">
        <f t="shared" si="448"/>
        <v>0</v>
      </c>
      <c r="AA154" s="495">
        <f t="shared" si="445"/>
        <v>0</v>
      </c>
      <c r="AB154" s="356">
        <f t="shared" ref="AB154:AD154" si="449">SUM(AB153)</f>
        <v>0</v>
      </c>
      <c r="AC154" s="356">
        <f t="shared" si="449"/>
        <v>0</v>
      </c>
      <c r="AD154" s="343">
        <f t="shared" si="449"/>
        <v>0</v>
      </c>
      <c r="AE154" s="517">
        <f t="shared" si="445"/>
        <v>0</v>
      </c>
      <c r="AF154" s="518">
        <f t="shared" ref="AF154:AG154" si="450">SUM(AF153)</f>
        <v>0</v>
      </c>
      <c r="AG154" s="518">
        <f t="shared" si="450"/>
        <v>0</v>
      </c>
      <c r="AH154" s="413">
        <f t="shared" si="445"/>
        <v>0</v>
      </c>
      <c r="AI154" s="495">
        <f t="shared" si="445"/>
        <v>0</v>
      </c>
      <c r="AJ154" s="356">
        <f t="shared" ref="AJ154:AL154" si="451">SUM(AJ153)</f>
        <v>0</v>
      </c>
      <c r="AK154" s="356">
        <f t="shared" si="451"/>
        <v>0</v>
      </c>
      <c r="AL154" s="343">
        <f t="shared" si="451"/>
        <v>0</v>
      </c>
      <c r="AM154" s="495">
        <f t="shared" si="445"/>
        <v>0</v>
      </c>
      <c r="AN154" s="356">
        <f t="shared" ref="AN154:AP154" si="452">SUM(AN153)</f>
        <v>0</v>
      </c>
      <c r="AO154" s="356">
        <f t="shared" si="452"/>
        <v>0</v>
      </c>
      <c r="AP154" s="343">
        <f t="shared" si="452"/>
        <v>0</v>
      </c>
      <c r="AQ154" s="495">
        <f t="shared" si="445"/>
        <v>0</v>
      </c>
      <c r="AR154" s="356">
        <f t="shared" ref="AR154:AT154" si="453">SUM(AR153)</f>
        <v>0</v>
      </c>
      <c r="AS154" s="356">
        <f t="shared" si="453"/>
        <v>0</v>
      </c>
      <c r="AT154" s="343">
        <f t="shared" si="453"/>
        <v>0</v>
      </c>
      <c r="AU154" s="483"/>
      <c r="AV154" s="483"/>
      <c r="AW154" s="483"/>
      <c r="AX154" s="483"/>
      <c r="AY154" s="483"/>
    </row>
    <row r="155" spans="1:51" s="485" customFormat="1" ht="12.75" customHeight="1" thickBot="1">
      <c r="A155" s="534">
        <f>+A153+1</f>
        <v>121</v>
      </c>
      <c r="B155" s="840">
        <v>34</v>
      </c>
      <c r="C155" s="926" t="s">
        <v>19</v>
      </c>
      <c r="D155" s="525" t="s">
        <v>19</v>
      </c>
      <c r="E155" s="921" t="s">
        <v>19</v>
      </c>
      <c r="F155" s="1009" t="s">
        <v>19</v>
      </c>
      <c r="G155" s="1427">
        <f>+K155+AE155</f>
        <v>0</v>
      </c>
      <c r="H155" s="1428">
        <f>+L155+AF155</f>
        <v>0</v>
      </c>
      <c r="I155" s="1428">
        <f>+M155+AG155</f>
        <v>0</v>
      </c>
      <c r="J155" s="421">
        <f>+N155+AH155</f>
        <v>0</v>
      </c>
      <c r="K155" s="1427">
        <f>+O155+S155+W155+AA155</f>
        <v>0</v>
      </c>
      <c r="L155" s="1428">
        <f>+P155+T155+X155+AB155</f>
        <v>0</v>
      </c>
      <c r="M155" s="1428">
        <f>+Q155+U155+Y155+AC155</f>
        <v>0</v>
      </c>
      <c r="N155" s="421">
        <f>+R155+V155+Z155+AD155</f>
        <v>0</v>
      </c>
      <c r="O155" s="491"/>
      <c r="P155" s="490"/>
      <c r="Q155" s="490"/>
      <c r="R155" s="440">
        <f t="shared" ref="R155" si="454">+P155+Q155</f>
        <v>0</v>
      </c>
      <c r="S155" s="491"/>
      <c r="T155" s="490"/>
      <c r="U155" s="490"/>
      <c r="V155" s="440">
        <f t="shared" ref="V155" si="455">+T155+U155</f>
        <v>0</v>
      </c>
      <c r="W155" s="491"/>
      <c r="X155" s="490"/>
      <c r="Y155" s="490"/>
      <c r="Z155" s="440">
        <f t="shared" ref="Z155" si="456">+X155+Y155</f>
        <v>0</v>
      </c>
      <c r="AA155" s="491"/>
      <c r="AB155" s="490"/>
      <c r="AC155" s="490"/>
      <c r="AD155" s="440">
        <f t="shared" ref="AD155" si="457">+AB155+AC155</f>
        <v>0</v>
      </c>
      <c r="AE155" s="1427">
        <f>+AI155+AM155+AQ155</f>
        <v>0</v>
      </c>
      <c r="AF155" s="1428">
        <f>+AJ155+AN155+AR155</f>
        <v>0</v>
      </c>
      <c r="AG155" s="1428">
        <f>+AK155+AO155+AS155</f>
        <v>0</v>
      </c>
      <c r="AH155" s="421">
        <f>+AL155+AP155+AT155</f>
        <v>0</v>
      </c>
      <c r="AI155" s="491"/>
      <c r="AJ155" s="490"/>
      <c r="AK155" s="490"/>
      <c r="AL155" s="440">
        <f t="shared" ref="AL155" si="458">+AJ155+AK155</f>
        <v>0</v>
      </c>
      <c r="AM155" s="491"/>
      <c r="AN155" s="490"/>
      <c r="AO155" s="490"/>
      <c r="AP155" s="440">
        <f t="shared" ref="AP155" si="459">+AN155+AO155</f>
        <v>0</v>
      </c>
      <c r="AQ155" s="491"/>
      <c r="AR155" s="490"/>
      <c r="AS155" s="490"/>
      <c r="AT155" s="440">
        <f t="shared" ref="AT155" si="460">+AR155+AS155</f>
        <v>0</v>
      </c>
      <c r="AU155" s="483"/>
      <c r="AV155" s="483"/>
      <c r="AW155" s="483"/>
      <c r="AX155" s="483"/>
      <c r="AY155" s="483"/>
    </row>
    <row r="156" spans="1:51" s="481" customFormat="1" ht="12.75" thickBot="1">
      <c r="A156" s="528" t="s">
        <v>1143</v>
      </c>
      <c r="B156" s="835"/>
      <c r="C156" s="1558" t="s">
        <v>1100</v>
      </c>
      <c r="D156" s="1559"/>
      <c r="E156" s="1559"/>
      <c r="F156" s="1560"/>
      <c r="G156" s="517">
        <f>SUM(G155)</f>
        <v>0</v>
      </c>
      <c r="H156" s="518">
        <f>SUM(H155)</f>
        <v>0</v>
      </c>
      <c r="I156" s="518">
        <f>SUM(I155)</f>
        <v>0</v>
      </c>
      <c r="J156" s="413">
        <f>SUM(J155)</f>
        <v>0</v>
      </c>
      <c r="K156" s="517">
        <f t="shared" ref="K156" si="461">SUM(K155)</f>
        <v>0</v>
      </c>
      <c r="L156" s="518">
        <f t="shared" ref="L156:M156" si="462">SUM(L155)</f>
        <v>0</v>
      </c>
      <c r="M156" s="518">
        <f t="shared" si="462"/>
        <v>0</v>
      </c>
      <c r="N156" s="413">
        <f t="shared" ref="N156:AQ156" si="463">SUM(N155)</f>
        <v>0</v>
      </c>
      <c r="O156" s="495">
        <f t="shared" si="463"/>
        <v>0</v>
      </c>
      <c r="P156" s="356">
        <f t="shared" ref="P156:Q156" si="464">SUM(P155)</f>
        <v>0</v>
      </c>
      <c r="Q156" s="356">
        <f t="shared" si="464"/>
        <v>0</v>
      </c>
      <c r="R156" s="343">
        <f t="shared" si="463"/>
        <v>0</v>
      </c>
      <c r="S156" s="495">
        <f t="shared" si="463"/>
        <v>0</v>
      </c>
      <c r="T156" s="356">
        <f t="shared" ref="T156:V156" si="465">SUM(T155)</f>
        <v>0</v>
      </c>
      <c r="U156" s="356">
        <f t="shared" si="465"/>
        <v>0</v>
      </c>
      <c r="V156" s="343">
        <f t="shared" si="465"/>
        <v>0</v>
      </c>
      <c r="W156" s="495">
        <f t="shared" si="463"/>
        <v>0</v>
      </c>
      <c r="X156" s="356">
        <f t="shared" ref="X156:Z156" si="466">SUM(X155)</f>
        <v>0</v>
      </c>
      <c r="Y156" s="356">
        <f t="shared" si="466"/>
        <v>0</v>
      </c>
      <c r="Z156" s="343">
        <f t="shared" si="466"/>
        <v>0</v>
      </c>
      <c r="AA156" s="495">
        <f t="shared" si="463"/>
        <v>0</v>
      </c>
      <c r="AB156" s="356">
        <f t="shared" ref="AB156:AD156" si="467">SUM(AB155)</f>
        <v>0</v>
      </c>
      <c r="AC156" s="356">
        <f t="shared" si="467"/>
        <v>0</v>
      </c>
      <c r="AD156" s="343">
        <f t="shared" si="467"/>
        <v>0</v>
      </c>
      <c r="AE156" s="517">
        <f t="shared" si="463"/>
        <v>0</v>
      </c>
      <c r="AF156" s="518">
        <f t="shared" ref="AF156:AG156" si="468">SUM(AF155)</f>
        <v>0</v>
      </c>
      <c r="AG156" s="518">
        <f t="shared" si="468"/>
        <v>0</v>
      </c>
      <c r="AH156" s="413">
        <f t="shared" si="463"/>
        <v>0</v>
      </c>
      <c r="AI156" s="495">
        <f t="shared" si="463"/>
        <v>0</v>
      </c>
      <c r="AJ156" s="356">
        <f t="shared" ref="AJ156:AL156" si="469">SUM(AJ155)</f>
        <v>0</v>
      </c>
      <c r="AK156" s="356">
        <f t="shared" si="469"/>
        <v>0</v>
      </c>
      <c r="AL156" s="343">
        <f t="shared" si="469"/>
        <v>0</v>
      </c>
      <c r="AM156" s="495">
        <f t="shared" si="463"/>
        <v>0</v>
      </c>
      <c r="AN156" s="356">
        <f t="shared" ref="AN156:AP156" si="470">SUM(AN155)</f>
        <v>0</v>
      </c>
      <c r="AO156" s="356">
        <f t="shared" si="470"/>
        <v>0</v>
      </c>
      <c r="AP156" s="343">
        <f t="shared" si="470"/>
        <v>0</v>
      </c>
      <c r="AQ156" s="495">
        <f t="shared" si="463"/>
        <v>0</v>
      </c>
      <c r="AR156" s="356">
        <f t="shared" ref="AR156:AT156" si="471">SUM(AR155)</f>
        <v>0</v>
      </c>
      <c r="AS156" s="356">
        <f t="shared" si="471"/>
        <v>0</v>
      </c>
      <c r="AT156" s="343">
        <f t="shared" si="471"/>
        <v>0</v>
      </c>
      <c r="AU156" s="483"/>
      <c r="AV156" s="483"/>
      <c r="AW156" s="483"/>
      <c r="AX156" s="483"/>
      <c r="AY156" s="483"/>
    </row>
    <row r="157" spans="1:51" s="481" customFormat="1" ht="12.75" thickBot="1">
      <c r="A157" s="529" t="s">
        <v>42</v>
      </c>
      <c r="B157" s="836"/>
      <c r="C157" s="1552" t="s">
        <v>1101</v>
      </c>
      <c r="D157" s="1553"/>
      <c r="E157" s="1553"/>
      <c r="F157" s="1554"/>
      <c r="G157" s="497">
        <f t="shared" ref="G157" si="472">+G152+G154+G156</f>
        <v>0</v>
      </c>
      <c r="H157" s="498">
        <f t="shared" ref="H157:I157" si="473">+H152+H154+H156</f>
        <v>0</v>
      </c>
      <c r="I157" s="498">
        <f t="shared" si="473"/>
        <v>0</v>
      </c>
      <c r="J157" s="499">
        <f t="shared" ref="J157:AQ157" si="474">+J152+J154+J156</f>
        <v>0</v>
      </c>
      <c r="K157" s="497">
        <f t="shared" si="474"/>
        <v>0</v>
      </c>
      <c r="L157" s="498">
        <f t="shared" ref="L157:M157" si="475">+L152+L154+L156</f>
        <v>0</v>
      </c>
      <c r="M157" s="498">
        <f t="shared" si="475"/>
        <v>0</v>
      </c>
      <c r="N157" s="499">
        <f t="shared" si="474"/>
        <v>0</v>
      </c>
      <c r="O157" s="509">
        <f t="shared" si="474"/>
        <v>0</v>
      </c>
      <c r="P157" s="510">
        <f t="shared" ref="P157:Q157" si="476">+P152+P154+P156</f>
        <v>0</v>
      </c>
      <c r="Q157" s="510">
        <f t="shared" si="476"/>
        <v>0</v>
      </c>
      <c r="R157" s="511">
        <f t="shared" si="474"/>
        <v>0</v>
      </c>
      <c r="S157" s="509">
        <f t="shared" si="474"/>
        <v>0</v>
      </c>
      <c r="T157" s="510">
        <f t="shared" ref="T157:V157" si="477">+T152+T154+T156</f>
        <v>0</v>
      </c>
      <c r="U157" s="510">
        <f t="shared" si="477"/>
        <v>0</v>
      </c>
      <c r="V157" s="511">
        <f t="shared" si="477"/>
        <v>0</v>
      </c>
      <c r="W157" s="509">
        <f t="shared" si="474"/>
        <v>0</v>
      </c>
      <c r="X157" s="510">
        <f t="shared" ref="X157:Z157" si="478">+X152+X154+X156</f>
        <v>0</v>
      </c>
      <c r="Y157" s="510">
        <f t="shared" si="478"/>
        <v>0</v>
      </c>
      <c r="Z157" s="511">
        <f t="shared" si="478"/>
        <v>0</v>
      </c>
      <c r="AA157" s="509">
        <f t="shared" si="474"/>
        <v>0</v>
      </c>
      <c r="AB157" s="510">
        <f t="shared" ref="AB157:AD157" si="479">+AB152+AB154+AB156</f>
        <v>0</v>
      </c>
      <c r="AC157" s="510">
        <f t="shared" si="479"/>
        <v>0</v>
      </c>
      <c r="AD157" s="511">
        <f t="shared" si="479"/>
        <v>0</v>
      </c>
      <c r="AE157" s="497">
        <f t="shared" si="474"/>
        <v>0</v>
      </c>
      <c r="AF157" s="498">
        <f t="shared" ref="AF157:AG157" si="480">+AF152+AF154+AF156</f>
        <v>0</v>
      </c>
      <c r="AG157" s="498">
        <f t="shared" si="480"/>
        <v>0</v>
      </c>
      <c r="AH157" s="499">
        <f t="shared" si="474"/>
        <v>0</v>
      </c>
      <c r="AI157" s="509">
        <f t="shared" si="474"/>
        <v>0</v>
      </c>
      <c r="AJ157" s="510">
        <f t="shared" ref="AJ157:AL157" si="481">+AJ152+AJ154+AJ156</f>
        <v>0</v>
      </c>
      <c r="AK157" s="510">
        <f t="shared" si="481"/>
        <v>0</v>
      </c>
      <c r="AL157" s="511">
        <f t="shared" si="481"/>
        <v>0</v>
      </c>
      <c r="AM157" s="509">
        <f t="shared" si="474"/>
        <v>0</v>
      </c>
      <c r="AN157" s="510">
        <f t="shared" ref="AN157:AP157" si="482">+AN152+AN154+AN156</f>
        <v>0</v>
      </c>
      <c r="AO157" s="510">
        <f t="shared" si="482"/>
        <v>0</v>
      </c>
      <c r="AP157" s="511">
        <f t="shared" si="482"/>
        <v>0</v>
      </c>
      <c r="AQ157" s="509">
        <f t="shared" si="474"/>
        <v>0</v>
      </c>
      <c r="AR157" s="510">
        <f t="shared" ref="AR157:AT157" si="483">+AR152+AR154+AR156</f>
        <v>0</v>
      </c>
      <c r="AS157" s="510">
        <f t="shared" si="483"/>
        <v>0</v>
      </c>
      <c r="AT157" s="511">
        <f t="shared" si="483"/>
        <v>0</v>
      </c>
      <c r="AU157" s="483"/>
      <c r="AV157" s="483"/>
      <c r="AW157" s="483"/>
      <c r="AX157" s="483"/>
      <c r="AY157" s="483"/>
    </row>
    <row r="158" spans="1:51" ht="12.75" thickBot="1">
      <c r="A158" s="534"/>
      <c r="B158" s="840"/>
      <c r="C158" s="926"/>
      <c r="D158" s="525"/>
      <c r="E158" s="921"/>
      <c r="F158" s="512"/>
      <c r="G158" s="1427"/>
      <c r="H158" s="1428"/>
      <c r="I158" s="1428"/>
      <c r="J158" s="421"/>
      <c r="K158" s="1427"/>
      <c r="L158" s="1428"/>
      <c r="M158" s="1428"/>
      <c r="N158" s="421"/>
      <c r="O158" s="491"/>
      <c r="P158" s="490"/>
      <c r="Q158" s="490"/>
      <c r="R158" s="440"/>
      <c r="S158" s="491"/>
      <c r="T158" s="490"/>
      <c r="U158" s="490"/>
      <c r="V158" s="440"/>
      <c r="W158" s="491"/>
      <c r="X158" s="490"/>
      <c r="Y158" s="490"/>
      <c r="Z158" s="440"/>
      <c r="AA158" s="491"/>
      <c r="AB158" s="490"/>
      <c r="AC158" s="490"/>
      <c r="AD158" s="440"/>
      <c r="AE158" s="1427"/>
      <c r="AF158" s="1428"/>
      <c r="AG158" s="1428"/>
      <c r="AH158" s="421"/>
      <c r="AI158" s="491"/>
      <c r="AJ158" s="490"/>
      <c r="AK158" s="490"/>
      <c r="AL158" s="440"/>
      <c r="AM158" s="491"/>
      <c r="AN158" s="490"/>
      <c r="AO158" s="490"/>
      <c r="AP158" s="440"/>
      <c r="AQ158" s="491"/>
      <c r="AR158" s="490"/>
      <c r="AS158" s="490"/>
      <c r="AT158" s="440"/>
      <c r="AU158" s="483"/>
      <c r="AV158" s="483"/>
      <c r="AW158" s="483"/>
      <c r="AX158" s="483"/>
      <c r="AY158" s="483"/>
    </row>
    <row r="159" spans="1:51" ht="12.75" thickBot="1">
      <c r="A159" s="529" t="s">
        <v>41</v>
      </c>
      <c r="B159" s="836"/>
      <c r="C159" s="1552" t="s">
        <v>753</v>
      </c>
      <c r="D159" s="1553"/>
      <c r="E159" s="1553"/>
      <c r="F159" s="1554"/>
      <c r="G159" s="514">
        <f>+G91+G111+G124+G136+G145+G157</f>
        <v>1666925</v>
      </c>
      <c r="H159" s="515">
        <f>+H91+H111+H124+H136+H145+H157</f>
        <v>1816874</v>
      </c>
      <c r="I159" s="515">
        <f>+I91+I111+I124+I136+I145+I157</f>
        <v>20604</v>
      </c>
      <c r="J159" s="513">
        <f>+J91+J111+J124+J136+J145+J157</f>
        <v>1837478</v>
      </c>
      <c r="K159" s="514">
        <f t="shared" ref="K159" si="484">+K91+K111+K124+K136+K145+K157</f>
        <v>1593199</v>
      </c>
      <c r="L159" s="515">
        <f t="shared" ref="L159:M159" si="485">+L91+L111+L124+L136+L145+L157</f>
        <v>1743148</v>
      </c>
      <c r="M159" s="515">
        <f t="shared" si="485"/>
        <v>20604</v>
      </c>
      <c r="N159" s="513">
        <f t="shared" ref="N159:AQ159" si="486">+N91+N111+N124+N136+N145+N157</f>
        <v>1763752</v>
      </c>
      <c r="O159" s="514">
        <f t="shared" si="486"/>
        <v>992226</v>
      </c>
      <c r="P159" s="515">
        <f t="shared" ref="P159:Q159" si="487">+P91+P111+P124+P136+P145+P157</f>
        <v>1185285</v>
      </c>
      <c r="Q159" s="515">
        <f t="shared" si="487"/>
        <v>20604</v>
      </c>
      <c r="R159" s="513">
        <f t="shared" si="486"/>
        <v>1205889</v>
      </c>
      <c r="S159" s="514">
        <f t="shared" si="486"/>
        <v>414105</v>
      </c>
      <c r="T159" s="515">
        <f t="shared" ref="T159:V159" si="488">+T91+T111+T124+T136+T145+T157</f>
        <v>365505</v>
      </c>
      <c r="U159" s="515">
        <f t="shared" si="488"/>
        <v>0</v>
      </c>
      <c r="V159" s="513">
        <f t="shared" si="488"/>
        <v>365505</v>
      </c>
      <c r="W159" s="514">
        <f t="shared" si="486"/>
        <v>186868</v>
      </c>
      <c r="X159" s="515">
        <f t="shared" ref="X159:Z159" si="489">+X91+X111+X124+X136+X145+X157</f>
        <v>186868</v>
      </c>
      <c r="Y159" s="515">
        <f t="shared" si="489"/>
        <v>0</v>
      </c>
      <c r="Z159" s="513">
        <f t="shared" si="489"/>
        <v>186868</v>
      </c>
      <c r="AA159" s="514">
        <f t="shared" si="486"/>
        <v>0</v>
      </c>
      <c r="AB159" s="515">
        <f t="shared" ref="AB159:AD159" si="490">+AB91+AB111+AB124+AB136+AB145+AB157</f>
        <v>5490</v>
      </c>
      <c r="AC159" s="515">
        <f t="shared" si="490"/>
        <v>0</v>
      </c>
      <c r="AD159" s="513">
        <f t="shared" si="490"/>
        <v>5490</v>
      </c>
      <c r="AE159" s="514">
        <f t="shared" si="486"/>
        <v>73726</v>
      </c>
      <c r="AF159" s="515">
        <f t="shared" ref="AF159:AG159" si="491">+AF91+AF111+AF124+AF136+AF145+AF157</f>
        <v>73726</v>
      </c>
      <c r="AG159" s="515">
        <f t="shared" si="491"/>
        <v>0</v>
      </c>
      <c r="AH159" s="513">
        <f t="shared" si="486"/>
        <v>73726</v>
      </c>
      <c r="AI159" s="514">
        <f t="shared" si="486"/>
        <v>32276</v>
      </c>
      <c r="AJ159" s="515">
        <f t="shared" ref="AJ159:AL159" si="492">+AJ91+AJ111+AJ124+AJ136+AJ145+AJ157</f>
        <v>32276</v>
      </c>
      <c r="AK159" s="515">
        <f t="shared" si="492"/>
        <v>0</v>
      </c>
      <c r="AL159" s="513">
        <f t="shared" si="492"/>
        <v>32276</v>
      </c>
      <c r="AM159" s="514">
        <f t="shared" si="486"/>
        <v>40350</v>
      </c>
      <c r="AN159" s="515">
        <f t="shared" ref="AN159:AP159" si="493">+AN91+AN111+AN124+AN136+AN145+AN157</f>
        <v>40350</v>
      </c>
      <c r="AO159" s="515">
        <f t="shared" si="493"/>
        <v>0</v>
      </c>
      <c r="AP159" s="513">
        <f t="shared" si="493"/>
        <v>40350</v>
      </c>
      <c r="AQ159" s="514">
        <f t="shared" si="486"/>
        <v>1100</v>
      </c>
      <c r="AR159" s="515">
        <f t="shared" ref="AR159:AT159" si="494">+AR91+AR111+AR124+AR136+AR145+AR157</f>
        <v>1100</v>
      </c>
      <c r="AS159" s="515">
        <f t="shared" si="494"/>
        <v>0</v>
      </c>
      <c r="AT159" s="513">
        <f t="shared" si="494"/>
        <v>1100</v>
      </c>
      <c r="AU159" s="483"/>
      <c r="AV159" s="483"/>
      <c r="AW159" s="483"/>
      <c r="AX159" s="483"/>
      <c r="AY159" s="483"/>
    </row>
    <row r="160" spans="1:51">
      <c r="AU160" s="483"/>
      <c r="AV160" s="483"/>
      <c r="AW160" s="483"/>
      <c r="AX160" s="483"/>
      <c r="AY160" s="483"/>
    </row>
    <row r="161" spans="1:58">
      <c r="AU161" s="483"/>
      <c r="AV161" s="483"/>
      <c r="AW161" s="483"/>
      <c r="AX161" s="483"/>
      <c r="AY161" s="483"/>
    </row>
    <row r="162" spans="1:58">
      <c r="AU162" s="483"/>
      <c r="AV162" s="483"/>
      <c r="AW162" s="483"/>
      <c r="AX162" s="483"/>
      <c r="AY162" s="483"/>
    </row>
    <row r="163" spans="1:58">
      <c r="AU163" s="483"/>
      <c r="AV163" s="483"/>
      <c r="AW163" s="483"/>
      <c r="AX163" s="483"/>
      <c r="AY163" s="483"/>
    </row>
    <row r="165" spans="1:58" ht="15.75" customHeight="1">
      <c r="A165" s="1474" t="s">
        <v>768</v>
      </c>
      <c r="B165" s="1474"/>
      <c r="C165" s="1474"/>
      <c r="D165" s="1474"/>
      <c r="E165" s="1474"/>
      <c r="F165" s="1474"/>
      <c r="G165" s="1474"/>
      <c r="H165" s="1474"/>
      <c r="I165" s="1474"/>
      <c r="J165" s="1474"/>
      <c r="K165" s="1474"/>
      <c r="L165" s="1474"/>
      <c r="M165" s="1474"/>
      <c r="N165" s="1474"/>
      <c r="O165" s="1474"/>
      <c r="P165" s="1474"/>
      <c r="Q165" s="1474"/>
      <c r="R165" s="1474"/>
      <c r="S165" s="1474"/>
      <c r="T165" s="1474"/>
      <c r="U165" s="1474"/>
      <c r="V165" s="1474"/>
      <c r="W165" s="1474"/>
      <c r="X165" s="1474"/>
      <c r="Y165" s="1474"/>
      <c r="Z165" s="1474"/>
      <c r="AA165" s="1474"/>
      <c r="AB165" s="1474"/>
      <c r="AC165" s="1474"/>
      <c r="AD165" s="1474"/>
      <c r="AE165" s="1474"/>
      <c r="AF165" s="1474"/>
      <c r="AG165" s="1474"/>
      <c r="AH165" s="1474"/>
      <c r="AI165" s="1474"/>
      <c r="AJ165" s="1474"/>
      <c r="AK165" s="1474"/>
      <c r="AL165" s="1474"/>
      <c r="AM165" s="1474"/>
      <c r="AN165" s="1474"/>
      <c r="AO165" s="1474"/>
      <c r="AP165" s="1474"/>
      <c r="AQ165" s="1474"/>
      <c r="AR165" s="1474"/>
      <c r="AS165" s="1474"/>
      <c r="AT165" s="1474"/>
      <c r="AU165" s="1474"/>
      <c r="AV165" s="1474"/>
      <c r="AW165" s="1474"/>
      <c r="AX165" s="1474"/>
      <c r="AY165" s="811"/>
    </row>
    <row r="166" spans="1:58" ht="12.75" thickBot="1">
      <c r="AA166" s="239"/>
      <c r="AB166" s="239"/>
      <c r="AC166" s="239"/>
      <c r="AD166" s="239"/>
      <c r="AQ166" s="516"/>
      <c r="AR166" s="516"/>
      <c r="AS166" s="516"/>
      <c r="AT166" s="516"/>
      <c r="AU166" s="239"/>
      <c r="AV166" s="239"/>
      <c r="AW166" s="239"/>
      <c r="AX166" s="239" t="s">
        <v>457</v>
      </c>
      <c r="AY166" s="239"/>
    </row>
    <row r="167" spans="1:58" s="485" customFormat="1" ht="12.75" customHeight="1" thickBot="1">
      <c r="A167" s="1543" t="s">
        <v>17</v>
      </c>
      <c r="B167" s="1570" t="s">
        <v>1041</v>
      </c>
      <c r="C167" s="1561" t="s">
        <v>761</v>
      </c>
      <c r="D167" s="1564" t="s">
        <v>760</v>
      </c>
      <c r="E167" s="1546" t="s">
        <v>744</v>
      </c>
      <c r="F167" s="1567" t="s">
        <v>754</v>
      </c>
      <c r="G167" s="1573" t="s">
        <v>1427</v>
      </c>
      <c r="H167" s="1574"/>
      <c r="I167" s="1574"/>
      <c r="J167" s="1575"/>
      <c r="K167" s="1573" t="s">
        <v>1494</v>
      </c>
      <c r="L167" s="1574"/>
      <c r="M167" s="1574"/>
      <c r="N167" s="1575"/>
      <c r="O167" s="1516" t="s">
        <v>745</v>
      </c>
      <c r="P167" s="1517"/>
      <c r="Q167" s="1517"/>
      <c r="R167" s="1517"/>
      <c r="S167" s="1517"/>
      <c r="T167" s="1517"/>
      <c r="U167" s="1517"/>
      <c r="V167" s="1517"/>
      <c r="W167" s="1517"/>
      <c r="X167" s="1517"/>
      <c r="Y167" s="1517"/>
      <c r="Z167" s="1517"/>
      <c r="AA167" s="1517"/>
      <c r="AB167" s="1517"/>
      <c r="AC167" s="1517"/>
      <c r="AD167" s="1517"/>
      <c r="AE167" s="1517"/>
      <c r="AF167" s="1517"/>
      <c r="AG167" s="1517"/>
      <c r="AH167" s="1518"/>
      <c r="AI167" s="1573" t="s">
        <v>1495</v>
      </c>
      <c r="AJ167" s="1574"/>
      <c r="AK167" s="1574"/>
      <c r="AL167" s="1575"/>
      <c r="AM167" s="1549" t="s">
        <v>745</v>
      </c>
      <c r="AN167" s="1550"/>
      <c r="AO167" s="1550"/>
      <c r="AP167" s="1550"/>
      <c r="AQ167" s="1550"/>
      <c r="AR167" s="1550"/>
      <c r="AS167" s="1550"/>
      <c r="AT167" s="1550"/>
      <c r="AU167" s="1550"/>
      <c r="AV167" s="1550"/>
      <c r="AW167" s="1550"/>
      <c r="AX167" s="1551"/>
      <c r="AY167" s="821"/>
    </row>
    <row r="168" spans="1:58" s="485" customFormat="1" ht="12.75" customHeight="1" thickBot="1">
      <c r="A168" s="1544"/>
      <c r="B168" s="1571"/>
      <c r="C168" s="1562"/>
      <c r="D168" s="1565"/>
      <c r="E168" s="1547"/>
      <c r="F168" s="1568"/>
      <c r="G168" s="1576"/>
      <c r="H168" s="1577"/>
      <c r="I168" s="1577"/>
      <c r="J168" s="1578"/>
      <c r="K168" s="1576"/>
      <c r="L168" s="1577"/>
      <c r="M168" s="1577"/>
      <c r="N168" s="1578"/>
      <c r="O168" s="1516" t="s">
        <v>46</v>
      </c>
      <c r="P168" s="1517"/>
      <c r="Q168" s="1517"/>
      <c r="R168" s="1518"/>
      <c r="S168" s="1516" t="s">
        <v>446</v>
      </c>
      <c r="T168" s="1517"/>
      <c r="U168" s="1517"/>
      <c r="V168" s="1518"/>
      <c r="W168" s="1516" t="s">
        <v>447</v>
      </c>
      <c r="X168" s="1517"/>
      <c r="Y168" s="1517"/>
      <c r="Z168" s="1518"/>
      <c r="AA168" s="1516" t="s">
        <v>765</v>
      </c>
      <c r="AB168" s="1517"/>
      <c r="AC168" s="1517"/>
      <c r="AD168" s="1518"/>
      <c r="AE168" s="1516" t="s">
        <v>449</v>
      </c>
      <c r="AF168" s="1517"/>
      <c r="AG168" s="1517"/>
      <c r="AH168" s="1518"/>
      <c r="AI168" s="1576"/>
      <c r="AJ168" s="1577"/>
      <c r="AK168" s="1577"/>
      <c r="AL168" s="1578"/>
      <c r="AM168" s="1516" t="s">
        <v>450</v>
      </c>
      <c r="AN168" s="1517"/>
      <c r="AO168" s="1517"/>
      <c r="AP168" s="1518"/>
      <c r="AQ168" s="1516" t="s">
        <v>451</v>
      </c>
      <c r="AR168" s="1517"/>
      <c r="AS168" s="1517"/>
      <c r="AT168" s="1518"/>
      <c r="AU168" s="1516" t="s">
        <v>452</v>
      </c>
      <c r="AV168" s="1517"/>
      <c r="AW168" s="1517"/>
      <c r="AX168" s="1518"/>
      <c r="AY168" s="821"/>
    </row>
    <row r="169" spans="1:58" s="485" customFormat="1" ht="84" customHeight="1" thickBot="1">
      <c r="A169" s="1545"/>
      <c r="B169" s="1572"/>
      <c r="C169" s="1563"/>
      <c r="D169" s="1566"/>
      <c r="E169" s="1548"/>
      <c r="F169" s="1569"/>
      <c r="G169" s="1415" t="s">
        <v>1586</v>
      </c>
      <c r="H169" s="1416" t="s">
        <v>1587</v>
      </c>
      <c r="I169" s="1416" t="s">
        <v>1658</v>
      </c>
      <c r="J169" s="469" t="s">
        <v>1659</v>
      </c>
      <c r="K169" s="1415" t="s">
        <v>1586</v>
      </c>
      <c r="L169" s="1416" t="s">
        <v>1587</v>
      </c>
      <c r="M169" s="1416" t="s">
        <v>1658</v>
      </c>
      <c r="N169" s="469" t="s">
        <v>1659</v>
      </c>
      <c r="O169" s="1415" t="s">
        <v>1586</v>
      </c>
      <c r="P169" s="1416" t="s">
        <v>1587</v>
      </c>
      <c r="Q169" s="1416" t="s">
        <v>1658</v>
      </c>
      <c r="R169" s="469" t="s">
        <v>1659</v>
      </c>
      <c r="S169" s="1415" t="s">
        <v>1586</v>
      </c>
      <c r="T169" s="1416" t="s">
        <v>1587</v>
      </c>
      <c r="U169" s="1416" t="s">
        <v>1658</v>
      </c>
      <c r="V169" s="469" t="s">
        <v>1659</v>
      </c>
      <c r="W169" s="1415" t="s">
        <v>1586</v>
      </c>
      <c r="X169" s="1416" t="s">
        <v>1587</v>
      </c>
      <c r="Y169" s="1416" t="s">
        <v>1658</v>
      </c>
      <c r="Z169" s="469" t="s">
        <v>1659</v>
      </c>
      <c r="AA169" s="1415" t="s">
        <v>1586</v>
      </c>
      <c r="AB169" s="1416" t="s">
        <v>1587</v>
      </c>
      <c r="AC169" s="1416" t="s">
        <v>1658</v>
      </c>
      <c r="AD169" s="469" t="s">
        <v>1659</v>
      </c>
      <c r="AE169" s="1415" t="s">
        <v>1586</v>
      </c>
      <c r="AF169" s="1416" t="s">
        <v>1587</v>
      </c>
      <c r="AG169" s="1416" t="s">
        <v>1658</v>
      </c>
      <c r="AH169" s="469" t="s">
        <v>1659</v>
      </c>
      <c r="AI169" s="1415" t="s">
        <v>1586</v>
      </c>
      <c r="AJ169" s="1416" t="s">
        <v>1587</v>
      </c>
      <c r="AK169" s="1416" t="s">
        <v>1658</v>
      </c>
      <c r="AL169" s="469" t="s">
        <v>1659</v>
      </c>
      <c r="AM169" s="1415" t="s">
        <v>1586</v>
      </c>
      <c r="AN169" s="1416" t="s">
        <v>1587</v>
      </c>
      <c r="AO169" s="1416" t="s">
        <v>1658</v>
      </c>
      <c r="AP169" s="469" t="s">
        <v>1659</v>
      </c>
      <c r="AQ169" s="1415" t="s">
        <v>1586</v>
      </c>
      <c r="AR169" s="1416" t="s">
        <v>1587</v>
      </c>
      <c r="AS169" s="1416" t="s">
        <v>1658</v>
      </c>
      <c r="AT169" s="469" t="s">
        <v>1659</v>
      </c>
      <c r="AU169" s="1415" t="s">
        <v>1586</v>
      </c>
      <c r="AV169" s="1416" t="s">
        <v>1587</v>
      </c>
      <c r="AW169" s="1416" t="s">
        <v>1658</v>
      </c>
      <c r="AX169" s="469" t="s">
        <v>1659</v>
      </c>
      <c r="AY169" s="486"/>
    </row>
    <row r="170" spans="1:58" s="485" customFormat="1">
      <c r="A170" s="532">
        <v>1</v>
      </c>
      <c r="B170" s="831">
        <v>1</v>
      </c>
      <c r="C170" s="991" t="s">
        <v>667</v>
      </c>
      <c r="D170" s="938" t="s">
        <v>666</v>
      </c>
      <c r="E170" s="992">
        <v>999000</v>
      </c>
      <c r="F170" s="939" t="s">
        <v>414</v>
      </c>
      <c r="G170" s="1417">
        <f t="shared" ref="G170:J241" si="495">+K170+AI170</f>
        <v>50428.999999999993</v>
      </c>
      <c r="H170" s="1418">
        <f t="shared" si="495"/>
        <v>50428.999999999993</v>
      </c>
      <c r="I170" s="1418">
        <f t="shared" si="495"/>
        <v>0</v>
      </c>
      <c r="J170" s="473">
        <f t="shared" si="495"/>
        <v>50428.999999999993</v>
      </c>
      <c r="K170" s="1417">
        <f>+O170+S170+W170+AA170+AE170</f>
        <v>50428.999999999993</v>
      </c>
      <c r="L170" s="1418">
        <f>+P170+T170+X170+AB170+AF170</f>
        <v>50428.999999999993</v>
      </c>
      <c r="M170" s="1418">
        <f>+Q170+U170+Y170+AC170+AG170</f>
        <v>0</v>
      </c>
      <c r="N170" s="473">
        <f>+R170+V170+Z170+AD170+AH170</f>
        <v>50428.999999999993</v>
      </c>
      <c r="O170" s="1011">
        <v>43051.999999999993</v>
      </c>
      <c r="P170" s="1012">
        <v>43051.999999999993</v>
      </c>
      <c r="Q170" s="1012"/>
      <c r="R170" s="1013">
        <f t="shared" ref="R170:R233" si="496">+P170+Q170</f>
        <v>43051.999999999993</v>
      </c>
      <c r="S170" s="1017">
        <v>6719</v>
      </c>
      <c r="T170" s="1018">
        <v>6719</v>
      </c>
      <c r="U170" s="1012"/>
      <c r="V170" s="1013">
        <f t="shared" ref="V170:V233" si="497">+T170+U170</f>
        <v>6719</v>
      </c>
      <c r="W170" s="1011">
        <v>658</v>
      </c>
      <c r="X170" s="1012">
        <v>658</v>
      </c>
      <c r="Y170" s="1012"/>
      <c r="Z170" s="1013">
        <f t="shared" ref="Z170:Z233" si="498">+X170+Y170</f>
        <v>658</v>
      </c>
      <c r="AA170" s="1011"/>
      <c r="AB170" s="1012"/>
      <c r="AC170" s="1012"/>
      <c r="AD170" s="1013">
        <f t="shared" ref="AD170:AD233" si="499">+AB170+AC170</f>
        <v>0</v>
      </c>
      <c r="AE170" s="1011"/>
      <c r="AF170" s="1012"/>
      <c r="AG170" s="1012"/>
      <c r="AH170" s="1013">
        <f t="shared" ref="AH170:AH233" si="500">+AF170+AG170</f>
        <v>0</v>
      </c>
      <c r="AI170" s="1417">
        <f>+AM170+AQ170+AU170</f>
        <v>0</v>
      </c>
      <c r="AJ170" s="1418">
        <f>+AN170+AR170+AV170</f>
        <v>0</v>
      </c>
      <c r="AK170" s="1418">
        <f>+AO170+AS170+AW170</f>
        <v>0</v>
      </c>
      <c r="AL170" s="473">
        <f>+AP170+AT170+AX170</f>
        <v>0</v>
      </c>
      <c r="AM170" s="1011"/>
      <c r="AN170" s="1012"/>
      <c r="AO170" s="1012"/>
      <c r="AP170" s="1013">
        <f t="shared" ref="AP170:AP233" si="501">+AN170+AO170</f>
        <v>0</v>
      </c>
      <c r="AQ170" s="1011"/>
      <c r="AR170" s="1012"/>
      <c r="AS170" s="1012"/>
      <c r="AT170" s="1013">
        <f t="shared" ref="AT170:AT233" si="502">+AR170+AS170</f>
        <v>0</v>
      </c>
      <c r="AU170" s="1011"/>
      <c r="AV170" s="1012"/>
      <c r="AW170" s="1012"/>
      <c r="AX170" s="1013">
        <f t="shared" ref="AX170:AX233" si="503">+AV170+AW170</f>
        <v>0</v>
      </c>
      <c r="AY170" s="818"/>
      <c r="AZ170" s="483"/>
      <c r="BA170" s="483"/>
      <c r="BB170" s="483"/>
      <c r="BC170" s="483"/>
      <c r="BE170" s="483"/>
      <c r="BF170" s="483"/>
    </row>
    <row r="171" spans="1:58" s="485" customFormat="1">
      <c r="A171" s="532">
        <f>+A170+1</f>
        <v>2</v>
      </c>
      <c r="B171" s="832">
        <v>8</v>
      </c>
      <c r="C171" s="993" t="s">
        <v>667</v>
      </c>
      <c r="D171" s="940" t="s">
        <v>666</v>
      </c>
      <c r="E171" s="994" t="s">
        <v>1225</v>
      </c>
      <c r="F171" s="941" t="s">
        <v>995</v>
      </c>
      <c r="G171" s="1417">
        <f t="shared" si="495"/>
        <v>2722620</v>
      </c>
      <c r="H171" s="1418">
        <f t="shared" si="495"/>
        <v>3200581</v>
      </c>
      <c r="I171" s="1418">
        <f t="shared" si="495"/>
        <v>-34740</v>
      </c>
      <c r="J171" s="473">
        <f t="shared" si="495"/>
        <v>3165841</v>
      </c>
      <c r="K171" s="1417">
        <f t="shared" ref="K171:N241" si="504">+O171+S171+W171+AA171+AE171</f>
        <v>2716620</v>
      </c>
      <c r="L171" s="1418">
        <f t="shared" si="504"/>
        <v>3194581</v>
      </c>
      <c r="M171" s="1418">
        <f t="shared" si="504"/>
        <v>-34740</v>
      </c>
      <c r="N171" s="473">
        <f t="shared" si="504"/>
        <v>3159841</v>
      </c>
      <c r="O171" s="1011"/>
      <c r="P171" s="1012">
        <v>3629</v>
      </c>
      <c r="Q171" s="1012"/>
      <c r="R171" s="1013">
        <f t="shared" si="496"/>
        <v>3629</v>
      </c>
      <c r="S171" s="1014">
        <v>435</v>
      </c>
      <c r="T171" s="1015">
        <v>998</v>
      </c>
      <c r="U171" s="1012"/>
      <c r="V171" s="1013">
        <f t="shared" si="497"/>
        <v>998</v>
      </c>
      <c r="W171" s="1014">
        <v>60260</v>
      </c>
      <c r="X171" s="1015">
        <f>60260+2000</f>
        <v>62260</v>
      </c>
      <c r="Y171" s="1012"/>
      <c r="Z171" s="1013">
        <f t="shared" si="498"/>
        <v>62260</v>
      </c>
      <c r="AA171" s="1014"/>
      <c r="AB171" s="1015"/>
      <c r="AC171" s="1012"/>
      <c r="AD171" s="1013">
        <f t="shared" si="499"/>
        <v>0</v>
      </c>
      <c r="AE171" s="1014">
        <v>2655925</v>
      </c>
      <c r="AF171" s="1015">
        <f>(2655925+(4000+100+500-2000-3000-3000-500-1549+30500-27500-4500+8300-8300-5000+1390))+(317831+153759+6023-806+9982+15733-21000+806)</f>
        <v>3127694</v>
      </c>
      <c r="AG171" s="1012">
        <f>-1850-12598-2090-19162-13320+11695+2585-7788+7788</f>
        <v>-34740</v>
      </c>
      <c r="AH171" s="1013">
        <f t="shared" si="500"/>
        <v>3092954</v>
      </c>
      <c r="AI171" s="1417">
        <f t="shared" ref="AI171:AL241" si="505">+AM171+AQ171+AU171</f>
        <v>6000</v>
      </c>
      <c r="AJ171" s="1418">
        <f t="shared" si="505"/>
        <v>6000</v>
      </c>
      <c r="AK171" s="1418">
        <f t="shared" si="505"/>
        <v>0</v>
      </c>
      <c r="AL171" s="473">
        <f t="shared" si="505"/>
        <v>6000</v>
      </c>
      <c r="AM171" s="1014"/>
      <c r="AN171" s="1012">
        <f>3000+3000</f>
        <v>6000</v>
      </c>
      <c r="AO171" s="1012"/>
      <c r="AP171" s="1013">
        <f t="shared" si="501"/>
        <v>6000</v>
      </c>
      <c r="AQ171" s="1014">
        <v>6000</v>
      </c>
      <c r="AR171" s="1015">
        <f>6000-6000</f>
        <v>0</v>
      </c>
      <c r="AS171" s="1012"/>
      <c r="AT171" s="1013">
        <f t="shared" si="502"/>
        <v>0</v>
      </c>
      <c r="AU171" s="1014"/>
      <c r="AV171" s="1015"/>
      <c r="AW171" s="1012"/>
      <c r="AX171" s="1013">
        <f t="shared" si="503"/>
        <v>0</v>
      </c>
      <c r="AY171" s="818"/>
    </row>
    <row r="172" spans="1:58" s="485" customFormat="1">
      <c r="A172" s="532">
        <f t="shared" ref="A172:A246" si="506">+A171+1</f>
        <v>3</v>
      </c>
      <c r="B172" s="832">
        <v>7</v>
      </c>
      <c r="C172" s="993" t="s">
        <v>667</v>
      </c>
      <c r="D172" s="940" t="s">
        <v>1503</v>
      </c>
      <c r="E172" s="994" t="s">
        <v>1225</v>
      </c>
      <c r="F172" s="941" t="s">
        <v>1504</v>
      </c>
      <c r="G172" s="1417">
        <f t="shared" si="495"/>
        <v>0</v>
      </c>
      <c r="H172" s="1418">
        <f t="shared" si="495"/>
        <v>0</v>
      </c>
      <c r="I172" s="1418">
        <f t="shared" si="495"/>
        <v>0</v>
      </c>
      <c r="J172" s="473">
        <f t="shared" si="495"/>
        <v>0</v>
      </c>
      <c r="K172" s="1417">
        <f t="shared" si="504"/>
        <v>0</v>
      </c>
      <c r="L172" s="1418">
        <f t="shared" si="504"/>
        <v>0</v>
      </c>
      <c r="M172" s="1418">
        <f t="shared" si="504"/>
        <v>0</v>
      </c>
      <c r="N172" s="473">
        <f t="shared" si="504"/>
        <v>0</v>
      </c>
      <c r="O172" s="1011"/>
      <c r="P172" s="1012"/>
      <c r="Q172" s="1012"/>
      <c r="R172" s="1013">
        <f t="shared" si="496"/>
        <v>0</v>
      </c>
      <c r="S172" s="1014"/>
      <c r="T172" s="1015"/>
      <c r="U172" s="1012"/>
      <c r="V172" s="1013">
        <f t="shared" si="497"/>
        <v>0</v>
      </c>
      <c r="W172" s="1014"/>
      <c r="X172" s="1015"/>
      <c r="Y172" s="1012"/>
      <c r="Z172" s="1013">
        <f t="shared" si="498"/>
        <v>0</v>
      </c>
      <c r="AA172" s="1014"/>
      <c r="AB172" s="1015"/>
      <c r="AC172" s="1012"/>
      <c r="AD172" s="1013">
        <f t="shared" si="499"/>
        <v>0</v>
      </c>
      <c r="AE172" s="1014"/>
      <c r="AF172" s="1015"/>
      <c r="AG172" s="1012"/>
      <c r="AH172" s="1013">
        <f t="shared" si="500"/>
        <v>0</v>
      </c>
      <c r="AI172" s="1417">
        <f t="shared" si="505"/>
        <v>0</v>
      </c>
      <c r="AJ172" s="1418">
        <f t="shared" si="505"/>
        <v>0</v>
      </c>
      <c r="AK172" s="1418">
        <f t="shared" si="505"/>
        <v>0</v>
      </c>
      <c r="AL172" s="473">
        <f t="shared" si="505"/>
        <v>0</v>
      </c>
      <c r="AM172" s="1014"/>
      <c r="AN172" s="1015"/>
      <c r="AO172" s="1012"/>
      <c r="AP172" s="1013">
        <f t="shared" si="501"/>
        <v>0</v>
      </c>
      <c r="AQ172" s="1014"/>
      <c r="AR172" s="1015"/>
      <c r="AS172" s="1012"/>
      <c r="AT172" s="1013">
        <f t="shared" si="502"/>
        <v>0</v>
      </c>
      <c r="AU172" s="1014"/>
      <c r="AV172" s="1015"/>
      <c r="AW172" s="1012"/>
      <c r="AX172" s="1013">
        <f t="shared" si="503"/>
        <v>0</v>
      </c>
      <c r="AY172" s="818"/>
    </row>
    <row r="173" spans="1:58" s="488" customFormat="1">
      <c r="A173" s="532">
        <f t="shared" si="506"/>
        <v>4</v>
      </c>
      <c r="B173" s="832">
        <v>8</v>
      </c>
      <c r="C173" s="993" t="s">
        <v>675</v>
      </c>
      <c r="D173" s="940" t="s">
        <v>858</v>
      </c>
      <c r="E173" s="994" t="s">
        <v>1225</v>
      </c>
      <c r="F173" s="941" t="s">
        <v>674</v>
      </c>
      <c r="G173" s="1419">
        <f t="shared" si="495"/>
        <v>500</v>
      </c>
      <c r="H173" s="1420">
        <f t="shared" si="495"/>
        <v>500</v>
      </c>
      <c r="I173" s="1420">
        <f t="shared" si="495"/>
        <v>0</v>
      </c>
      <c r="J173" s="487">
        <f t="shared" si="495"/>
        <v>500</v>
      </c>
      <c r="K173" s="1419">
        <f t="shared" si="504"/>
        <v>500</v>
      </c>
      <c r="L173" s="1420">
        <f t="shared" si="504"/>
        <v>500</v>
      </c>
      <c r="M173" s="1420">
        <f t="shared" si="504"/>
        <v>0</v>
      </c>
      <c r="N173" s="487">
        <f t="shared" si="504"/>
        <v>500</v>
      </c>
      <c r="O173" s="1011"/>
      <c r="P173" s="1012"/>
      <c r="Q173" s="1012"/>
      <c r="R173" s="1013">
        <f t="shared" si="496"/>
        <v>0</v>
      </c>
      <c r="S173" s="1022"/>
      <c r="T173" s="1020"/>
      <c r="U173" s="1012"/>
      <c r="V173" s="1013">
        <f t="shared" si="497"/>
        <v>0</v>
      </c>
      <c r="W173" s="1022"/>
      <c r="X173" s="1020"/>
      <c r="Y173" s="1012"/>
      <c r="Z173" s="1013">
        <f t="shared" si="498"/>
        <v>0</v>
      </c>
      <c r="AA173" s="1022"/>
      <c r="AB173" s="1020"/>
      <c r="AC173" s="1012"/>
      <c r="AD173" s="1013">
        <f t="shared" si="499"/>
        <v>0</v>
      </c>
      <c r="AE173" s="1022">
        <v>500</v>
      </c>
      <c r="AF173" s="1020">
        <v>500</v>
      </c>
      <c r="AG173" s="1012"/>
      <c r="AH173" s="1013">
        <f t="shared" si="500"/>
        <v>500</v>
      </c>
      <c r="AI173" s="1419">
        <f t="shared" si="505"/>
        <v>0</v>
      </c>
      <c r="AJ173" s="1420">
        <f t="shared" si="505"/>
        <v>0</v>
      </c>
      <c r="AK173" s="1420">
        <f t="shared" si="505"/>
        <v>0</v>
      </c>
      <c r="AL173" s="487">
        <f t="shared" si="505"/>
        <v>0</v>
      </c>
      <c r="AM173" s="1022"/>
      <c r="AN173" s="1020"/>
      <c r="AO173" s="1012"/>
      <c r="AP173" s="1013">
        <f t="shared" si="501"/>
        <v>0</v>
      </c>
      <c r="AQ173" s="1022"/>
      <c r="AR173" s="1020"/>
      <c r="AS173" s="1012"/>
      <c r="AT173" s="1013">
        <f t="shared" si="502"/>
        <v>0</v>
      </c>
      <c r="AU173" s="1022"/>
      <c r="AV173" s="1020"/>
      <c r="AW173" s="1012"/>
      <c r="AX173" s="1013">
        <f t="shared" si="503"/>
        <v>0</v>
      </c>
      <c r="AY173" s="819"/>
    </row>
    <row r="174" spans="1:58" s="485" customFormat="1">
      <c r="A174" s="532">
        <f t="shared" si="506"/>
        <v>5</v>
      </c>
      <c r="B174" s="832">
        <v>8</v>
      </c>
      <c r="C174" s="993" t="s">
        <v>669</v>
      </c>
      <c r="D174" s="940" t="s">
        <v>668</v>
      </c>
      <c r="E174" s="995" t="s">
        <v>1225</v>
      </c>
      <c r="F174" s="941" t="s">
        <v>634</v>
      </c>
      <c r="G174" s="1421">
        <f t="shared" si="495"/>
        <v>0</v>
      </c>
      <c r="H174" s="1422">
        <f t="shared" si="495"/>
        <v>0</v>
      </c>
      <c r="I174" s="1422">
        <f t="shared" si="495"/>
        <v>0</v>
      </c>
      <c r="J174" s="489">
        <f t="shared" si="495"/>
        <v>0</v>
      </c>
      <c r="K174" s="1421">
        <f t="shared" si="504"/>
        <v>0</v>
      </c>
      <c r="L174" s="1422">
        <f t="shared" si="504"/>
        <v>0</v>
      </c>
      <c r="M174" s="1422">
        <f t="shared" si="504"/>
        <v>0</v>
      </c>
      <c r="N174" s="489">
        <f t="shared" si="504"/>
        <v>0</v>
      </c>
      <c r="O174" s="1011"/>
      <c r="P174" s="1012"/>
      <c r="Q174" s="1012"/>
      <c r="R174" s="1013">
        <f t="shared" si="496"/>
        <v>0</v>
      </c>
      <c r="S174" s="1014"/>
      <c r="T174" s="1015"/>
      <c r="U174" s="1012"/>
      <c r="V174" s="1013">
        <f t="shared" si="497"/>
        <v>0</v>
      </c>
      <c r="W174" s="1014"/>
      <c r="X174" s="1015"/>
      <c r="Y174" s="1012"/>
      <c r="Z174" s="1013">
        <f t="shared" si="498"/>
        <v>0</v>
      </c>
      <c r="AA174" s="1014"/>
      <c r="AB174" s="1015"/>
      <c r="AC174" s="1012"/>
      <c r="AD174" s="1013">
        <f t="shared" si="499"/>
        <v>0</v>
      </c>
      <c r="AE174" s="1014"/>
      <c r="AF174" s="1015"/>
      <c r="AG174" s="1012"/>
      <c r="AH174" s="1013">
        <f t="shared" si="500"/>
        <v>0</v>
      </c>
      <c r="AI174" s="1421">
        <f t="shared" si="505"/>
        <v>0</v>
      </c>
      <c r="AJ174" s="1422">
        <f t="shared" si="505"/>
        <v>0</v>
      </c>
      <c r="AK174" s="1422">
        <f t="shared" si="505"/>
        <v>0</v>
      </c>
      <c r="AL174" s="489">
        <f t="shared" si="505"/>
        <v>0</v>
      </c>
      <c r="AM174" s="1014"/>
      <c r="AN174" s="1015"/>
      <c r="AO174" s="1012"/>
      <c r="AP174" s="1013">
        <f t="shared" si="501"/>
        <v>0</v>
      </c>
      <c r="AQ174" s="1014"/>
      <c r="AR174" s="1015"/>
      <c r="AS174" s="1012"/>
      <c r="AT174" s="1013">
        <f t="shared" si="502"/>
        <v>0</v>
      </c>
      <c r="AU174" s="1014"/>
      <c r="AV174" s="1015"/>
      <c r="AW174" s="1012"/>
      <c r="AX174" s="1013">
        <f t="shared" si="503"/>
        <v>0</v>
      </c>
      <c r="AY174" s="818"/>
    </row>
    <row r="175" spans="1:58">
      <c r="A175" s="532">
        <f t="shared" si="506"/>
        <v>6</v>
      </c>
      <c r="B175" s="832">
        <v>2</v>
      </c>
      <c r="C175" s="993" t="s">
        <v>720</v>
      </c>
      <c r="D175" s="525" t="s">
        <v>719</v>
      </c>
      <c r="E175" s="994" t="s">
        <v>1226</v>
      </c>
      <c r="F175" s="942" t="s">
        <v>719</v>
      </c>
      <c r="G175" s="1417">
        <f t="shared" si="495"/>
        <v>2319</v>
      </c>
      <c r="H175" s="1418">
        <f t="shared" si="495"/>
        <v>9319</v>
      </c>
      <c r="I175" s="1418">
        <f t="shared" si="495"/>
        <v>0</v>
      </c>
      <c r="J175" s="473">
        <f t="shared" si="495"/>
        <v>9319</v>
      </c>
      <c r="K175" s="1417">
        <f t="shared" si="504"/>
        <v>2319</v>
      </c>
      <c r="L175" s="1418">
        <f t="shared" si="504"/>
        <v>2319</v>
      </c>
      <c r="M175" s="1418">
        <f t="shared" si="504"/>
        <v>0</v>
      </c>
      <c r="N175" s="473">
        <f t="shared" si="504"/>
        <v>2319</v>
      </c>
      <c r="O175" s="1011"/>
      <c r="P175" s="1012"/>
      <c r="Q175" s="1012"/>
      <c r="R175" s="1013">
        <f t="shared" si="496"/>
        <v>0</v>
      </c>
      <c r="S175" s="491"/>
      <c r="T175" s="490"/>
      <c r="U175" s="1012"/>
      <c r="V175" s="1013">
        <f t="shared" si="497"/>
        <v>0</v>
      </c>
      <c r="W175" s="491">
        <v>2319</v>
      </c>
      <c r="X175" s="490">
        <v>2319</v>
      </c>
      <c r="Y175" s="1012"/>
      <c r="Z175" s="1013">
        <f t="shared" si="498"/>
        <v>2319</v>
      </c>
      <c r="AA175" s="491"/>
      <c r="AB175" s="490"/>
      <c r="AC175" s="1012"/>
      <c r="AD175" s="1013">
        <f t="shared" si="499"/>
        <v>0</v>
      </c>
      <c r="AE175" s="491"/>
      <c r="AF175" s="490"/>
      <c r="AG175" s="1012"/>
      <c r="AH175" s="1013">
        <f t="shared" si="500"/>
        <v>0</v>
      </c>
      <c r="AI175" s="1417">
        <f t="shared" si="505"/>
        <v>0</v>
      </c>
      <c r="AJ175" s="1418">
        <f t="shared" si="505"/>
        <v>7000</v>
      </c>
      <c r="AK175" s="1418">
        <f t="shared" si="505"/>
        <v>0</v>
      </c>
      <c r="AL175" s="473">
        <f t="shared" si="505"/>
        <v>7000</v>
      </c>
      <c r="AM175" s="491"/>
      <c r="AN175" s="490">
        <f>0+7000</f>
        <v>7000</v>
      </c>
      <c r="AO175" s="1012"/>
      <c r="AP175" s="1013">
        <f t="shared" si="501"/>
        <v>7000</v>
      </c>
      <c r="AQ175" s="491"/>
      <c r="AR175" s="490"/>
      <c r="AS175" s="1012"/>
      <c r="AT175" s="1013">
        <f t="shared" si="502"/>
        <v>0</v>
      </c>
      <c r="AU175" s="491"/>
      <c r="AV175" s="490"/>
      <c r="AW175" s="1012"/>
      <c r="AX175" s="1013">
        <f t="shared" si="503"/>
        <v>0</v>
      </c>
      <c r="AY175" s="818"/>
    </row>
    <row r="176" spans="1:58" ht="12.75" customHeight="1">
      <c r="A176" s="532">
        <f t="shared" si="506"/>
        <v>7</v>
      </c>
      <c r="B176" s="832">
        <v>8</v>
      </c>
      <c r="C176" s="993" t="s">
        <v>704</v>
      </c>
      <c r="D176" s="940" t="s">
        <v>1056</v>
      </c>
      <c r="E176" s="995" t="s">
        <v>1227</v>
      </c>
      <c r="F176" s="943" t="s">
        <v>1058</v>
      </c>
      <c r="G176" s="1421">
        <f t="shared" si="495"/>
        <v>0</v>
      </c>
      <c r="H176" s="1422">
        <f t="shared" si="495"/>
        <v>0</v>
      </c>
      <c r="I176" s="1422">
        <f t="shared" si="495"/>
        <v>0</v>
      </c>
      <c r="J176" s="489">
        <f t="shared" si="495"/>
        <v>0</v>
      </c>
      <c r="K176" s="1421">
        <f t="shared" si="504"/>
        <v>0</v>
      </c>
      <c r="L176" s="1422">
        <f t="shared" si="504"/>
        <v>0</v>
      </c>
      <c r="M176" s="1422">
        <f t="shared" si="504"/>
        <v>0</v>
      </c>
      <c r="N176" s="489">
        <f t="shared" si="504"/>
        <v>0</v>
      </c>
      <c r="O176" s="1011"/>
      <c r="P176" s="1012"/>
      <c r="Q176" s="1012"/>
      <c r="R176" s="1013">
        <f t="shared" si="496"/>
        <v>0</v>
      </c>
      <c r="S176" s="1014"/>
      <c r="T176" s="1015"/>
      <c r="U176" s="1012"/>
      <c r="V176" s="1013">
        <f t="shared" si="497"/>
        <v>0</v>
      </c>
      <c r="W176" s="1014"/>
      <c r="X176" s="1015"/>
      <c r="Y176" s="1012"/>
      <c r="Z176" s="1013">
        <f t="shared" si="498"/>
        <v>0</v>
      </c>
      <c r="AA176" s="1014"/>
      <c r="AB176" s="1015"/>
      <c r="AC176" s="1012"/>
      <c r="AD176" s="1013">
        <f t="shared" si="499"/>
        <v>0</v>
      </c>
      <c r="AE176" s="1014"/>
      <c r="AF176" s="1015"/>
      <c r="AG176" s="1012"/>
      <c r="AH176" s="1013">
        <f t="shared" si="500"/>
        <v>0</v>
      </c>
      <c r="AI176" s="1421">
        <f t="shared" si="505"/>
        <v>0</v>
      </c>
      <c r="AJ176" s="1422">
        <f t="shared" si="505"/>
        <v>0</v>
      </c>
      <c r="AK176" s="1422">
        <f t="shared" si="505"/>
        <v>0</v>
      </c>
      <c r="AL176" s="489">
        <f t="shared" si="505"/>
        <v>0</v>
      </c>
      <c r="AM176" s="1014"/>
      <c r="AN176" s="1015"/>
      <c r="AO176" s="1012"/>
      <c r="AP176" s="1013">
        <f t="shared" si="501"/>
        <v>0</v>
      </c>
      <c r="AQ176" s="1014"/>
      <c r="AR176" s="1015"/>
      <c r="AS176" s="1012"/>
      <c r="AT176" s="1013">
        <f t="shared" si="502"/>
        <v>0</v>
      </c>
      <c r="AU176" s="1014"/>
      <c r="AV176" s="1015"/>
      <c r="AW176" s="1012"/>
      <c r="AX176" s="1013">
        <f t="shared" si="503"/>
        <v>0</v>
      </c>
      <c r="AY176" s="818"/>
    </row>
    <row r="177" spans="1:51" s="493" customFormat="1">
      <c r="A177" s="532">
        <f t="shared" si="506"/>
        <v>8</v>
      </c>
      <c r="B177" s="832">
        <v>8</v>
      </c>
      <c r="C177" s="993" t="s">
        <v>704</v>
      </c>
      <c r="D177" s="944" t="s">
        <v>1056</v>
      </c>
      <c r="E177" s="995" t="s">
        <v>1228</v>
      </c>
      <c r="F177" s="945" t="s">
        <v>650</v>
      </c>
      <c r="G177" s="1421">
        <f t="shared" si="495"/>
        <v>4376</v>
      </c>
      <c r="H177" s="1422">
        <f t="shared" si="495"/>
        <v>4376</v>
      </c>
      <c r="I177" s="1422">
        <f t="shared" si="495"/>
        <v>0</v>
      </c>
      <c r="J177" s="489">
        <f t="shared" si="495"/>
        <v>4376</v>
      </c>
      <c r="K177" s="1421">
        <f t="shared" si="504"/>
        <v>4376</v>
      </c>
      <c r="L177" s="1422">
        <f t="shared" si="504"/>
        <v>4376</v>
      </c>
      <c r="M177" s="1422">
        <f t="shared" si="504"/>
        <v>0</v>
      </c>
      <c r="N177" s="489">
        <f t="shared" si="504"/>
        <v>4376</v>
      </c>
      <c r="O177" s="1011"/>
      <c r="P177" s="1012"/>
      <c r="Q177" s="1012"/>
      <c r="R177" s="1013">
        <f t="shared" si="496"/>
        <v>0</v>
      </c>
      <c r="S177" s="1014"/>
      <c r="T177" s="1015"/>
      <c r="U177" s="1012"/>
      <c r="V177" s="1013">
        <f t="shared" si="497"/>
        <v>0</v>
      </c>
      <c r="W177" s="1014">
        <v>4376</v>
      </c>
      <c r="X177" s="1015">
        <v>4376</v>
      </c>
      <c r="Y177" s="1012"/>
      <c r="Z177" s="1013">
        <f t="shared" si="498"/>
        <v>4376</v>
      </c>
      <c r="AA177" s="1014"/>
      <c r="AB177" s="1015"/>
      <c r="AC177" s="1012"/>
      <c r="AD177" s="1013">
        <f t="shared" si="499"/>
        <v>0</v>
      </c>
      <c r="AE177" s="1014"/>
      <c r="AF177" s="1015"/>
      <c r="AG177" s="1012"/>
      <c r="AH177" s="1013">
        <f t="shared" si="500"/>
        <v>0</v>
      </c>
      <c r="AI177" s="1421">
        <f t="shared" si="505"/>
        <v>0</v>
      </c>
      <c r="AJ177" s="1422">
        <f t="shared" si="505"/>
        <v>0</v>
      </c>
      <c r="AK177" s="1422">
        <f t="shared" si="505"/>
        <v>0</v>
      </c>
      <c r="AL177" s="489">
        <f t="shared" si="505"/>
        <v>0</v>
      </c>
      <c r="AM177" s="1014"/>
      <c r="AN177" s="1015"/>
      <c r="AO177" s="1012"/>
      <c r="AP177" s="1013">
        <f t="shared" si="501"/>
        <v>0</v>
      </c>
      <c r="AQ177" s="1014"/>
      <c r="AR177" s="1015"/>
      <c r="AS177" s="1012"/>
      <c r="AT177" s="1013">
        <f t="shared" si="502"/>
        <v>0</v>
      </c>
      <c r="AU177" s="1014"/>
      <c r="AV177" s="1015"/>
      <c r="AW177" s="1012"/>
      <c r="AX177" s="1013">
        <f t="shared" si="503"/>
        <v>0</v>
      </c>
      <c r="AY177" s="818"/>
    </row>
    <row r="178" spans="1:51">
      <c r="A178" s="532">
        <f t="shared" si="506"/>
        <v>9</v>
      </c>
      <c r="B178" s="832">
        <v>8</v>
      </c>
      <c r="C178" s="993" t="s">
        <v>701</v>
      </c>
      <c r="D178" s="940" t="s">
        <v>700</v>
      </c>
      <c r="E178" s="995" t="s">
        <v>1229</v>
      </c>
      <c r="F178" s="943" t="s">
        <v>776</v>
      </c>
      <c r="G178" s="1421">
        <f t="shared" si="495"/>
        <v>11303</v>
      </c>
      <c r="H178" s="1422">
        <f t="shared" si="495"/>
        <v>11303</v>
      </c>
      <c r="I178" s="1422">
        <f t="shared" si="495"/>
        <v>0</v>
      </c>
      <c r="J178" s="489">
        <f t="shared" si="495"/>
        <v>11303</v>
      </c>
      <c r="K178" s="1421">
        <f t="shared" si="504"/>
        <v>11303</v>
      </c>
      <c r="L178" s="1422">
        <f t="shared" si="504"/>
        <v>11303</v>
      </c>
      <c r="M178" s="1422">
        <f t="shared" si="504"/>
        <v>0</v>
      </c>
      <c r="N178" s="489">
        <f t="shared" si="504"/>
        <v>11303</v>
      </c>
      <c r="O178" s="1011"/>
      <c r="P178" s="1012"/>
      <c r="Q178" s="1012"/>
      <c r="R178" s="1013">
        <f t="shared" si="496"/>
        <v>0</v>
      </c>
      <c r="S178" s="1014"/>
      <c r="T178" s="1015"/>
      <c r="U178" s="1012"/>
      <c r="V178" s="1013">
        <f t="shared" si="497"/>
        <v>0</v>
      </c>
      <c r="W178" s="1014">
        <v>11303</v>
      </c>
      <c r="X178" s="1015">
        <v>11303</v>
      </c>
      <c r="Y178" s="1012"/>
      <c r="Z178" s="1013">
        <f t="shared" si="498"/>
        <v>11303</v>
      </c>
      <c r="AA178" s="1014"/>
      <c r="AB178" s="1015"/>
      <c r="AC178" s="1012"/>
      <c r="AD178" s="1013">
        <f t="shared" si="499"/>
        <v>0</v>
      </c>
      <c r="AE178" s="1014"/>
      <c r="AF178" s="1015"/>
      <c r="AG178" s="1012"/>
      <c r="AH178" s="1013">
        <f t="shared" si="500"/>
        <v>0</v>
      </c>
      <c r="AI178" s="1421">
        <f t="shared" si="505"/>
        <v>0</v>
      </c>
      <c r="AJ178" s="1422">
        <f t="shared" si="505"/>
        <v>0</v>
      </c>
      <c r="AK178" s="1422">
        <f t="shared" si="505"/>
        <v>0</v>
      </c>
      <c r="AL178" s="489">
        <f t="shared" si="505"/>
        <v>0</v>
      </c>
      <c r="AM178" s="1014"/>
      <c r="AN178" s="1015"/>
      <c r="AO178" s="1012"/>
      <c r="AP178" s="1013">
        <f t="shared" si="501"/>
        <v>0</v>
      </c>
      <c r="AQ178" s="1014"/>
      <c r="AR178" s="1015"/>
      <c r="AS178" s="1012"/>
      <c r="AT178" s="1013">
        <f t="shared" si="502"/>
        <v>0</v>
      </c>
      <c r="AU178" s="1014"/>
      <c r="AV178" s="1015"/>
      <c r="AW178" s="1012"/>
      <c r="AX178" s="1013">
        <f t="shared" si="503"/>
        <v>0</v>
      </c>
      <c r="AY178" s="818"/>
    </row>
    <row r="179" spans="1:51">
      <c r="A179" s="532">
        <f t="shared" si="506"/>
        <v>10</v>
      </c>
      <c r="B179" s="832">
        <v>8</v>
      </c>
      <c r="C179" s="993" t="s">
        <v>999</v>
      </c>
      <c r="D179" s="940" t="s">
        <v>1000</v>
      </c>
      <c r="E179" s="995" t="s">
        <v>1225</v>
      </c>
      <c r="F179" s="943" t="s">
        <v>1001</v>
      </c>
      <c r="G179" s="1421">
        <f t="shared" si="495"/>
        <v>10000</v>
      </c>
      <c r="H179" s="1422">
        <f t="shared" si="495"/>
        <v>0</v>
      </c>
      <c r="I179" s="1422">
        <f t="shared" si="495"/>
        <v>0</v>
      </c>
      <c r="J179" s="489">
        <f t="shared" si="495"/>
        <v>0</v>
      </c>
      <c r="K179" s="1421">
        <f t="shared" si="504"/>
        <v>10000</v>
      </c>
      <c r="L179" s="1422">
        <f t="shared" si="504"/>
        <v>0</v>
      </c>
      <c r="M179" s="1422">
        <f t="shared" si="504"/>
        <v>0</v>
      </c>
      <c r="N179" s="489">
        <f t="shared" si="504"/>
        <v>0</v>
      </c>
      <c r="O179" s="1011"/>
      <c r="P179" s="1012"/>
      <c r="Q179" s="1012"/>
      <c r="R179" s="1013">
        <f t="shared" si="496"/>
        <v>0</v>
      </c>
      <c r="S179" s="1014"/>
      <c r="T179" s="1015"/>
      <c r="U179" s="1012"/>
      <c r="V179" s="1013">
        <f t="shared" si="497"/>
        <v>0</v>
      </c>
      <c r="W179" s="1014">
        <v>10000</v>
      </c>
      <c r="X179" s="1015">
        <f>10000+(-7874-2126)</f>
        <v>0</v>
      </c>
      <c r="Y179" s="1012"/>
      <c r="Z179" s="1013">
        <f t="shared" si="498"/>
        <v>0</v>
      </c>
      <c r="AA179" s="1014"/>
      <c r="AB179" s="1015"/>
      <c r="AC179" s="1012"/>
      <c r="AD179" s="1013">
        <f t="shared" si="499"/>
        <v>0</v>
      </c>
      <c r="AE179" s="1014"/>
      <c r="AF179" s="1015"/>
      <c r="AG179" s="1012"/>
      <c r="AH179" s="1013">
        <f t="shared" si="500"/>
        <v>0</v>
      </c>
      <c r="AI179" s="1421">
        <f t="shared" si="505"/>
        <v>0</v>
      </c>
      <c r="AJ179" s="1422">
        <f t="shared" si="505"/>
        <v>0</v>
      </c>
      <c r="AK179" s="1422">
        <f t="shared" si="505"/>
        <v>0</v>
      </c>
      <c r="AL179" s="489">
        <f t="shared" si="505"/>
        <v>0</v>
      </c>
      <c r="AM179" s="1014"/>
      <c r="AN179" s="1015"/>
      <c r="AO179" s="1012"/>
      <c r="AP179" s="1013">
        <f t="shared" si="501"/>
        <v>0</v>
      </c>
      <c r="AQ179" s="1014"/>
      <c r="AR179" s="1015"/>
      <c r="AS179" s="1012"/>
      <c r="AT179" s="1013">
        <f t="shared" si="502"/>
        <v>0</v>
      </c>
      <c r="AU179" s="1014"/>
      <c r="AV179" s="1015"/>
      <c r="AW179" s="1012"/>
      <c r="AX179" s="1013">
        <f t="shared" si="503"/>
        <v>0</v>
      </c>
      <c r="AY179" s="818"/>
    </row>
    <row r="180" spans="1:51">
      <c r="A180" s="532">
        <f t="shared" si="506"/>
        <v>11</v>
      </c>
      <c r="B180" s="832">
        <v>8</v>
      </c>
      <c r="C180" s="993" t="s">
        <v>725</v>
      </c>
      <c r="D180" s="940" t="s">
        <v>723</v>
      </c>
      <c r="E180" s="995" t="s">
        <v>1225</v>
      </c>
      <c r="F180" s="943" t="s">
        <v>721</v>
      </c>
      <c r="G180" s="1421">
        <f t="shared" si="495"/>
        <v>0</v>
      </c>
      <c r="H180" s="1422">
        <f t="shared" si="495"/>
        <v>0</v>
      </c>
      <c r="I180" s="1422">
        <f t="shared" si="495"/>
        <v>0</v>
      </c>
      <c r="J180" s="489">
        <f t="shared" si="495"/>
        <v>0</v>
      </c>
      <c r="K180" s="1421">
        <f t="shared" si="504"/>
        <v>0</v>
      </c>
      <c r="L180" s="1422">
        <f t="shared" si="504"/>
        <v>0</v>
      </c>
      <c r="M180" s="1422">
        <f t="shared" si="504"/>
        <v>0</v>
      </c>
      <c r="N180" s="489">
        <f t="shared" si="504"/>
        <v>0</v>
      </c>
      <c r="O180" s="1011"/>
      <c r="P180" s="1012"/>
      <c r="Q180" s="1012"/>
      <c r="R180" s="1013">
        <f t="shared" si="496"/>
        <v>0</v>
      </c>
      <c r="S180" s="1014"/>
      <c r="T180" s="1015"/>
      <c r="U180" s="1012"/>
      <c r="V180" s="1013">
        <f t="shared" si="497"/>
        <v>0</v>
      </c>
      <c r="W180" s="1014"/>
      <c r="X180" s="1015"/>
      <c r="Y180" s="1012"/>
      <c r="Z180" s="1013">
        <f t="shared" si="498"/>
        <v>0</v>
      </c>
      <c r="AA180" s="1014"/>
      <c r="AB180" s="1015"/>
      <c r="AC180" s="1012"/>
      <c r="AD180" s="1013">
        <f t="shared" si="499"/>
        <v>0</v>
      </c>
      <c r="AE180" s="1014"/>
      <c r="AF180" s="1015"/>
      <c r="AG180" s="1012"/>
      <c r="AH180" s="1013">
        <f t="shared" si="500"/>
        <v>0</v>
      </c>
      <c r="AI180" s="1421">
        <f t="shared" si="505"/>
        <v>0</v>
      </c>
      <c r="AJ180" s="1422">
        <f t="shared" si="505"/>
        <v>0</v>
      </c>
      <c r="AK180" s="1422">
        <f t="shared" si="505"/>
        <v>0</v>
      </c>
      <c r="AL180" s="489">
        <f t="shared" si="505"/>
        <v>0</v>
      </c>
      <c r="AM180" s="1014"/>
      <c r="AN180" s="1015"/>
      <c r="AO180" s="1012"/>
      <c r="AP180" s="1013">
        <f t="shared" si="501"/>
        <v>0</v>
      </c>
      <c r="AQ180" s="1014"/>
      <c r="AR180" s="1015"/>
      <c r="AS180" s="1012"/>
      <c r="AT180" s="1013">
        <f t="shared" si="502"/>
        <v>0</v>
      </c>
      <c r="AU180" s="1014"/>
      <c r="AV180" s="1015"/>
      <c r="AW180" s="1012"/>
      <c r="AX180" s="1013">
        <f t="shared" si="503"/>
        <v>0</v>
      </c>
      <c r="AY180" s="818"/>
    </row>
    <row r="181" spans="1:51">
      <c r="A181" s="532">
        <f t="shared" si="506"/>
        <v>12</v>
      </c>
      <c r="B181" s="832">
        <v>8</v>
      </c>
      <c r="C181" s="993" t="s">
        <v>722</v>
      </c>
      <c r="D181" s="940" t="s">
        <v>724</v>
      </c>
      <c r="E181" s="995" t="s">
        <v>1225</v>
      </c>
      <c r="F181" s="943" t="s">
        <v>651</v>
      </c>
      <c r="G181" s="1421">
        <f t="shared" si="495"/>
        <v>1000</v>
      </c>
      <c r="H181" s="1422">
        <f t="shared" si="495"/>
        <v>1000</v>
      </c>
      <c r="I181" s="1422">
        <f t="shared" si="495"/>
        <v>0</v>
      </c>
      <c r="J181" s="489">
        <f t="shared" si="495"/>
        <v>1000</v>
      </c>
      <c r="K181" s="1421">
        <f t="shared" si="504"/>
        <v>1000</v>
      </c>
      <c r="L181" s="1422">
        <f t="shared" si="504"/>
        <v>1000</v>
      </c>
      <c r="M181" s="1422">
        <f t="shared" si="504"/>
        <v>0</v>
      </c>
      <c r="N181" s="489">
        <f t="shared" si="504"/>
        <v>1000</v>
      </c>
      <c r="O181" s="1011"/>
      <c r="P181" s="1012"/>
      <c r="Q181" s="1012"/>
      <c r="R181" s="1013">
        <f t="shared" si="496"/>
        <v>0</v>
      </c>
      <c r="S181" s="1014"/>
      <c r="T181" s="1015"/>
      <c r="U181" s="1012"/>
      <c r="V181" s="1013">
        <f t="shared" si="497"/>
        <v>0</v>
      </c>
      <c r="W181" s="1014"/>
      <c r="X181" s="1015"/>
      <c r="Y181" s="1012"/>
      <c r="Z181" s="1013">
        <f t="shared" si="498"/>
        <v>0</v>
      </c>
      <c r="AA181" s="1014"/>
      <c r="AB181" s="1015"/>
      <c r="AC181" s="1012"/>
      <c r="AD181" s="1013">
        <f t="shared" si="499"/>
        <v>0</v>
      </c>
      <c r="AE181" s="1014">
        <v>1000</v>
      </c>
      <c r="AF181" s="1015">
        <v>1000</v>
      </c>
      <c r="AG181" s="1012"/>
      <c r="AH181" s="1013">
        <f t="shared" si="500"/>
        <v>1000</v>
      </c>
      <c r="AI181" s="1421">
        <f t="shared" si="505"/>
        <v>0</v>
      </c>
      <c r="AJ181" s="1422">
        <f t="shared" si="505"/>
        <v>0</v>
      </c>
      <c r="AK181" s="1422">
        <f t="shared" si="505"/>
        <v>0</v>
      </c>
      <c r="AL181" s="489">
        <f t="shared" si="505"/>
        <v>0</v>
      </c>
      <c r="AM181" s="1014"/>
      <c r="AN181" s="1015"/>
      <c r="AO181" s="1012"/>
      <c r="AP181" s="1013">
        <f t="shared" si="501"/>
        <v>0</v>
      </c>
      <c r="AQ181" s="1014"/>
      <c r="AR181" s="1015"/>
      <c r="AS181" s="1012"/>
      <c r="AT181" s="1013">
        <f t="shared" si="502"/>
        <v>0</v>
      </c>
      <c r="AU181" s="1014"/>
      <c r="AV181" s="1015"/>
      <c r="AW181" s="1012"/>
      <c r="AX181" s="1013">
        <f t="shared" si="503"/>
        <v>0</v>
      </c>
      <c r="AY181" s="818"/>
    </row>
    <row r="182" spans="1:51">
      <c r="A182" s="532">
        <f t="shared" si="506"/>
        <v>13</v>
      </c>
      <c r="B182" s="832">
        <v>8</v>
      </c>
      <c r="C182" s="993" t="s">
        <v>1002</v>
      </c>
      <c r="D182" s="940" t="s">
        <v>1003</v>
      </c>
      <c r="E182" s="995" t="s">
        <v>1225</v>
      </c>
      <c r="F182" s="943" t="s">
        <v>995</v>
      </c>
      <c r="G182" s="1421">
        <f t="shared" si="495"/>
        <v>0</v>
      </c>
      <c r="H182" s="1422">
        <f t="shared" si="495"/>
        <v>0</v>
      </c>
      <c r="I182" s="1422">
        <f t="shared" si="495"/>
        <v>0</v>
      </c>
      <c r="J182" s="489">
        <f t="shared" si="495"/>
        <v>0</v>
      </c>
      <c r="K182" s="1421">
        <f t="shared" si="504"/>
        <v>0</v>
      </c>
      <c r="L182" s="1422">
        <f t="shared" si="504"/>
        <v>0</v>
      </c>
      <c r="M182" s="1422">
        <f t="shared" si="504"/>
        <v>0</v>
      </c>
      <c r="N182" s="489">
        <f t="shared" si="504"/>
        <v>0</v>
      </c>
      <c r="O182" s="1011"/>
      <c r="P182" s="1012"/>
      <c r="Q182" s="1012"/>
      <c r="R182" s="1013">
        <f t="shared" si="496"/>
        <v>0</v>
      </c>
      <c r="S182" s="1014"/>
      <c r="T182" s="1015"/>
      <c r="U182" s="1012"/>
      <c r="V182" s="1013">
        <f t="shared" si="497"/>
        <v>0</v>
      </c>
      <c r="W182" s="1014"/>
      <c r="X182" s="1015"/>
      <c r="Y182" s="1012"/>
      <c r="Z182" s="1013">
        <f t="shared" si="498"/>
        <v>0</v>
      </c>
      <c r="AA182" s="1014"/>
      <c r="AB182" s="1015"/>
      <c r="AC182" s="1012"/>
      <c r="AD182" s="1013">
        <f t="shared" si="499"/>
        <v>0</v>
      </c>
      <c r="AE182" s="1014"/>
      <c r="AF182" s="1015"/>
      <c r="AG182" s="1012"/>
      <c r="AH182" s="1013">
        <f t="shared" si="500"/>
        <v>0</v>
      </c>
      <c r="AI182" s="1421">
        <f t="shared" si="505"/>
        <v>0</v>
      </c>
      <c r="AJ182" s="1422">
        <f t="shared" si="505"/>
        <v>0</v>
      </c>
      <c r="AK182" s="1422">
        <f t="shared" si="505"/>
        <v>0</v>
      </c>
      <c r="AL182" s="489">
        <f t="shared" si="505"/>
        <v>0</v>
      </c>
      <c r="AM182" s="1014"/>
      <c r="AN182" s="1015"/>
      <c r="AO182" s="1012"/>
      <c r="AP182" s="1013">
        <f t="shared" si="501"/>
        <v>0</v>
      </c>
      <c r="AQ182" s="1014"/>
      <c r="AR182" s="1015"/>
      <c r="AS182" s="1012"/>
      <c r="AT182" s="1013">
        <f t="shared" si="502"/>
        <v>0</v>
      </c>
      <c r="AU182" s="1014"/>
      <c r="AV182" s="1015"/>
      <c r="AW182" s="1012"/>
      <c r="AX182" s="1013">
        <f t="shared" si="503"/>
        <v>0</v>
      </c>
      <c r="AY182" s="818"/>
    </row>
    <row r="183" spans="1:51">
      <c r="A183" s="532">
        <f t="shared" si="506"/>
        <v>14</v>
      </c>
      <c r="B183" s="832">
        <v>8</v>
      </c>
      <c r="C183" s="993" t="s">
        <v>727</v>
      </c>
      <c r="D183" s="940" t="s">
        <v>726</v>
      </c>
      <c r="E183" s="995" t="s">
        <v>1225</v>
      </c>
      <c r="F183" s="943" t="s">
        <v>652</v>
      </c>
      <c r="G183" s="1421">
        <f t="shared" si="495"/>
        <v>500</v>
      </c>
      <c r="H183" s="1422">
        <f t="shared" si="495"/>
        <v>500</v>
      </c>
      <c r="I183" s="1422">
        <f t="shared" si="495"/>
        <v>0</v>
      </c>
      <c r="J183" s="489">
        <f t="shared" si="495"/>
        <v>500</v>
      </c>
      <c r="K183" s="1421">
        <f t="shared" si="504"/>
        <v>500</v>
      </c>
      <c r="L183" s="1422">
        <f t="shared" si="504"/>
        <v>500</v>
      </c>
      <c r="M183" s="1422">
        <f t="shared" si="504"/>
        <v>0</v>
      </c>
      <c r="N183" s="489">
        <f t="shared" si="504"/>
        <v>500</v>
      </c>
      <c r="O183" s="1011"/>
      <c r="P183" s="1012"/>
      <c r="Q183" s="1012"/>
      <c r="R183" s="1013">
        <f t="shared" si="496"/>
        <v>0</v>
      </c>
      <c r="S183" s="1014"/>
      <c r="T183" s="1015"/>
      <c r="U183" s="1012"/>
      <c r="V183" s="1013">
        <f t="shared" si="497"/>
        <v>0</v>
      </c>
      <c r="W183" s="1014"/>
      <c r="X183" s="1015"/>
      <c r="Y183" s="1012"/>
      <c r="Z183" s="1013">
        <f t="shared" si="498"/>
        <v>0</v>
      </c>
      <c r="AA183" s="1014"/>
      <c r="AB183" s="1015"/>
      <c r="AC183" s="1012"/>
      <c r="AD183" s="1013">
        <f t="shared" si="499"/>
        <v>0</v>
      </c>
      <c r="AE183" s="1014">
        <v>500</v>
      </c>
      <c r="AF183" s="1015">
        <v>500</v>
      </c>
      <c r="AG183" s="1012"/>
      <c r="AH183" s="1013">
        <f t="shared" si="500"/>
        <v>500</v>
      </c>
      <c r="AI183" s="1421">
        <f t="shared" si="505"/>
        <v>0</v>
      </c>
      <c r="AJ183" s="1422">
        <f t="shared" si="505"/>
        <v>0</v>
      </c>
      <c r="AK183" s="1422">
        <f t="shared" si="505"/>
        <v>0</v>
      </c>
      <c r="AL183" s="489">
        <f t="shared" si="505"/>
        <v>0</v>
      </c>
      <c r="AM183" s="1014"/>
      <c r="AN183" s="1015"/>
      <c r="AO183" s="1012"/>
      <c r="AP183" s="1013">
        <f t="shared" si="501"/>
        <v>0</v>
      </c>
      <c r="AQ183" s="1014"/>
      <c r="AR183" s="1015"/>
      <c r="AS183" s="1012"/>
      <c r="AT183" s="1013">
        <f t="shared" si="502"/>
        <v>0</v>
      </c>
      <c r="AU183" s="1014"/>
      <c r="AV183" s="1015"/>
      <c r="AW183" s="1012"/>
      <c r="AX183" s="1013">
        <f t="shared" si="503"/>
        <v>0</v>
      </c>
      <c r="AY183" s="818"/>
    </row>
    <row r="184" spans="1:51">
      <c r="A184" s="532">
        <f t="shared" si="506"/>
        <v>15</v>
      </c>
      <c r="B184" s="832">
        <v>8</v>
      </c>
      <c r="C184" s="993" t="s">
        <v>709</v>
      </c>
      <c r="D184" s="940" t="s">
        <v>661</v>
      </c>
      <c r="E184" s="995" t="s">
        <v>1225</v>
      </c>
      <c r="F184" s="943" t="s">
        <v>708</v>
      </c>
      <c r="G184" s="1421">
        <f t="shared" si="495"/>
        <v>0</v>
      </c>
      <c r="H184" s="1422">
        <f t="shared" si="495"/>
        <v>0</v>
      </c>
      <c r="I184" s="1422">
        <f t="shared" si="495"/>
        <v>0</v>
      </c>
      <c r="J184" s="489">
        <f t="shared" si="495"/>
        <v>0</v>
      </c>
      <c r="K184" s="1421">
        <f t="shared" si="504"/>
        <v>0</v>
      </c>
      <c r="L184" s="1422">
        <f t="shared" si="504"/>
        <v>0</v>
      </c>
      <c r="M184" s="1422">
        <f t="shared" si="504"/>
        <v>0</v>
      </c>
      <c r="N184" s="489">
        <f t="shared" si="504"/>
        <v>0</v>
      </c>
      <c r="O184" s="1011"/>
      <c r="P184" s="1012"/>
      <c r="Q184" s="1012"/>
      <c r="R184" s="1013">
        <f t="shared" si="496"/>
        <v>0</v>
      </c>
      <c r="S184" s="1014"/>
      <c r="T184" s="1015"/>
      <c r="U184" s="1012"/>
      <c r="V184" s="1013">
        <f t="shared" si="497"/>
        <v>0</v>
      </c>
      <c r="W184" s="1014"/>
      <c r="X184" s="1015"/>
      <c r="Y184" s="1012"/>
      <c r="Z184" s="1013">
        <f t="shared" si="498"/>
        <v>0</v>
      </c>
      <c r="AA184" s="1014"/>
      <c r="AB184" s="1015"/>
      <c r="AC184" s="1012"/>
      <c r="AD184" s="1013">
        <f t="shared" si="499"/>
        <v>0</v>
      </c>
      <c r="AE184" s="1014"/>
      <c r="AF184" s="1015"/>
      <c r="AG184" s="1012"/>
      <c r="AH184" s="1013">
        <f t="shared" si="500"/>
        <v>0</v>
      </c>
      <c r="AI184" s="1421">
        <f t="shared" si="505"/>
        <v>0</v>
      </c>
      <c r="AJ184" s="1422">
        <f t="shared" si="505"/>
        <v>0</v>
      </c>
      <c r="AK184" s="1422">
        <f t="shared" si="505"/>
        <v>0</v>
      </c>
      <c r="AL184" s="489">
        <f t="shared" si="505"/>
        <v>0</v>
      </c>
      <c r="AM184" s="1014"/>
      <c r="AN184" s="1015"/>
      <c r="AO184" s="1012"/>
      <c r="AP184" s="1013">
        <f t="shared" si="501"/>
        <v>0</v>
      </c>
      <c r="AQ184" s="1014"/>
      <c r="AR184" s="1015"/>
      <c r="AS184" s="1012"/>
      <c r="AT184" s="1013">
        <f t="shared" si="502"/>
        <v>0</v>
      </c>
      <c r="AU184" s="1014"/>
      <c r="AV184" s="1015"/>
      <c r="AW184" s="1012"/>
      <c r="AX184" s="1013">
        <f t="shared" si="503"/>
        <v>0</v>
      </c>
      <c r="AY184" s="818"/>
    </row>
    <row r="185" spans="1:51">
      <c r="A185" s="532">
        <f t="shared" si="506"/>
        <v>16</v>
      </c>
      <c r="B185" s="832">
        <v>8</v>
      </c>
      <c r="C185" s="993" t="s">
        <v>710</v>
      </c>
      <c r="D185" s="940" t="s">
        <v>662</v>
      </c>
      <c r="E185" s="995" t="s">
        <v>1225</v>
      </c>
      <c r="F185" s="943" t="s">
        <v>708</v>
      </c>
      <c r="G185" s="1421">
        <f t="shared" si="495"/>
        <v>0</v>
      </c>
      <c r="H185" s="1422">
        <f t="shared" si="495"/>
        <v>0</v>
      </c>
      <c r="I185" s="1422">
        <f t="shared" si="495"/>
        <v>0</v>
      </c>
      <c r="J185" s="489">
        <f t="shared" si="495"/>
        <v>0</v>
      </c>
      <c r="K185" s="1421">
        <f t="shared" si="504"/>
        <v>0</v>
      </c>
      <c r="L185" s="1422">
        <f t="shared" si="504"/>
        <v>0</v>
      </c>
      <c r="M185" s="1422">
        <f t="shared" si="504"/>
        <v>0</v>
      </c>
      <c r="N185" s="489">
        <f t="shared" si="504"/>
        <v>0</v>
      </c>
      <c r="O185" s="1011"/>
      <c r="P185" s="1012"/>
      <c r="Q185" s="1012"/>
      <c r="R185" s="1013">
        <f t="shared" si="496"/>
        <v>0</v>
      </c>
      <c r="S185" s="1014"/>
      <c r="T185" s="1015"/>
      <c r="U185" s="1012"/>
      <c r="V185" s="1013">
        <f t="shared" si="497"/>
        <v>0</v>
      </c>
      <c r="W185" s="1014"/>
      <c r="X185" s="1015"/>
      <c r="Y185" s="1012"/>
      <c r="Z185" s="1013">
        <f t="shared" si="498"/>
        <v>0</v>
      </c>
      <c r="AA185" s="1014"/>
      <c r="AB185" s="1015"/>
      <c r="AC185" s="1012"/>
      <c r="AD185" s="1013">
        <f t="shared" si="499"/>
        <v>0</v>
      </c>
      <c r="AE185" s="1014"/>
      <c r="AF185" s="1015"/>
      <c r="AG185" s="1012"/>
      <c r="AH185" s="1013">
        <f t="shared" si="500"/>
        <v>0</v>
      </c>
      <c r="AI185" s="1421">
        <f t="shared" si="505"/>
        <v>0</v>
      </c>
      <c r="AJ185" s="1422">
        <f t="shared" si="505"/>
        <v>0</v>
      </c>
      <c r="AK185" s="1422">
        <f t="shared" si="505"/>
        <v>0</v>
      </c>
      <c r="AL185" s="489">
        <f t="shared" si="505"/>
        <v>0</v>
      </c>
      <c r="AM185" s="1014"/>
      <c r="AN185" s="1015"/>
      <c r="AO185" s="1012"/>
      <c r="AP185" s="1013">
        <f t="shared" si="501"/>
        <v>0</v>
      </c>
      <c r="AQ185" s="1014"/>
      <c r="AR185" s="1015"/>
      <c r="AS185" s="1012"/>
      <c r="AT185" s="1013">
        <f t="shared" si="502"/>
        <v>0</v>
      </c>
      <c r="AU185" s="1014"/>
      <c r="AV185" s="1015"/>
      <c r="AW185" s="1012"/>
      <c r="AX185" s="1013">
        <f t="shared" si="503"/>
        <v>0</v>
      </c>
      <c r="AY185" s="818"/>
    </row>
    <row r="186" spans="1:51">
      <c r="A186" s="532">
        <f t="shared" si="506"/>
        <v>17</v>
      </c>
      <c r="B186" s="832">
        <v>8</v>
      </c>
      <c r="C186" s="993" t="s">
        <v>712</v>
      </c>
      <c r="D186" s="940" t="s">
        <v>713</v>
      </c>
      <c r="E186" s="995" t="s">
        <v>1225</v>
      </c>
      <c r="F186" s="943" t="s">
        <v>711</v>
      </c>
      <c r="G186" s="1421">
        <f t="shared" si="495"/>
        <v>36260</v>
      </c>
      <c r="H186" s="1422">
        <f t="shared" si="495"/>
        <v>83352</v>
      </c>
      <c r="I186" s="1422">
        <f t="shared" si="495"/>
        <v>669</v>
      </c>
      <c r="J186" s="489">
        <f t="shared" si="495"/>
        <v>84021</v>
      </c>
      <c r="K186" s="1421">
        <f t="shared" si="504"/>
        <v>36260</v>
      </c>
      <c r="L186" s="1422">
        <f t="shared" si="504"/>
        <v>83352</v>
      </c>
      <c r="M186" s="1422">
        <f t="shared" si="504"/>
        <v>669</v>
      </c>
      <c r="N186" s="489">
        <f t="shared" si="504"/>
        <v>84021</v>
      </c>
      <c r="O186" s="1011">
        <v>23927</v>
      </c>
      <c r="P186" s="1012">
        <v>66835</v>
      </c>
      <c r="Q186" s="1012">
        <v>610</v>
      </c>
      <c r="R186" s="1013">
        <f t="shared" si="496"/>
        <v>67445</v>
      </c>
      <c r="S186" s="1014">
        <v>2333</v>
      </c>
      <c r="T186" s="1015">
        <v>6517</v>
      </c>
      <c r="U186" s="1012">
        <v>59</v>
      </c>
      <c r="V186" s="1013">
        <f t="shared" si="497"/>
        <v>6576</v>
      </c>
      <c r="W186" s="1014">
        <v>10000</v>
      </c>
      <c r="X186" s="1015">
        <v>10000</v>
      </c>
      <c r="Y186" s="1012"/>
      <c r="Z186" s="1013">
        <f t="shared" si="498"/>
        <v>10000</v>
      </c>
      <c r="AA186" s="1014"/>
      <c r="AB186" s="1015"/>
      <c r="AC186" s="1012"/>
      <c r="AD186" s="1013">
        <f t="shared" si="499"/>
        <v>0</v>
      </c>
      <c r="AE186" s="1014"/>
      <c r="AF186" s="1015"/>
      <c r="AG186" s="1012"/>
      <c r="AH186" s="1013">
        <f t="shared" si="500"/>
        <v>0</v>
      </c>
      <c r="AI186" s="1421">
        <f t="shared" si="505"/>
        <v>0</v>
      </c>
      <c r="AJ186" s="1422">
        <f t="shared" si="505"/>
        <v>0</v>
      </c>
      <c r="AK186" s="1422">
        <f t="shared" si="505"/>
        <v>0</v>
      </c>
      <c r="AL186" s="489">
        <f t="shared" si="505"/>
        <v>0</v>
      </c>
      <c r="AM186" s="1014"/>
      <c r="AN186" s="1015"/>
      <c r="AO186" s="1012"/>
      <c r="AP186" s="1013">
        <f t="shared" si="501"/>
        <v>0</v>
      </c>
      <c r="AQ186" s="1014"/>
      <c r="AR186" s="1015"/>
      <c r="AS186" s="1012"/>
      <c r="AT186" s="1013">
        <f t="shared" si="502"/>
        <v>0</v>
      </c>
      <c r="AU186" s="1014"/>
      <c r="AV186" s="1015"/>
      <c r="AW186" s="1012"/>
      <c r="AX186" s="1013">
        <f t="shared" si="503"/>
        <v>0</v>
      </c>
      <c r="AY186" s="818"/>
    </row>
    <row r="187" spans="1:51">
      <c r="A187" s="532">
        <f t="shared" si="506"/>
        <v>18</v>
      </c>
      <c r="B187" s="832">
        <v>8</v>
      </c>
      <c r="C187" s="993" t="s">
        <v>716</v>
      </c>
      <c r="D187" s="940" t="s">
        <v>717</v>
      </c>
      <c r="E187" s="995" t="s">
        <v>1225</v>
      </c>
      <c r="F187" s="943" t="s">
        <v>714</v>
      </c>
      <c r="G187" s="1421">
        <f t="shared" si="495"/>
        <v>0</v>
      </c>
      <c r="H187" s="1422">
        <f t="shared" si="495"/>
        <v>0</v>
      </c>
      <c r="I187" s="1422">
        <f t="shared" si="495"/>
        <v>0</v>
      </c>
      <c r="J187" s="489">
        <f t="shared" si="495"/>
        <v>0</v>
      </c>
      <c r="K187" s="1421">
        <f t="shared" si="504"/>
        <v>0</v>
      </c>
      <c r="L187" s="1422">
        <f t="shared" si="504"/>
        <v>0</v>
      </c>
      <c r="M187" s="1422">
        <f t="shared" si="504"/>
        <v>0</v>
      </c>
      <c r="N187" s="489">
        <f t="shared" si="504"/>
        <v>0</v>
      </c>
      <c r="O187" s="1011"/>
      <c r="P187" s="1012"/>
      <c r="Q187" s="1012"/>
      <c r="R187" s="1013">
        <f t="shared" si="496"/>
        <v>0</v>
      </c>
      <c r="S187" s="1014"/>
      <c r="T187" s="1015"/>
      <c r="U187" s="1012"/>
      <c r="V187" s="1013">
        <f t="shared" si="497"/>
        <v>0</v>
      </c>
      <c r="W187" s="1014"/>
      <c r="X187" s="1015"/>
      <c r="Y187" s="1012"/>
      <c r="Z187" s="1013">
        <f t="shared" si="498"/>
        <v>0</v>
      </c>
      <c r="AA187" s="1014"/>
      <c r="AB187" s="1015"/>
      <c r="AC187" s="1012"/>
      <c r="AD187" s="1013">
        <f t="shared" si="499"/>
        <v>0</v>
      </c>
      <c r="AE187" s="1014"/>
      <c r="AF187" s="1015"/>
      <c r="AG187" s="1012"/>
      <c r="AH187" s="1013">
        <f t="shared" si="500"/>
        <v>0</v>
      </c>
      <c r="AI187" s="1421">
        <f t="shared" si="505"/>
        <v>0</v>
      </c>
      <c r="AJ187" s="1422">
        <f t="shared" si="505"/>
        <v>0</v>
      </c>
      <c r="AK187" s="1422">
        <f t="shared" si="505"/>
        <v>0</v>
      </c>
      <c r="AL187" s="489">
        <f t="shared" si="505"/>
        <v>0</v>
      </c>
      <c r="AM187" s="1014"/>
      <c r="AN187" s="1015"/>
      <c r="AO187" s="1012"/>
      <c r="AP187" s="1013">
        <f t="shared" si="501"/>
        <v>0</v>
      </c>
      <c r="AQ187" s="1014"/>
      <c r="AR187" s="1015"/>
      <c r="AS187" s="1012"/>
      <c r="AT187" s="1013">
        <f t="shared" si="502"/>
        <v>0</v>
      </c>
      <c r="AU187" s="1014"/>
      <c r="AV187" s="1015"/>
      <c r="AW187" s="1012"/>
      <c r="AX187" s="1013">
        <f t="shared" si="503"/>
        <v>0</v>
      </c>
      <c r="AY187" s="818"/>
    </row>
    <row r="188" spans="1:51">
      <c r="A188" s="532">
        <f t="shared" si="506"/>
        <v>19</v>
      </c>
      <c r="B188" s="832">
        <v>8</v>
      </c>
      <c r="C188" s="996" t="s">
        <v>715</v>
      </c>
      <c r="D188" s="940" t="s">
        <v>663</v>
      </c>
      <c r="E188" s="995" t="s">
        <v>1225</v>
      </c>
      <c r="F188" s="943" t="s">
        <v>714</v>
      </c>
      <c r="G188" s="1421">
        <f t="shared" si="495"/>
        <v>10433</v>
      </c>
      <c r="H188" s="1422">
        <f t="shared" si="495"/>
        <v>59909</v>
      </c>
      <c r="I188" s="1422">
        <f t="shared" si="495"/>
        <v>0</v>
      </c>
      <c r="J188" s="489">
        <f t="shared" si="495"/>
        <v>59909</v>
      </c>
      <c r="K188" s="1421">
        <f t="shared" si="504"/>
        <v>10433</v>
      </c>
      <c r="L188" s="1422">
        <f t="shared" si="504"/>
        <v>59909</v>
      </c>
      <c r="M188" s="1422">
        <f t="shared" si="504"/>
        <v>0</v>
      </c>
      <c r="N188" s="489">
        <f t="shared" si="504"/>
        <v>59909</v>
      </c>
      <c r="O188" s="1011">
        <v>9506</v>
      </c>
      <c r="P188" s="1012">
        <v>49675</v>
      </c>
      <c r="Q188" s="1012"/>
      <c r="R188" s="1013">
        <f t="shared" si="496"/>
        <v>49675</v>
      </c>
      <c r="S188" s="1014">
        <v>927</v>
      </c>
      <c r="T188" s="1015">
        <v>4844</v>
      </c>
      <c r="U188" s="1012"/>
      <c r="V188" s="1013">
        <f t="shared" si="497"/>
        <v>4844</v>
      </c>
      <c r="W188" s="1014"/>
      <c r="X188" s="1015">
        <f>0+(4244+1146)</f>
        <v>5390</v>
      </c>
      <c r="Y188" s="1012"/>
      <c r="Z188" s="1013">
        <f t="shared" si="498"/>
        <v>5390</v>
      </c>
      <c r="AA188" s="1014"/>
      <c r="AB188" s="1015"/>
      <c r="AC188" s="1012"/>
      <c r="AD188" s="1013">
        <f t="shared" si="499"/>
        <v>0</v>
      </c>
      <c r="AE188" s="1014"/>
      <c r="AF188" s="1015"/>
      <c r="AG188" s="1012"/>
      <c r="AH188" s="1013">
        <f t="shared" si="500"/>
        <v>0</v>
      </c>
      <c r="AI188" s="1421">
        <f t="shared" si="505"/>
        <v>0</v>
      </c>
      <c r="AJ188" s="1422">
        <f t="shared" si="505"/>
        <v>0</v>
      </c>
      <c r="AK188" s="1422">
        <f t="shared" si="505"/>
        <v>0</v>
      </c>
      <c r="AL188" s="489">
        <f t="shared" si="505"/>
        <v>0</v>
      </c>
      <c r="AM188" s="1014"/>
      <c r="AN188" s="1015"/>
      <c r="AO188" s="1012"/>
      <c r="AP188" s="1013">
        <f t="shared" si="501"/>
        <v>0</v>
      </c>
      <c r="AQ188" s="1014"/>
      <c r="AR188" s="1015"/>
      <c r="AS188" s="1012"/>
      <c r="AT188" s="1013">
        <f t="shared" si="502"/>
        <v>0</v>
      </c>
      <c r="AU188" s="1014"/>
      <c r="AV188" s="1015"/>
      <c r="AW188" s="1012"/>
      <c r="AX188" s="1013">
        <f t="shared" si="503"/>
        <v>0</v>
      </c>
      <c r="AY188" s="818"/>
    </row>
    <row r="189" spans="1:51">
      <c r="A189" s="532">
        <f t="shared" si="506"/>
        <v>20</v>
      </c>
      <c r="B189" s="833">
        <v>8</v>
      </c>
      <c r="C189" s="997" t="s">
        <v>706</v>
      </c>
      <c r="D189" s="946" t="s">
        <v>705</v>
      </c>
      <c r="E189" s="998" t="s">
        <v>1230</v>
      </c>
      <c r="F189" s="947" t="s">
        <v>1004</v>
      </c>
      <c r="G189" s="1421">
        <f t="shared" si="495"/>
        <v>3500</v>
      </c>
      <c r="H189" s="1422">
        <f t="shared" si="495"/>
        <v>3500</v>
      </c>
      <c r="I189" s="1422">
        <f t="shared" si="495"/>
        <v>0</v>
      </c>
      <c r="J189" s="489">
        <f t="shared" si="495"/>
        <v>3500</v>
      </c>
      <c r="K189" s="1421">
        <f t="shared" si="504"/>
        <v>3500</v>
      </c>
      <c r="L189" s="1422">
        <f t="shared" si="504"/>
        <v>3500</v>
      </c>
      <c r="M189" s="1422">
        <f t="shared" si="504"/>
        <v>0</v>
      </c>
      <c r="N189" s="489">
        <f t="shared" si="504"/>
        <v>3500</v>
      </c>
      <c r="O189" s="1011"/>
      <c r="P189" s="1012"/>
      <c r="Q189" s="1012"/>
      <c r="R189" s="1013">
        <f t="shared" si="496"/>
        <v>0</v>
      </c>
      <c r="S189" s="1014"/>
      <c r="T189" s="1015"/>
      <c r="U189" s="1012"/>
      <c r="V189" s="1013">
        <f t="shared" si="497"/>
        <v>0</v>
      </c>
      <c r="W189" s="1014">
        <v>3500</v>
      </c>
      <c r="X189" s="1015">
        <v>3500</v>
      </c>
      <c r="Y189" s="1012"/>
      <c r="Z189" s="1013">
        <f t="shared" si="498"/>
        <v>3500</v>
      </c>
      <c r="AA189" s="1014"/>
      <c r="AB189" s="1015"/>
      <c r="AC189" s="1012"/>
      <c r="AD189" s="1013">
        <f t="shared" si="499"/>
        <v>0</v>
      </c>
      <c r="AE189" s="1014"/>
      <c r="AF189" s="1015"/>
      <c r="AG189" s="1012"/>
      <c r="AH189" s="1013">
        <f t="shared" si="500"/>
        <v>0</v>
      </c>
      <c r="AI189" s="1421">
        <f t="shared" si="505"/>
        <v>0</v>
      </c>
      <c r="AJ189" s="1422">
        <f t="shared" si="505"/>
        <v>0</v>
      </c>
      <c r="AK189" s="1422">
        <f t="shared" si="505"/>
        <v>0</v>
      </c>
      <c r="AL189" s="489">
        <f t="shared" si="505"/>
        <v>0</v>
      </c>
      <c r="AM189" s="1014"/>
      <c r="AN189" s="1015"/>
      <c r="AO189" s="1012"/>
      <c r="AP189" s="1013">
        <f t="shared" si="501"/>
        <v>0</v>
      </c>
      <c r="AQ189" s="1014"/>
      <c r="AR189" s="1015"/>
      <c r="AS189" s="1012"/>
      <c r="AT189" s="1013">
        <f t="shared" si="502"/>
        <v>0</v>
      </c>
      <c r="AU189" s="1014"/>
      <c r="AV189" s="1015"/>
      <c r="AW189" s="1012"/>
      <c r="AX189" s="1013">
        <f t="shared" si="503"/>
        <v>0</v>
      </c>
      <c r="AY189" s="818"/>
    </row>
    <row r="190" spans="1:51">
      <c r="A190" s="532">
        <f t="shared" si="506"/>
        <v>21</v>
      </c>
      <c r="B190" s="834">
        <v>5</v>
      </c>
      <c r="C190" s="997" t="s">
        <v>694</v>
      </c>
      <c r="D190" s="946" t="s">
        <v>642</v>
      </c>
      <c r="E190" s="998" t="s">
        <v>1225</v>
      </c>
      <c r="F190" s="947" t="s">
        <v>642</v>
      </c>
      <c r="G190" s="1421">
        <f t="shared" si="495"/>
        <v>0</v>
      </c>
      <c r="H190" s="1422">
        <f t="shared" si="495"/>
        <v>0</v>
      </c>
      <c r="I190" s="1422">
        <f t="shared" si="495"/>
        <v>0</v>
      </c>
      <c r="J190" s="489">
        <f t="shared" si="495"/>
        <v>0</v>
      </c>
      <c r="K190" s="1421">
        <f t="shared" si="504"/>
        <v>0</v>
      </c>
      <c r="L190" s="1422">
        <f t="shared" si="504"/>
        <v>0</v>
      </c>
      <c r="M190" s="1422">
        <f t="shared" si="504"/>
        <v>0</v>
      </c>
      <c r="N190" s="489">
        <f t="shared" si="504"/>
        <v>0</v>
      </c>
      <c r="O190" s="1011"/>
      <c r="P190" s="1012"/>
      <c r="Q190" s="1012"/>
      <c r="R190" s="1013">
        <f t="shared" si="496"/>
        <v>0</v>
      </c>
      <c r="S190" s="1014"/>
      <c r="T190" s="1015"/>
      <c r="U190" s="1012"/>
      <c r="V190" s="1013">
        <f t="shared" si="497"/>
        <v>0</v>
      </c>
      <c r="W190" s="1014"/>
      <c r="X190" s="1015"/>
      <c r="Y190" s="1012"/>
      <c r="Z190" s="1013">
        <f t="shared" si="498"/>
        <v>0</v>
      </c>
      <c r="AA190" s="1014"/>
      <c r="AB190" s="1015"/>
      <c r="AC190" s="1012"/>
      <c r="AD190" s="1013">
        <f t="shared" si="499"/>
        <v>0</v>
      </c>
      <c r="AE190" s="1014"/>
      <c r="AF190" s="1015"/>
      <c r="AG190" s="1012"/>
      <c r="AH190" s="1013">
        <f t="shared" si="500"/>
        <v>0</v>
      </c>
      <c r="AI190" s="1421">
        <f t="shared" si="505"/>
        <v>0</v>
      </c>
      <c r="AJ190" s="1422">
        <f t="shared" si="505"/>
        <v>0</v>
      </c>
      <c r="AK190" s="1422">
        <f t="shared" si="505"/>
        <v>0</v>
      </c>
      <c r="AL190" s="489">
        <f t="shared" si="505"/>
        <v>0</v>
      </c>
      <c r="AM190" s="1014"/>
      <c r="AN190" s="1015"/>
      <c r="AO190" s="1012"/>
      <c r="AP190" s="1013">
        <f t="shared" si="501"/>
        <v>0</v>
      </c>
      <c r="AQ190" s="1014"/>
      <c r="AR190" s="1015"/>
      <c r="AS190" s="1012"/>
      <c r="AT190" s="1013">
        <f t="shared" si="502"/>
        <v>0</v>
      </c>
      <c r="AU190" s="1014"/>
      <c r="AV190" s="1015"/>
      <c r="AW190" s="1012"/>
      <c r="AX190" s="1013">
        <f t="shared" si="503"/>
        <v>0</v>
      </c>
      <c r="AY190" s="818"/>
    </row>
    <row r="191" spans="1:51">
      <c r="A191" s="532">
        <f t="shared" si="506"/>
        <v>22</v>
      </c>
      <c r="B191" s="834">
        <v>8</v>
      </c>
      <c r="C191" s="996" t="s">
        <v>696</v>
      </c>
      <c r="D191" s="940" t="s">
        <v>695</v>
      </c>
      <c r="E191" s="995" t="s">
        <v>1247</v>
      </c>
      <c r="F191" s="943" t="s">
        <v>695</v>
      </c>
      <c r="G191" s="1421">
        <f t="shared" si="495"/>
        <v>1800</v>
      </c>
      <c r="H191" s="1422">
        <f t="shared" si="495"/>
        <v>1800</v>
      </c>
      <c r="I191" s="1422">
        <f t="shared" si="495"/>
        <v>0</v>
      </c>
      <c r="J191" s="489">
        <f t="shared" si="495"/>
        <v>1800</v>
      </c>
      <c r="K191" s="1421">
        <f t="shared" si="504"/>
        <v>1800</v>
      </c>
      <c r="L191" s="1422">
        <f t="shared" si="504"/>
        <v>1800</v>
      </c>
      <c r="M191" s="1422">
        <f t="shared" si="504"/>
        <v>0</v>
      </c>
      <c r="N191" s="489">
        <f t="shared" si="504"/>
        <v>1800</v>
      </c>
      <c r="O191" s="1011"/>
      <c r="P191" s="1012"/>
      <c r="Q191" s="1012"/>
      <c r="R191" s="1013">
        <f t="shared" si="496"/>
        <v>0</v>
      </c>
      <c r="S191" s="1014"/>
      <c r="T191" s="1015"/>
      <c r="U191" s="1012"/>
      <c r="V191" s="1013">
        <f t="shared" si="497"/>
        <v>0</v>
      </c>
      <c r="W191" s="1014">
        <v>1800</v>
      </c>
      <c r="X191" s="1015">
        <v>1800</v>
      </c>
      <c r="Y191" s="1012"/>
      <c r="Z191" s="1013">
        <f t="shared" si="498"/>
        <v>1800</v>
      </c>
      <c r="AA191" s="1014"/>
      <c r="AB191" s="1015"/>
      <c r="AC191" s="1012"/>
      <c r="AD191" s="1013">
        <f t="shared" si="499"/>
        <v>0</v>
      </c>
      <c r="AE191" s="1014"/>
      <c r="AF191" s="1015"/>
      <c r="AG191" s="1012"/>
      <c r="AH191" s="1013">
        <f t="shared" si="500"/>
        <v>0</v>
      </c>
      <c r="AI191" s="1421">
        <f t="shared" si="505"/>
        <v>0</v>
      </c>
      <c r="AJ191" s="1422">
        <f t="shared" si="505"/>
        <v>0</v>
      </c>
      <c r="AK191" s="1422">
        <f t="shared" si="505"/>
        <v>0</v>
      </c>
      <c r="AL191" s="489">
        <f t="shared" si="505"/>
        <v>0</v>
      </c>
      <c r="AM191" s="1014"/>
      <c r="AN191" s="1015"/>
      <c r="AO191" s="1012"/>
      <c r="AP191" s="1013">
        <f t="shared" si="501"/>
        <v>0</v>
      </c>
      <c r="AQ191" s="1014"/>
      <c r="AR191" s="1015"/>
      <c r="AS191" s="1012"/>
      <c r="AT191" s="1013">
        <f t="shared" si="502"/>
        <v>0</v>
      </c>
      <c r="AU191" s="1014"/>
      <c r="AV191" s="1015"/>
      <c r="AW191" s="1012"/>
      <c r="AX191" s="1013">
        <f t="shared" si="503"/>
        <v>0</v>
      </c>
      <c r="AY191" s="818"/>
    </row>
    <row r="192" spans="1:51">
      <c r="A192" s="532">
        <f t="shared" si="506"/>
        <v>23</v>
      </c>
      <c r="B192" s="833">
        <v>5</v>
      </c>
      <c r="C192" s="996" t="s">
        <v>697</v>
      </c>
      <c r="D192" s="940" t="s">
        <v>643</v>
      </c>
      <c r="E192" s="995" t="s">
        <v>1225</v>
      </c>
      <c r="F192" s="943" t="s">
        <v>643</v>
      </c>
      <c r="G192" s="1421">
        <f t="shared" si="495"/>
        <v>74157</v>
      </c>
      <c r="H192" s="1422">
        <f t="shared" si="495"/>
        <v>73157</v>
      </c>
      <c r="I192" s="1422">
        <f t="shared" si="495"/>
        <v>0</v>
      </c>
      <c r="J192" s="489">
        <f t="shared" si="495"/>
        <v>73157</v>
      </c>
      <c r="K192" s="1421">
        <f t="shared" si="504"/>
        <v>12899</v>
      </c>
      <c r="L192" s="1422">
        <f t="shared" si="504"/>
        <v>11899</v>
      </c>
      <c r="M192" s="1422">
        <f t="shared" si="504"/>
        <v>0</v>
      </c>
      <c r="N192" s="489">
        <f t="shared" si="504"/>
        <v>11899</v>
      </c>
      <c r="O192" s="1011"/>
      <c r="P192" s="1012"/>
      <c r="Q192" s="1012"/>
      <c r="R192" s="1013">
        <f t="shared" si="496"/>
        <v>0</v>
      </c>
      <c r="S192" s="1014"/>
      <c r="T192" s="1015"/>
      <c r="U192" s="1012"/>
      <c r="V192" s="1013">
        <f t="shared" si="497"/>
        <v>0</v>
      </c>
      <c r="W192" s="1014">
        <v>12899</v>
      </c>
      <c r="X192" s="1015">
        <f>12899+(-787-213)</f>
        <v>11899</v>
      </c>
      <c r="Y192" s="1012"/>
      <c r="Z192" s="1013">
        <f t="shared" si="498"/>
        <v>11899</v>
      </c>
      <c r="AA192" s="1014"/>
      <c r="AB192" s="1015"/>
      <c r="AC192" s="1012"/>
      <c r="AD192" s="1013">
        <f t="shared" si="499"/>
        <v>0</v>
      </c>
      <c r="AE192" s="1014"/>
      <c r="AF192" s="1015"/>
      <c r="AG192" s="1012"/>
      <c r="AH192" s="1013">
        <f t="shared" si="500"/>
        <v>0</v>
      </c>
      <c r="AI192" s="1421">
        <f t="shared" si="505"/>
        <v>61258</v>
      </c>
      <c r="AJ192" s="1422">
        <f t="shared" si="505"/>
        <v>61258</v>
      </c>
      <c r="AK192" s="1422">
        <f t="shared" si="505"/>
        <v>0</v>
      </c>
      <c r="AL192" s="489">
        <f t="shared" si="505"/>
        <v>61258</v>
      </c>
      <c r="AM192" s="1014"/>
      <c r="AN192" s="1015"/>
      <c r="AO192" s="1012"/>
      <c r="AP192" s="1013">
        <f t="shared" si="501"/>
        <v>0</v>
      </c>
      <c r="AQ192" s="1014">
        <v>61258</v>
      </c>
      <c r="AR192" s="1015">
        <v>61258</v>
      </c>
      <c r="AS192" s="1012"/>
      <c r="AT192" s="1013">
        <f t="shared" si="502"/>
        <v>61258</v>
      </c>
      <c r="AU192" s="1014"/>
      <c r="AV192" s="1015"/>
      <c r="AW192" s="1012"/>
      <c r="AX192" s="1013">
        <f t="shared" si="503"/>
        <v>0</v>
      </c>
      <c r="AY192" s="818"/>
    </row>
    <row r="193" spans="1:51">
      <c r="A193" s="532">
        <f t="shared" si="506"/>
        <v>24</v>
      </c>
      <c r="B193" s="833">
        <v>8</v>
      </c>
      <c r="C193" s="996" t="s">
        <v>718</v>
      </c>
      <c r="D193" s="940" t="s">
        <v>648</v>
      </c>
      <c r="E193" s="995" t="s">
        <v>1225</v>
      </c>
      <c r="F193" s="943" t="s">
        <v>648</v>
      </c>
      <c r="G193" s="1423">
        <f t="shared" si="495"/>
        <v>0</v>
      </c>
      <c r="H193" s="1424">
        <f t="shared" si="495"/>
        <v>0</v>
      </c>
      <c r="I193" s="1424">
        <f t="shared" si="495"/>
        <v>0</v>
      </c>
      <c r="J193" s="492">
        <f t="shared" si="495"/>
        <v>0</v>
      </c>
      <c r="K193" s="1423">
        <f t="shared" si="504"/>
        <v>0</v>
      </c>
      <c r="L193" s="1424">
        <f t="shared" si="504"/>
        <v>0</v>
      </c>
      <c r="M193" s="1424">
        <f t="shared" si="504"/>
        <v>0</v>
      </c>
      <c r="N193" s="492">
        <f t="shared" si="504"/>
        <v>0</v>
      </c>
      <c r="O193" s="1011"/>
      <c r="P193" s="1012"/>
      <c r="Q193" s="1012"/>
      <c r="R193" s="1013">
        <f t="shared" si="496"/>
        <v>0</v>
      </c>
      <c r="S193" s="1023"/>
      <c r="T193" s="1021"/>
      <c r="U193" s="1012"/>
      <c r="V193" s="1013">
        <f t="shared" si="497"/>
        <v>0</v>
      </c>
      <c r="W193" s="1023"/>
      <c r="X193" s="1021"/>
      <c r="Y193" s="1012"/>
      <c r="Z193" s="1013">
        <f t="shared" si="498"/>
        <v>0</v>
      </c>
      <c r="AA193" s="1023"/>
      <c r="AB193" s="1021"/>
      <c r="AC193" s="1012"/>
      <c r="AD193" s="1013">
        <f t="shared" si="499"/>
        <v>0</v>
      </c>
      <c r="AE193" s="1023"/>
      <c r="AF193" s="1021"/>
      <c r="AG193" s="1012"/>
      <c r="AH193" s="1013">
        <f t="shared" si="500"/>
        <v>0</v>
      </c>
      <c r="AI193" s="1423">
        <f t="shared" si="505"/>
        <v>0</v>
      </c>
      <c r="AJ193" s="1424">
        <f t="shared" si="505"/>
        <v>0</v>
      </c>
      <c r="AK193" s="1424">
        <f t="shared" si="505"/>
        <v>0</v>
      </c>
      <c r="AL193" s="492">
        <f t="shared" si="505"/>
        <v>0</v>
      </c>
      <c r="AM193" s="1023"/>
      <c r="AN193" s="1021"/>
      <c r="AO193" s="1012"/>
      <c r="AP193" s="1013">
        <f t="shared" si="501"/>
        <v>0</v>
      </c>
      <c r="AQ193" s="1023"/>
      <c r="AR193" s="1021"/>
      <c r="AS193" s="1012"/>
      <c r="AT193" s="1013">
        <f t="shared" si="502"/>
        <v>0</v>
      </c>
      <c r="AU193" s="1023"/>
      <c r="AV193" s="1021"/>
      <c r="AW193" s="1012"/>
      <c r="AX193" s="1013">
        <f t="shared" si="503"/>
        <v>0</v>
      </c>
      <c r="AY193" s="818"/>
    </row>
    <row r="194" spans="1:51">
      <c r="A194" s="532">
        <f t="shared" si="506"/>
        <v>25</v>
      </c>
      <c r="B194" s="833">
        <v>8</v>
      </c>
      <c r="C194" s="996" t="s">
        <v>692</v>
      </c>
      <c r="D194" s="940" t="s">
        <v>693</v>
      </c>
      <c r="E194" s="995" t="s">
        <v>1225</v>
      </c>
      <c r="F194" s="943" t="s">
        <v>1007</v>
      </c>
      <c r="G194" s="1423">
        <f t="shared" si="495"/>
        <v>0</v>
      </c>
      <c r="H194" s="1424">
        <f t="shared" si="495"/>
        <v>0</v>
      </c>
      <c r="I194" s="1424">
        <f t="shared" si="495"/>
        <v>0</v>
      </c>
      <c r="J194" s="492">
        <f t="shared" si="495"/>
        <v>0</v>
      </c>
      <c r="K194" s="1423">
        <f t="shared" si="504"/>
        <v>0</v>
      </c>
      <c r="L194" s="1424">
        <f t="shared" si="504"/>
        <v>0</v>
      </c>
      <c r="M194" s="1424">
        <f t="shared" si="504"/>
        <v>0</v>
      </c>
      <c r="N194" s="492">
        <f t="shared" si="504"/>
        <v>0</v>
      </c>
      <c r="O194" s="1011"/>
      <c r="P194" s="1012"/>
      <c r="Q194" s="1012"/>
      <c r="R194" s="1013">
        <f t="shared" si="496"/>
        <v>0</v>
      </c>
      <c r="S194" s="1023"/>
      <c r="T194" s="1021"/>
      <c r="U194" s="1012"/>
      <c r="V194" s="1013">
        <f t="shared" si="497"/>
        <v>0</v>
      </c>
      <c r="W194" s="1023"/>
      <c r="X194" s="1021"/>
      <c r="Y194" s="1012"/>
      <c r="Z194" s="1013">
        <f t="shared" si="498"/>
        <v>0</v>
      </c>
      <c r="AA194" s="1023"/>
      <c r="AB194" s="1021"/>
      <c r="AC194" s="1012"/>
      <c r="AD194" s="1013">
        <f t="shared" si="499"/>
        <v>0</v>
      </c>
      <c r="AE194" s="1023"/>
      <c r="AF194" s="1021"/>
      <c r="AG194" s="1012"/>
      <c r="AH194" s="1013">
        <f t="shared" si="500"/>
        <v>0</v>
      </c>
      <c r="AI194" s="1423">
        <f t="shared" si="505"/>
        <v>0</v>
      </c>
      <c r="AJ194" s="1424">
        <f t="shared" si="505"/>
        <v>0</v>
      </c>
      <c r="AK194" s="1424">
        <f t="shared" si="505"/>
        <v>0</v>
      </c>
      <c r="AL194" s="492">
        <f t="shared" si="505"/>
        <v>0</v>
      </c>
      <c r="AM194" s="1023"/>
      <c r="AN194" s="1021"/>
      <c r="AO194" s="1012"/>
      <c r="AP194" s="1013">
        <f t="shared" si="501"/>
        <v>0</v>
      </c>
      <c r="AQ194" s="1023"/>
      <c r="AR194" s="1021"/>
      <c r="AS194" s="1012"/>
      <c r="AT194" s="1013">
        <f t="shared" si="502"/>
        <v>0</v>
      </c>
      <c r="AU194" s="1023"/>
      <c r="AV194" s="1021"/>
      <c r="AW194" s="1012"/>
      <c r="AX194" s="1013">
        <f t="shared" si="503"/>
        <v>0</v>
      </c>
      <c r="AY194" s="818"/>
    </row>
    <row r="195" spans="1:51">
      <c r="A195" s="532">
        <f t="shared" si="506"/>
        <v>26</v>
      </c>
      <c r="B195" s="833">
        <v>8</v>
      </c>
      <c r="C195" s="996" t="s">
        <v>690</v>
      </c>
      <c r="D195" s="940" t="s">
        <v>691</v>
      </c>
      <c r="E195" s="995" t="s">
        <v>1225</v>
      </c>
      <c r="F195" s="943" t="s">
        <v>641</v>
      </c>
      <c r="G195" s="1423">
        <f t="shared" si="495"/>
        <v>4107</v>
      </c>
      <c r="H195" s="1424">
        <f t="shared" si="495"/>
        <v>4107</v>
      </c>
      <c r="I195" s="1424">
        <f t="shared" si="495"/>
        <v>0</v>
      </c>
      <c r="J195" s="492">
        <f t="shared" si="495"/>
        <v>4107</v>
      </c>
      <c r="K195" s="1423">
        <f t="shared" si="504"/>
        <v>4107</v>
      </c>
      <c r="L195" s="1424">
        <f t="shared" si="504"/>
        <v>4107</v>
      </c>
      <c r="M195" s="1424">
        <f t="shared" si="504"/>
        <v>0</v>
      </c>
      <c r="N195" s="492">
        <f t="shared" si="504"/>
        <v>4107</v>
      </c>
      <c r="O195" s="1011"/>
      <c r="P195" s="1012"/>
      <c r="Q195" s="1012"/>
      <c r="R195" s="1013">
        <f t="shared" si="496"/>
        <v>0</v>
      </c>
      <c r="S195" s="1023"/>
      <c r="T195" s="1021"/>
      <c r="U195" s="1012"/>
      <c r="V195" s="1013">
        <f t="shared" si="497"/>
        <v>0</v>
      </c>
      <c r="W195" s="1023">
        <v>4107</v>
      </c>
      <c r="X195" s="1021">
        <v>4107</v>
      </c>
      <c r="Y195" s="1012"/>
      <c r="Z195" s="1013">
        <f t="shared" si="498"/>
        <v>4107</v>
      </c>
      <c r="AA195" s="1023"/>
      <c r="AB195" s="1021"/>
      <c r="AC195" s="1012"/>
      <c r="AD195" s="1013">
        <f t="shared" si="499"/>
        <v>0</v>
      </c>
      <c r="AE195" s="1023"/>
      <c r="AF195" s="1021"/>
      <c r="AG195" s="1012"/>
      <c r="AH195" s="1013">
        <f t="shared" si="500"/>
        <v>0</v>
      </c>
      <c r="AI195" s="1423">
        <f t="shared" si="505"/>
        <v>0</v>
      </c>
      <c r="AJ195" s="1424">
        <f t="shared" si="505"/>
        <v>0</v>
      </c>
      <c r="AK195" s="1424">
        <f t="shared" si="505"/>
        <v>0</v>
      </c>
      <c r="AL195" s="492">
        <f t="shared" si="505"/>
        <v>0</v>
      </c>
      <c r="AM195" s="1023"/>
      <c r="AN195" s="1021"/>
      <c r="AO195" s="1012"/>
      <c r="AP195" s="1013">
        <f t="shared" si="501"/>
        <v>0</v>
      </c>
      <c r="AQ195" s="1023"/>
      <c r="AR195" s="1021"/>
      <c r="AS195" s="1012"/>
      <c r="AT195" s="1013">
        <f t="shared" si="502"/>
        <v>0</v>
      </c>
      <c r="AU195" s="1023"/>
      <c r="AV195" s="1021"/>
      <c r="AW195" s="1012"/>
      <c r="AX195" s="1013">
        <f t="shared" si="503"/>
        <v>0</v>
      </c>
      <c r="AY195" s="818"/>
    </row>
    <row r="196" spans="1:51" s="493" customFormat="1">
      <c r="A196" s="532">
        <f t="shared" si="506"/>
        <v>27</v>
      </c>
      <c r="B196" s="833">
        <v>3</v>
      </c>
      <c r="C196" s="996" t="s">
        <v>698</v>
      </c>
      <c r="D196" s="940" t="s">
        <v>644</v>
      </c>
      <c r="E196" s="995" t="s">
        <v>1225</v>
      </c>
      <c r="F196" s="943" t="s">
        <v>644</v>
      </c>
      <c r="G196" s="1421">
        <f t="shared" si="495"/>
        <v>26500</v>
      </c>
      <c r="H196" s="1422">
        <f t="shared" si="495"/>
        <v>25000</v>
      </c>
      <c r="I196" s="1422">
        <f t="shared" si="495"/>
        <v>0</v>
      </c>
      <c r="J196" s="489">
        <f t="shared" si="495"/>
        <v>25000</v>
      </c>
      <c r="K196" s="1421">
        <f t="shared" si="504"/>
        <v>25000</v>
      </c>
      <c r="L196" s="1422">
        <f t="shared" si="504"/>
        <v>25000</v>
      </c>
      <c r="M196" s="1422">
        <f t="shared" si="504"/>
        <v>0</v>
      </c>
      <c r="N196" s="489">
        <f t="shared" si="504"/>
        <v>25000</v>
      </c>
      <c r="O196" s="1011"/>
      <c r="P196" s="1012"/>
      <c r="Q196" s="1012"/>
      <c r="R196" s="1013">
        <f t="shared" si="496"/>
        <v>0</v>
      </c>
      <c r="S196" s="1014"/>
      <c r="T196" s="1015"/>
      <c r="U196" s="1012"/>
      <c r="V196" s="1013">
        <f t="shared" si="497"/>
        <v>0</v>
      </c>
      <c r="W196" s="1014">
        <v>25000</v>
      </c>
      <c r="X196" s="1015">
        <v>25000</v>
      </c>
      <c r="Y196" s="1012"/>
      <c r="Z196" s="1013">
        <f t="shared" si="498"/>
        <v>25000</v>
      </c>
      <c r="AA196" s="1014"/>
      <c r="AB196" s="1015"/>
      <c r="AC196" s="1012"/>
      <c r="AD196" s="1013">
        <f t="shared" si="499"/>
        <v>0</v>
      </c>
      <c r="AE196" s="1014"/>
      <c r="AF196" s="1015"/>
      <c r="AG196" s="1012"/>
      <c r="AH196" s="1013">
        <f t="shared" si="500"/>
        <v>0</v>
      </c>
      <c r="AI196" s="1421">
        <f t="shared" si="505"/>
        <v>1500</v>
      </c>
      <c r="AJ196" s="1422">
        <f t="shared" si="505"/>
        <v>0</v>
      </c>
      <c r="AK196" s="1422">
        <f t="shared" si="505"/>
        <v>0</v>
      </c>
      <c r="AL196" s="489">
        <f t="shared" si="505"/>
        <v>0</v>
      </c>
      <c r="AM196" s="1014">
        <v>1500</v>
      </c>
      <c r="AN196" s="1015">
        <f>1500-1500</f>
        <v>0</v>
      </c>
      <c r="AO196" s="1012"/>
      <c r="AP196" s="1013">
        <f t="shared" si="501"/>
        <v>0</v>
      </c>
      <c r="AQ196" s="1014"/>
      <c r="AR196" s="1015"/>
      <c r="AS196" s="1012"/>
      <c r="AT196" s="1013">
        <f t="shared" si="502"/>
        <v>0</v>
      </c>
      <c r="AU196" s="1014"/>
      <c r="AV196" s="1015"/>
      <c r="AW196" s="1012"/>
      <c r="AX196" s="1013">
        <f t="shared" si="503"/>
        <v>0</v>
      </c>
      <c r="AY196" s="818"/>
    </row>
    <row r="197" spans="1:51" s="493" customFormat="1">
      <c r="A197" s="532">
        <f t="shared" si="506"/>
        <v>28</v>
      </c>
      <c r="B197" s="833">
        <v>4</v>
      </c>
      <c r="C197" s="996" t="s">
        <v>707</v>
      </c>
      <c r="D197" s="940" t="s">
        <v>646</v>
      </c>
      <c r="E197" s="995" t="s">
        <v>1232</v>
      </c>
      <c r="F197" s="943" t="s">
        <v>646</v>
      </c>
      <c r="G197" s="1421">
        <f t="shared" si="495"/>
        <v>13381</v>
      </c>
      <c r="H197" s="1422">
        <f t="shared" si="495"/>
        <v>13381</v>
      </c>
      <c r="I197" s="1422">
        <f t="shared" si="495"/>
        <v>0</v>
      </c>
      <c r="J197" s="489">
        <f t="shared" si="495"/>
        <v>13381</v>
      </c>
      <c r="K197" s="1421">
        <f t="shared" si="504"/>
        <v>13381</v>
      </c>
      <c r="L197" s="1422">
        <f t="shared" si="504"/>
        <v>13381</v>
      </c>
      <c r="M197" s="1422">
        <f t="shared" si="504"/>
        <v>0</v>
      </c>
      <c r="N197" s="489">
        <f t="shared" si="504"/>
        <v>13381</v>
      </c>
      <c r="O197" s="1011"/>
      <c r="P197" s="1012"/>
      <c r="Q197" s="1012"/>
      <c r="R197" s="1013">
        <f t="shared" si="496"/>
        <v>0</v>
      </c>
      <c r="S197" s="1014"/>
      <c r="T197" s="1015"/>
      <c r="U197" s="1012"/>
      <c r="V197" s="1013">
        <f t="shared" si="497"/>
        <v>0</v>
      </c>
      <c r="W197" s="1014">
        <v>13381</v>
      </c>
      <c r="X197" s="1015">
        <v>13381</v>
      </c>
      <c r="Y197" s="1012"/>
      <c r="Z197" s="1013">
        <f t="shared" si="498"/>
        <v>13381</v>
      </c>
      <c r="AA197" s="1014"/>
      <c r="AB197" s="1015"/>
      <c r="AC197" s="1012"/>
      <c r="AD197" s="1013">
        <f t="shared" si="499"/>
        <v>0</v>
      </c>
      <c r="AE197" s="1014"/>
      <c r="AF197" s="1015"/>
      <c r="AG197" s="1012"/>
      <c r="AH197" s="1013">
        <f t="shared" si="500"/>
        <v>0</v>
      </c>
      <c r="AI197" s="1421">
        <f t="shared" si="505"/>
        <v>0</v>
      </c>
      <c r="AJ197" s="1422">
        <f t="shared" si="505"/>
        <v>0</v>
      </c>
      <c r="AK197" s="1422">
        <f t="shared" si="505"/>
        <v>0</v>
      </c>
      <c r="AL197" s="489">
        <f t="shared" si="505"/>
        <v>0</v>
      </c>
      <c r="AM197" s="1014"/>
      <c r="AN197" s="1015"/>
      <c r="AO197" s="1012"/>
      <c r="AP197" s="1013">
        <f t="shared" si="501"/>
        <v>0</v>
      </c>
      <c r="AQ197" s="1014"/>
      <c r="AR197" s="1015"/>
      <c r="AS197" s="1012"/>
      <c r="AT197" s="1013">
        <f t="shared" si="502"/>
        <v>0</v>
      </c>
      <c r="AU197" s="1014"/>
      <c r="AV197" s="1015"/>
      <c r="AW197" s="1012"/>
      <c r="AX197" s="1013">
        <f t="shared" si="503"/>
        <v>0</v>
      </c>
      <c r="AY197" s="818"/>
    </row>
    <row r="198" spans="1:51" s="493" customFormat="1" ht="24" customHeight="1">
      <c r="A198" s="532">
        <f t="shared" si="506"/>
        <v>29</v>
      </c>
      <c r="B198" s="833">
        <v>8</v>
      </c>
      <c r="C198" s="993" t="s">
        <v>699</v>
      </c>
      <c r="D198" s="944" t="s">
        <v>645</v>
      </c>
      <c r="E198" s="995" t="s">
        <v>1225</v>
      </c>
      <c r="F198" s="945" t="s">
        <v>645</v>
      </c>
      <c r="G198" s="1421">
        <f t="shared" si="495"/>
        <v>92641</v>
      </c>
      <c r="H198" s="1422">
        <f t="shared" si="495"/>
        <v>104641</v>
      </c>
      <c r="I198" s="1422">
        <f t="shared" si="495"/>
        <v>0</v>
      </c>
      <c r="J198" s="489">
        <f t="shared" si="495"/>
        <v>104641</v>
      </c>
      <c r="K198" s="1421">
        <f t="shared" si="504"/>
        <v>19141</v>
      </c>
      <c r="L198" s="1422">
        <f t="shared" si="504"/>
        <v>19141</v>
      </c>
      <c r="M198" s="1422">
        <f t="shared" si="504"/>
        <v>0</v>
      </c>
      <c r="N198" s="489">
        <f t="shared" si="504"/>
        <v>19141</v>
      </c>
      <c r="O198" s="1011"/>
      <c r="P198" s="1012"/>
      <c r="Q198" s="1012"/>
      <c r="R198" s="1013">
        <f t="shared" si="496"/>
        <v>0</v>
      </c>
      <c r="S198" s="1014"/>
      <c r="T198" s="1015"/>
      <c r="U198" s="1012"/>
      <c r="V198" s="1013">
        <f t="shared" si="497"/>
        <v>0</v>
      </c>
      <c r="W198" s="1014">
        <v>19141</v>
      </c>
      <c r="X198" s="1015">
        <v>19141</v>
      </c>
      <c r="Y198" s="1012"/>
      <c r="Z198" s="1013">
        <f t="shared" si="498"/>
        <v>19141</v>
      </c>
      <c r="AA198" s="1014"/>
      <c r="AB198" s="1015"/>
      <c r="AC198" s="1012"/>
      <c r="AD198" s="1013">
        <f t="shared" si="499"/>
        <v>0</v>
      </c>
      <c r="AE198" s="1014"/>
      <c r="AF198" s="1015"/>
      <c r="AG198" s="1012"/>
      <c r="AH198" s="1013">
        <f t="shared" si="500"/>
        <v>0</v>
      </c>
      <c r="AI198" s="1421">
        <f t="shared" si="505"/>
        <v>73500</v>
      </c>
      <c r="AJ198" s="1422">
        <f t="shared" si="505"/>
        <v>85500</v>
      </c>
      <c r="AK198" s="1422">
        <f t="shared" si="505"/>
        <v>0</v>
      </c>
      <c r="AL198" s="489">
        <f t="shared" si="505"/>
        <v>85500</v>
      </c>
      <c r="AM198" s="1014">
        <v>73500</v>
      </c>
      <c r="AN198" s="1015">
        <f>73500+(5000+7000)</f>
        <v>85500</v>
      </c>
      <c r="AO198" s="1012"/>
      <c r="AP198" s="1013">
        <f t="shared" si="501"/>
        <v>85500</v>
      </c>
      <c r="AQ198" s="1014"/>
      <c r="AR198" s="1015"/>
      <c r="AS198" s="1012"/>
      <c r="AT198" s="1013">
        <f t="shared" si="502"/>
        <v>0</v>
      </c>
      <c r="AU198" s="1014"/>
      <c r="AV198" s="1015"/>
      <c r="AW198" s="1012"/>
      <c r="AX198" s="1013">
        <f t="shared" si="503"/>
        <v>0</v>
      </c>
      <c r="AY198" s="818"/>
    </row>
    <row r="199" spans="1:51" s="493" customFormat="1" ht="24">
      <c r="A199" s="532">
        <f t="shared" si="506"/>
        <v>30</v>
      </c>
      <c r="B199" s="832">
        <v>7</v>
      </c>
      <c r="C199" s="993" t="s">
        <v>696</v>
      </c>
      <c r="D199" s="944" t="s">
        <v>1258</v>
      </c>
      <c r="E199" s="995" t="s">
        <v>1247</v>
      </c>
      <c r="F199" s="945" t="s">
        <v>1249</v>
      </c>
      <c r="G199" s="1421">
        <f>+K199+AI199</f>
        <v>0</v>
      </c>
      <c r="H199" s="1422">
        <f>+L199+AJ199</f>
        <v>0</v>
      </c>
      <c r="I199" s="1422">
        <f>+M199+AK199</f>
        <v>0</v>
      </c>
      <c r="J199" s="489">
        <f>+N199+AL199</f>
        <v>0</v>
      </c>
      <c r="K199" s="1421">
        <f>+O199+S199+W199+AA199+AE199</f>
        <v>0</v>
      </c>
      <c r="L199" s="1422">
        <f>+P199+T199+X199+AB199+AF199</f>
        <v>0</v>
      </c>
      <c r="M199" s="1422">
        <f>+Q199+U199+Y199+AC199+AG199</f>
        <v>0</v>
      </c>
      <c r="N199" s="489">
        <f>+R199+V199+Z199+AD199+AH199</f>
        <v>0</v>
      </c>
      <c r="O199" s="1011"/>
      <c r="P199" s="1012"/>
      <c r="Q199" s="1012"/>
      <c r="R199" s="1013">
        <f t="shared" si="496"/>
        <v>0</v>
      </c>
      <c r="S199" s="1014"/>
      <c r="T199" s="1015"/>
      <c r="U199" s="1012"/>
      <c r="V199" s="1013">
        <f t="shared" si="497"/>
        <v>0</v>
      </c>
      <c r="W199" s="1014"/>
      <c r="X199" s="1015"/>
      <c r="Y199" s="1012"/>
      <c r="Z199" s="1013">
        <f t="shared" si="498"/>
        <v>0</v>
      </c>
      <c r="AA199" s="1014"/>
      <c r="AB199" s="1015"/>
      <c r="AC199" s="1012"/>
      <c r="AD199" s="1013">
        <f t="shared" si="499"/>
        <v>0</v>
      </c>
      <c r="AE199" s="1014"/>
      <c r="AF199" s="1015"/>
      <c r="AG199" s="1012"/>
      <c r="AH199" s="1013">
        <f t="shared" si="500"/>
        <v>0</v>
      </c>
      <c r="AI199" s="1421">
        <f>+AM199+AQ199+AU199</f>
        <v>0</v>
      </c>
      <c r="AJ199" s="1422">
        <f>+AN199+AR199+AV199</f>
        <v>0</v>
      </c>
      <c r="AK199" s="1422">
        <f>+AO199+AS199+AW199</f>
        <v>0</v>
      </c>
      <c r="AL199" s="489">
        <f>+AP199+AT199+AX199</f>
        <v>0</v>
      </c>
      <c r="AM199" s="1014"/>
      <c r="AN199" s="1015"/>
      <c r="AO199" s="1012"/>
      <c r="AP199" s="1013">
        <f t="shared" si="501"/>
        <v>0</v>
      </c>
      <c r="AQ199" s="1014"/>
      <c r="AR199" s="1015"/>
      <c r="AS199" s="1012"/>
      <c r="AT199" s="1013">
        <f t="shared" si="502"/>
        <v>0</v>
      </c>
      <c r="AU199" s="1014"/>
      <c r="AV199" s="1015"/>
      <c r="AW199" s="1012"/>
      <c r="AX199" s="1013">
        <f t="shared" si="503"/>
        <v>0</v>
      </c>
      <c r="AY199" s="818"/>
    </row>
    <row r="200" spans="1:51" s="493" customFormat="1" ht="12" customHeight="1">
      <c r="A200" s="532">
        <f t="shared" si="506"/>
        <v>31</v>
      </c>
      <c r="B200" s="832">
        <v>7</v>
      </c>
      <c r="C200" s="993" t="s">
        <v>696</v>
      </c>
      <c r="D200" s="944" t="s">
        <v>1258</v>
      </c>
      <c r="E200" s="995" t="s">
        <v>1247</v>
      </c>
      <c r="F200" s="945" t="s">
        <v>1250</v>
      </c>
      <c r="G200" s="1421">
        <f t="shared" si="495"/>
        <v>0</v>
      </c>
      <c r="H200" s="1422">
        <f t="shared" si="495"/>
        <v>0</v>
      </c>
      <c r="I200" s="1422">
        <f t="shared" si="495"/>
        <v>0</v>
      </c>
      <c r="J200" s="489">
        <f t="shared" si="495"/>
        <v>0</v>
      </c>
      <c r="K200" s="1421">
        <f t="shared" si="504"/>
        <v>0</v>
      </c>
      <c r="L200" s="1422">
        <f t="shared" si="504"/>
        <v>0</v>
      </c>
      <c r="M200" s="1422">
        <f t="shared" si="504"/>
        <v>0</v>
      </c>
      <c r="N200" s="489">
        <f t="shared" si="504"/>
        <v>0</v>
      </c>
      <c r="O200" s="1011"/>
      <c r="P200" s="1012"/>
      <c r="Q200" s="1012"/>
      <c r="R200" s="1013">
        <f t="shared" si="496"/>
        <v>0</v>
      </c>
      <c r="S200" s="1014"/>
      <c r="T200" s="1015"/>
      <c r="U200" s="1012"/>
      <c r="V200" s="1013">
        <f t="shared" si="497"/>
        <v>0</v>
      </c>
      <c r="W200" s="1014"/>
      <c r="X200" s="1015"/>
      <c r="Y200" s="1012"/>
      <c r="Z200" s="1013">
        <f t="shared" si="498"/>
        <v>0</v>
      </c>
      <c r="AA200" s="1014"/>
      <c r="AB200" s="1015"/>
      <c r="AC200" s="1012"/>
      <c r="AD200" s="1013">
        <f t="shared" si="499"/>
        <v>0</v>
      </c>
      <c r="AE200" s="1014"/>
      <c r="AF200" s="1015"/>
      <c r="AG200" s="1012"/>
      <c r="AH200" s="1013">
        <f t="shared" si="500"/>
        <v>0</v>
      </c>
      <c r="AI200" s="1421">
        <f t="shared" si="505"/>
        <v>0</v>
      </c>
      <c r="AJ200" s="1422">
        <f t="shared" si="505"/>
        <v>0</v>
      </c>
      <c r="AK200" s="1422">
        <f t="shared" si="505"/>
        <v>0</v>
      </c>
      <c r="AL200" s="489">
        <f t="shared" si="505"/>
        <v>0</v>
      </c>
      <c r="AM200" s="1014"/>
      <c r="AN200" s="1015"/>
      <c r="AO200" s="1012"/>
      <c r="AP200" s="1013">
        <f t="shared" si="501"/>
        <v>0</v>
      </c>
      <c r="AQ200" s="1014"/>
      <c r="AR200" s="1015"/>
      <c r="AS200" s="1012"/>
      <c r="AT200" s="1013">
        <f t="shared" si="502"/>
        <v>0</v>
      </c>
      <c r="AU200" s="1014"/>
      <c r="AV200" s="1015"/>
      <c r="AW200" s="1012"/>
      <c r="AX200" s="1013">
        <f t="shared" si="503"/>
        <v>0</v>
      </c>
      <c r="AY200" s="818"/>
    </row>
    <row r="201" spans="1:51" s="493" customFormat="1" ht="12" customHeight="1">
      <c r="A201" s="532">
        <f t="shared" si="506"/>
        <v>32</v>
      </c>
      <c r="B201" s="832">
        <v>7</v>
      </c>
      <c r="C201" s="993" t="s">
        <v>696</v>
      </c>
      <c r="D201" s="944" t="s">
        <v>1258</v>
      </c>
      <c r="E201" s="995" t="s">
        <v>1247</v>
      </c>
      <c r="F201" s="945" t="s">
        <v>1251</v>
      </c>
      <c r="G201" s="1421">
        <f t="shared" si="495"/>
        <v>0</v>
      </c>
      <c r="H201" s="1422">
        <f t="shared" si="495"/>
        <v>0</v>
      </c>
      <c r="I201" s="1422">
        <f t="shared" si="495"/>
        <v>0</v>
      </c>
      <c r="J201" s="489">
        <f t="shared" si="495"/>
        <v>0</v>
      </c>
      <c r="K201" s="1421">
        <f t="shared" si="504"/>
        <v>0</v>
      </c>
      <c r="L201" s="1422">
        <f t="shared" si="504"/>
        <v>0</v>
      </c>
      <c r="M201" s="1422">
        <f t="shared" si="504"/>
        <v>0</v>
      </c>
      <c r="N201" s="489">
        <f t="shared" si="504"/>
        <v>0</v>
      </c>
      <c r="O201" s="1011"/>
      <c r="P201" s="1012"/>
      <c r="Q201" s="1012"/>
      <c r="R201" s="1013">
        <f t="shared" si="496"/>
        <v>0</v>
      </c>
      <c r="S201" s="1014"/>
      <c r="T201" s="1015"/>
      <c r="U201" s="1012"/>
      <c r="V201" s="1013">
        <f t="shared" si="497"/>
        <v>0</v>
      </c>
      <c r="W201" s="1014"/>
      <c r="X201" s="1015"/>
      <c r="Y201" s="1012"/>
      <c r="Z201" s="1013">
        <f t="shared" si="498"/>
        <v>0</v>
      </c>
      <c r="AA201" s="1014"/>
      <c r="AB201" s="1015"/>
      <c r="AC201" s="1012"/>
      <c r="AD201" s="1013">
        <f t="shared" si="499"/>
        <v>0</v>
      </c>
      <c r="AE201" s="1014"/>
      <c r="AF201" s="1015"/>
      <c r="AG201" s="1012"/>
      <c r="AH201" s="1013">
        <f t="shared" si="500"/>
        <v>0</v>
      </c>
      <c r="AI201" s="1421">
        <f t="shared" si="505"/>
        <v>0</v>
      </c>
      <c r="AJ201" s="1422">
        <f t="shared" si="505"/>
        <v>0</v>
      </c>
      <c r="AK201" s="1422">
        <f t="shared" si="505"/>
        <v>0</v>
      </c>
      <c r="AL201" s="489">
        <f t="shared" si="505"/>
        <v>0</v>
      </c>
      <c r="AM201" s="1014"/>
      <c r="AN201" s="1015"/>
      <c r="AO201" s="1012"/>
      <c r="AP201" s="1013">
        <f t="shared" si="501"/>
        <v>0</v>
      </c>
      <c r="AQ201" s="1014"/>
      <c r="AR201" s="1015"/>
      <c r="AS201" s="1012"/>
      <c r="AT201" s="1013">
        <f t="shared" si="502"/>
        <v>0</v>
      </c>
      <c r="AU201" s="1014"/>
      <c r="AV201" s="1015"/>
      <c r="AW201" s="1012"/>
      <c r="AX201" s="1013">
        <f t="shared" si="503"/>
        <v>0</v>
      </c>
      <c r="AY201" s="818"/>
    </row>
    <row r="202" spans="1:51" s="493" customFormat="1" ht="12" customHeight="1">
      <c r="A202" s="532">
        <f t="shared" si="506"/>
        <v>33</v>
      </c>
      <c r="B202" s="832">
        <v>7</v>
      </c>
      <c r="C202" s="993" t="s">
        <v>1254</v>
      </c>
      <c r="D202" s="944" t="s">
        <v>1252</v>
      </c>
      <c r="E202" s="995" t="s">
        <v>1225</v>
      </c>
      <c r="F202" s="945" t="s">
        <v>1253</v>
      </c>
      <c r="G202" s="1421">
        <f t="shared" si="495"/>
        <v>0</v>
      </c>
      <c r="H202" s="1422">
        <f t="shared" si="495"/>
        <v>0</v>
      </c>
      <c r="I202" s="1422">
        <f t="shared" si="495"/>
        <v>0</v>
      </c>
      <c r="J202" s="489">
        <f t="shared" si="495"/>
        <v>0</v>
      </c>
      <c r="K202" s="1421">
        <f t="shared" si="504"/>
        <v>0</v>
      </c>
      <c r="L202" s="1422">
        <f t="shared" si="504"/>
        <v>0</v>
      </c>
      <c r="M202" s="1422">
        <f t="shared" si="504"/>
        <v>0</v>
      </c>
      <c r="N202" s="489">
        <f t="shared" si="504"/>
        <v>0</v>
      </c>
      <c r="O202" s="1011"/>
      <c r="P202" s="1012"/>
      <c r="Q202" s="1012"/>
      <c r="R202" s="1013">
        <f t="shared" si="496"/>
        <v>0</v>
      </c>
      <c r="S202" s="1014"/>
      <c r="T202" s="1015"/>
      <c r="U202" s="1012"/>
      <c r="V202" s="1013">
        <f t="shared" si="497"/>
        <v>0</v>
      </c>
      <c r="W202" s="1014"/>
      <c r="X202" s="1015"/>
      <c r="Y202" s="1012"/>
      <c r="Z202" s="1013">
        <f t="shared" si="498"/>
        <v>0</v>
      </c>
      <c r="AA202" s="1014"/>
      <c r="AB202" s="1015"/>
      <c r="AC202" s="1012"/>
      <c r="AD202" s="1013">
        <f t="shared" si="499"/>
        <v>0</v>
      </c>
      <c r="AE202" s="1014"/>
      <c r="AF202" s="1015"/>
      <c r="AG202" s="1012"/>
      <c r="AH202" s="1013">
        <f t="shared" si="500"/>
        <v>0</v>
      </c>
      <c r="AI202" s="1421">
        <f t="shared" si="505"/>
        <v>0</v>
      </c>
      <c r="AJ202" s="1422">
        <f t="shared" si="505"/>
        <v>0</v>
      </c>
      <c r="AK202" s="1422">
        <f t="shared" si="505"/>
        <v>0</v>
      </c>
      <c r="AL202" s="489">
        <f t="shared" si="505"/>
        <v>0</v>
      </c>
      <c r="AM202" s="1014"/>
      <c r="AN202" s="1015"/>
      <c r="AO202" s="1012"/>
      <c r="AP202" s="1013">
        <f t="shared" si="501"/>
        <v>0</v>
      </c>
      <c r="AQ202" s="1014"/>
      <c r="AR202" s="1015"/>
      <c r="AS202" s="1012"/>
      <c r="AT202" s="1013">
        <f t="shared" si="502"/>
        <v>0</v>
      </c>
      <c r="AU202" s="1014"/>
      <c r="AV202" s="1015"/>
      <c r="AW202" s="1012"/>
      <c r="AX202" s="1013">
        <f t="shared" si="503"/>
        <v>0</v>
      </c>
      <c r="AY202" s="818"/>
    </row>
    <row r="203" spans="1:51" s="493" customFormat="1" ht="12" customHeight="1">
      <c r="A203" s="532">
        <f t="shared" si="506"/>
        <v>34</v>
      </c>
      <c r="B203" s="832">
        <v>7</v>
      </c>
      <c r="C203" s="993" t="s">
        <v>1076</v>
      </c>
      <c r="D203" s="944" t="s">
        <v>1257</v>
      </c>
      <c r="E203" s="995" t="s">
        <v>1225</v>
      </c>
      <c r="F203" s="945" t="s">
        <v>1256</v>
      </c>
      <c r="G203" s="1421">
        <f>+K203+AI203</f>
        <v>0</v>
      </c>
      <c r="H203" s="1422">
        <f>+L203+AJ203</f>
        <v>0</v>
      </c>
      <c r="I203" s="1422">
        <f>+M203+AK203</f>
        <v>0</v>
      </c>
      <c r="J203" s="489">
        <f>+N203+AL203</f>
        <v>0</v>
      </c>
      <c r="K203" s="1421">
        <f>+O203+S203+W203+AA203+AE203</f>
        <v>0</v>
      </c>
      <c r="L203" s="1422">
        <f>+P203+T203+X203+AB203+AF203</f>
        <v>0</v>
      </c>
      <c r="M203" s="1422">
        <f>+Q203+U203+Y203+AC203+AG203</f>
        <v>0</v>
      </c>
      <c r="N203" s="489">
        <f>+R203+V203+Z203+AD203+AH203</f>
        <v>0</v>
      </c>
      <c r="O203" s="1011"/>
      <c r="P203" s="1012"/>
      <c r="Q203" s="1012"/>
      <c r="R203" s="1013">
        <f t="shared" si="496"/>
        <v>0</v>
      </c>
      <c r="S203" s="1014"/>
      <c r="T203" s="1015"/>
      <c r="U203" s="1012"/>
      <c r="V203" s="1013">
        <f t="shared" si="497"/>
        <v>0</v>
      </c>
      <c r="W203" s="1014"/>
      <c r="X203" s="1015"/>
      <c r="Y203" s="1012"/>
      <c r="Z203" s="1013">
        <f t="shared" si="498"/>
        <v>0</v>
      </c>
      <c r="AA203" s="1014"/>
      <c r="AB203" s="1015"/>
      <c r="AC203" s="1012"/>
      <c r="AD203" s="1013">
        <f t="shared" si="499"/>
        <v>0</v>
      </c>
      <c r="AE203" s="1014"/>
      <c r="AF203" s="1015"/>
      <c r="AG203" s="1012"/>
      <c r="AH203" s="1013">
        <f t="shared" si="500"/>
        <v>0</v>
      </c>
      <c r="AI203" s="1421">
        <f>+AM203+AQ203+AU203</f>
        <v>0</v>
      </c>
      <c r="AJ203" s="1422">
        <f>+AN203+AR203+AV203</f>
        <v>0</v>
      </c>
      <c r="AK203" s="1422">
        <f>+AO203+AS203+AW203</f>
        <v>0</v>
      </c>
      <c r="AL203" s="489">
        <f>+AP203+AT203+AX203</f>
        <v>0</v>
      </c>
      <c r="AM203" s="1014"/>
      <c r="AN203" s="1015"/>
      <c r="AO203" s="1012"/>
      <c r="AP203" s="1013">
        <f t="shared" si="501"/>
        <v>0</v>
      </c>
      <c r="AQ203" s="1014"/>
      <c r="AR203" s="1015"/>
      <c r="AS203" s="1012"/>
      <c r="AT203" s="1013">
        <f t="shared" si="502"/>
        <v>0</v>
      </c>
      <c r="AU203" s="1014"/>
      <c r="AV203" s="1015"/>
      <c r="AW203" s="1012"/>
      <c r="AX203" s="1013">
        <f t="shared" si="503"/>
        <v>0</v>
      </c>
      <c r="AY203" s="818"/>
    </row>
    <row r="204" spans="1:51" s="493" customFormat="1" ht="12" customHeight="1">
      <c r="A204" s="532">
        <f t="shared" si="506"/>
        <v>35</v>
      </c>
      <c r="B204" s="832">
        <v>7</v>
      </c>
      <c r="C204" s="993" t="s">
        <v>1259</v>
      </c>
      <c r="D204" s="944" t="s">
        <v>1260</v>
      </c>
      <c r="E204" s="995" t="s">
        <v>1225</v>
      </c>
      <c r="F204" s="945" t="s">
        <v>1261</v>
      </c>
      <c r="G204" s="1421">
        <f t="shared" si="495"/>
        <v>0</v>
      </c>
      <c r="H204" s="1422">
        <f t="shared" si="495"/>
        <v>0</v>
      </c>
      <c r="I204" s="1422">
        <f t="shared" si="495"/>
        <v>0</v>
      </c>
      <c r="J204" s="489">
        <f t="shared" si="495"/>
        <v>0</v>
      </c>
      <c r="K204" s="1421">
        <f t="shared" si="504"/>
        <v>0</v>
      </c>
      <c r="L204" s="1422">
        <f t="shared" si="504"/>
        <v>0</v>
      </c>
      <c r="M204" s="1422">
        <f t="shared" si="504"/>
        <v>0</v>
      </c>
      <c r="N204" s="489">
        <f t="shared" si="504"/>
        <v>0</v>
      </c>
      <c r="O204" s="1011"/>
      <c r="P204" s="1012"/>
      <c r="Q204" s="1012"/>
      <c r="R204" s="1013">
        <f t="shared" si="496"/>
        <v>0</v>
      </c>
      <c r="S204" s="1014"/>
      <c r="T204" s="1015"/>
      <c r="U204" s="1012"/>
      <c r="V204" s="1013">
        <f t="shared" si="497"/>
        <v>0</v>
      </c>
      <c r="W204" s="1014"/>
      <c r="X204" s="1015"/>
      <c r="Y204" s="1012"/>
      <c r="Z204" s="1013">
        <f t="shared" si="498"/>
        <v>0</v>
      </c>
      <c r="AA204" s="1014"/>
      <c r="AB204" s="1015"/>
      <c r="AC204" s="1012"/>
      <c r="AD204" s="1013">
        <f t="shared" si="499"/>
        <v>0</v>
      </c>
      <c r="AE204" s="1014"/>
      <c r="AF204" s="1015"/>
      <c r="AG204" s="1012"/>
      <c r="AH204" s="1013">
        <f t="shared" si="500"/>
        <v>0</v>
      </c>
      <c r="AI204" s="1421">
        <f t="shared" si="505"/>
        <v>0</v>
      </c>
      <c r="AJ204" s="1422">
        <f t="shared" si="505"/>
        <v>0</v>
      </c>
      <c r="AK204" s="1422">
        <f t="shared" si="505"/>
        <v>0</v>
      </c>
      <c r="AL204" s="489">
        <f t="shared" si="505"/>
        <v>0</v>
      </c>
      <c r="AM204" s="1014"/>
      <c r="AN204" s="1015"/>
      <c r="AO204" s="1012"/>
      <c r="AP204" s="1013">
        <f t="shared" si="501"/>
        <v>0</v>
      </c>
      <c r="AQ204" s="1014"/>
      <c r="AR204" s="1015"/>
      <c r="AS204" s="1012"/>
      <c r="AT204" s="1013">
        <f t="shared" si="502"/>
        <v>0</v>
      </c>
      <c r="AU204" s="1014"/>
      <c r="AV204" s="1015"/>
      <c r="AW204" s="1012"/>
      <c r="AX204" s="1013">
        <f t="shared" si="503"/>
        <v>0</v>
      </c>
      <c r="AY204" s="818"/>
    </row>
    <row r="205" spans="1:51" s="493" customFormat="1" ht="12" customHeight="1">
      <c r="A205" s="532">
        <f t="shared" si="506"/>
        <v>36</v>
      </c>
      <c r="B205" s="832">
        <v>7</v>
      </c>
      <c r="C205" s="993" t="s">
        <v>704</v>
      </c>
      <c r="D205" s="944" t="s">
        <v>1263</v>
      </c>
      <c r="E205" s="995" t="s">
        <v>1228</v>
      </c>
      <c r="F205" s="945" t="s">
        <v>1262</v>
      </c>
      <c r="G205" s="1421">
        <f>+K205+AI205</f>
        <v>0</v>
      </c>
      <c r="H205" s="1422">
        <f>+L205+AJ205</f>
        <v>0</v>
      </c>
      <c r="I205" s="1422">
        <f>+M205+AK205</f>
        <v>0</v>
      </c>
      <c r="J205" s="489">
        <f>+N205+AL205</f>
        <v>0</v>
      </c>
      <c r="K205" s="1421">
        <f>+O205+S205+W205+AA205+AE205</f>
        <v>0</v>
      </c>
      <c r="L205" s="1422">
        <f>+P205+T205+X205+AB205+AF205</f>
        <v>0</v>
      </c>
      <c r="M205" s="1422">
        <f>+Q205+U205+Y205+AC205+AG205</f>
        <v>0</v>
      </c>
      <c r="N205" s="489">
        <f>+R205+V205+Z205+AD205+AH205</f>
        <v>0</v>
      </c>
      <c r="O205" s="1011"/>
      <c r="P205" s="1012"/>
      <c r="Q205" s="1012"/>
      <c r="R205" s="1013">
        <f t="shared" si="496"/>
        <v>0</v>
      </c>
      <c r="S205" s="1014"/>
      <c r="T205" s="1015"/>
      <c r="U205" s="1012"/>
      <c r="V205" s="1013">
        <f t="shared" si="497"/>
        <v>0</v>
      </c>
      <c r="W205" s="1014"/>
      <c r="X205" s="1015"/>
      <c r="Y205" s="1012"/>
      <c r="Z205" s="1013">
        <f t="shared" si="498"/>
        <v>0</v>
      </c>
      <c r="AA205" s="1014"/>
      <c r="AB205" s="1015"/>
      <c r="AC205" s="1012"/>
      <c r="AD205" s="1013">
        <f t="shared" si="499"/>
        <v>0</v>
      </c>
      <c r="AE205" s="1014"/>
      <c r="AF205" s="1015"/>
      <c r="AG205" s="1012"/>
      <c r="AH205" s="1013">
        <f t="shared" si="500"/>
        <v>0</v>
      </c>
      <c r="AI205" s="1421">
        <f>+AM205+AQ205+AU205</f>
        <v>0</v>
      </c>
      <c r="AJ205" s="1422">
        <f>+AN205+AR205+AV205</f>
        <v>0</v>
      </c>
      <c r="AK205" s="1422">
        <f>+AO205+AS205+AW205</f>
        <v>0</v>
      </c>
      <c r="AL205" s="489">
        <f>+AP205+AT205+AX205</f>
        <v>0</v>
      </c>
      <c r="AM205" s="1014"/>
      <c r="AN205" s="1015"/>
      <c r="AO205" s="1012"/>
      <c r="AP205" s="1013">
        <f t="shared" si="501"/>
        <v>0</v>
      </c>
      <c r="AQ205" s="1014"/>
      <c r="AR205" s="1015"/>
      <c r="AS205" s="1012"/>
      <c r="AT205" s="1013">
        <f t="shared" si="502"/>
        <v>0</v>
      </c>
      <c r="AU205" s="1014"/>
      <c r="AV205" s="1015"/>
      <c r="AW205" s="1012"/>
      <c r="AX205" s="1013">
        <f t="shared" si="503"/>
        <v>0</v>
      </c>
      <c r="AY205" s="818"/>
    </row>
    <row r="206" spans="1:51" s="493" customFormat="1">
      <c r="A206" s="532">
        <f t="shared" si="506"/>
        <v>37</v>
      </c>
      <c r="B206" s="832">
        <v>7</v>
      </c>
      <c r="C206" s="996" t="s">
        <v>1264</v>
      </c>
      <c r="D206" s="940" t="s">
        <v>1266</v>
      </c>
      <c r="E206" s="995" t="s">
        <v>1225</v>
      </c>
      <c r="F206" s="943" t="s">
        <v>1265</v>
      </c>
      <c r="G206" s="1421">
        <f t="shared" si="495"/>
        <v>0</v>
      </c>
      <c r="H206" s="1422">
        <f t="shared" si="495"/>
        <v>0</v>
      </c>
      <c r="I206" s="1422">
        <f t="shared" si="495"/>
        <v>0</v>
      </c>
      <c r="J206" s="489">
        <f t="shared" si="495"/>
        <v>0</v>
      </c>
      <c r="K206" s="1421">
        <f t="shared" si="504"/>
        <v>0</v>
      </c>
      <c r="L206" s="1422">
        <f t="shared" si="504"/>
        <v>0</v>
      </c>
      <c r="M206" s="1422">
        <f t="shared" si="504"/>
        <v>0</v>
      </c>
      <c r="N206" s="489">
        <f t="shared" si="504"/>
        <v>0</v>
      </c>
      <c r="O206" s="1011"/>
      <c r="P206" s="1012"/>
      <c r="Q206" s="1012"/>
      <c r="R206" s="1013">
        <f t="shared" si="496"/>
        <v>0</v>
      </c>
      <c r="S206" s="1014"/>
      <c r="T206" s="1015"/>
      <c r="U206" s="1012"/>
      <c r="V206" s="1013">
        <f t="shared" si="497"/>
        <v>0</v>
      </c>
      <c r="W206" s="1014"/>
      <c r="X206" s="1015"/>
      <c r="Y206" s="1012"/>
      <c r="Z206" s="1013">
        <f t="shared" si="498"/>
        <v>0</v>
      </c>
      <c r="AA206" s="1014"/>
      <c r="AB206" s="1015"/>
      <c r="AC206" s="1012"/>
      <c r="AD206" s="1013">
        <f t="shared" si="499"/>
        <v>0</v>
      </c>
      <c r="AE206" s="1014"/>
      <c r="AF206" s="1015"/>
      <c r="AG206" s="1012"/>
      <c r="AH206" s="1013">
        <f t="shared" si="500"/>
        <v>0</v>
      </c>
      <c r="AI206" s="1421">
        <f t="shared" si="505"/>
        <v>0</v>
      </c>
      <c r="AJ206" s="1422">
        <f t="shared" si="505"/>
        <v>0</v>
      </c>
      <c r="AK206" s="1422">
        <f t="shared" si="505"/>
        <v>0</v>
      </c>
      <c r="AL206" s="489">
        <f t="shared" si="505"/>
        <v>0</v>
      </c>
      <c r="AM206" s="1014"/>
      <c r="AN206" s="1015"/>
      <c r="AO206" s="1012"/>
      <c r="AP206" s="1013">
        <f t="shared" si="501"/>
        <v>0</v>
      </c>
      <c r="AQ206" s="1014"/>
      <c r="AR206" s="1015"/>
      <c r="AS206" s="1012"/>
      <c r="AT206" s="1013">
        <f t="shared" si="502"/>
        <v>0</v>
      </c>
      <c r="AU206" s="1014"/>
      <c r="AV206" s="1015"/>
      <c r="AW206" s="1012"/>
      <c r="AX206" s="1013">
        <f t="shared" si="503"/>
        <v>0</v>
      </c>
      <c r="AY206" s="818"/>
    </row>
    <row r="207" spans="1:51" s="493" customFormat="1">
      <c r="A207" s="532">
        <f t="shared" si="506"/>
        <v>38</v>
      </c>
      <c r="B207" s="832">
        <v>7</v>
      </c>
      <c r="C207" s="996" t="s">
        <v>704</v>
      </c>
      <c r="D207" s="940" t="s">
        <v>1268</v>
      </c>
      <c r="E207" s="995" t="s">
        <v>1228</v>
      </c>
      <c r="F207" s="943" t="s">
        <v>1267</v>
      </c>
      <c r="G207" s="1421">
        <f>+K207+AI207</f>
        <v>0</v>
      </c>
      <c r="H207" s="1422">
        <f>+L207+AJ207</f>
        <v>0</v>
      </c>
      <c r="I207" s="1422">
        <f>+M207+AK207</f>
        <v>0</v>
      </c>
      <c r="J207" s="489">
        <f>+N207+AL207</f>
        <v>0</v>
      </c>
      <c r="K207" s="1421">
        <f>+O207+S207+W207+AA207+AE207</f>
        <v>0</v>
      </c>
      <c r="L207" s="1422">
        <f>+P207+T207+X207+AB207+AF207</f>
        <v>0</v>
      </c>
      <c r="M207" s="1422">
        <f>+Q207+U207+Y207+AC207+AG207</f>
        <v>0</v>
      </c>
      <c r="N207" s="489">
        <f>+R207+V207+Z207+AD207+AH207</f>
        <v>0</v>
      </c>
      <c r="O207" s="1011"/>
      <c r="P207" s="1012"/>
      <c r="Q207" s="1012"/>
      <c r="R207" s="1013">
        <f t="shared" si="496"/>
        <v>0</v>
      </c>
      <c r="S207" s="1014"/>
      <c r="T207" s="1015"/>
      <c r="U207" s="1012"/>
      <c r="V207" s="1013">
        <f t="shared" si="497"/>
        <v>0</v>
      </c>
      <c r="W207" s="1014"/>
      <c r="X207" s="1015"/>
      <c r="Y207" s="1012"/>
      <c r="Z207" s="1013">
        <f t="shared" si="498"/>
        <v>0</v>
      </c>
      <c r="AA207" s="1014"/>
      <c r="AB207" s="1015"/>
      <c r="AC207" s="1012"/>
      <c r="AD207" s="1013">
        <f t="shared" si="499"/>
        <v>0</v>
      </c>
      <c r="AE207" s="1014"/>
      <c r="AF207" s="1015"/>
      <c r="AG207" s="1012"/>
      <c r="AH207" s="1013">
        <f t="shared" si="500"/>
        <v>0</v>
      </c>
      <c r="AI207" s="1421">
        <f>+AM207+AQ207+AU207</f>
        <v>0</v>
      </c>
      <c r="AJ207" s="1422">
        <f>+AN207+AR207+AV207</f>
        <v>0</v>
      </c>
      <c r="AK207" s="1422">
        <f>+AO207+AS207+AW207</f>
        <v>0</v>
      </c>
      <c r="AL207" s="489">
        <f>+AP207+AT207+AX207</f>
        <v>0</v>
      </c>
      <c r="AM207" s="1014"/>
      <c r="AN207" s="1015"/>
      <c r="AO207" s="1012"/>
      <c r="AP207" s="1013">
        <f t="shared" si="501"/>
        <v>0</v>
      </c>
      <c r="AQ207" s="1014"/>
      <c r="AR207" s="1015"/>
      <c r="AS207" s="1012"/>
      <c r="AT207" s="1013">
        <f t="shared" si="502"/>
        <v>0</v>
      </c>
      <c r="AU207" s="1014"/>
      <c r="AV207" s="1015"/>
      <c r="AW207" s="1012"/>
      <c r="AX207" s="1013">
        <f t="shared" si="503"/>
        <v>0</v>
      </c>
      <c r="AY207" s="818"/>
    </row>
    <row r="208" spans="1:51" s="493" customFormat="1">
      <c r="A208" s="532">
        <f t="shared" si="506"/>
        <v>39</v>
      </c>
      <c r="B208" s="832">
        <v>7</v>
      </c>
      <c r="C208" s="996" t="s">
        <v>1023</v>
      </c>
      <c r="D208" s="940" t="s">
        <v>1269</v>
      </c>
      <c r="E208" s="995" t="s">
        <v>1245</v>
      </c>
      <c r="F208" s="943" t="s">
        <v>1270</v>
      </c>
      <c r="G208" s="1421">
        <f t="shared" si="495"/>
        <v>0</v>
      </c>
      <c r="H208" s="1422">
        <f t="shared" si="495"/>
        <v>0</v>
      </c>
      <c r="I208" s="1422">
        <f t="shared" si="495"/>
        <v>0</v>
      </c>
      <c r="J208" s="489">
        <f t="shared" si="495"/>
        <v>0</v>
      </c>
      <c r="K208" s="1421">
        <f t="shared" si="504"/>
        <v>0</v>
      </c>
      <c r="L208" s="1422">
        <f t="shared" si="504"/>
        <v>0</v>
      </c>
      <c r="M208" s="1422">
        <f t="shared" si="504"/>
        <v>0</v>
      </c>
      <c r="N208" s="489">
        <f t="shared" si="504"/>
        <v>0</v>
      </c>
      <c r="O208" s="1011"/>
      <c r="P208" s="1012"/>
      <c r="Q208" s="1012"/>
      <c r="R208" s="1013">
        <f t="shared" si="496"/>
        <v>0</v>
      </c>
      <c r="S208" s="1014"/>
      <c r="T208" s="1015"/>
      <c r="U208" s="1012"/>
      <c r="V208" s="1013">
        <f t="shared" si="497"/>
        <v>0</v>
      </c>
      <c r="W208" s="1014"/>
      <c r="X208" s="1015"/>
      <c r="Y208" s="1012"/>
      <c r="Z208" s="1013">
        <f t="shared" si="498"/>
        <v>0</v>
      </c>
      <c r="AA208" s="1014"/>
      <c r="AB208" s="1015"/>
      <c r="AC208" s="1012"/>
      <c r="AD208" s="1013">
        <f t="shared" si="499"/>
        <v>0</v>
      </c>
      <c r="AE208" s="1014"/>
      <c r="AF208" s="1015"/>
      <c r="AG208" s="1012"/>
      <c r="AH208" s="1013">
        <f t="shared" si="500"/>
        <v>0</v>
      </c>
      <c r="AI208" s="1421">
        <f t="shared" si="505"/>
        <v>0</v>
      </c>
      <c r="AJ208" s="1422">
        <f t="shared" si="505"/>
        <v>0</v>
      </c>
      <c r="AK208" s="1422">
        <f t="shared" si="505"/>
        <v>0</v>
      </c>
      <c r="AL208" s="489">
        <f t="shared" si="505"/>
        <v>0</v>
      </c>
      <c r="AM208" s="1014"/>
      <c r="AN208" s="1015"/>
      <c r="AO208" s="1012"/>
      <c r="AP208" s="1013">
        <f t="shared" si="501"/>
        <v>0</v>
      </c>
      <c r="AQ208" s="1014"/>
      <c r="AR208" s="1015"/>
      <c r="AS208" s="1012"/>
      <c r="AT208" s="1013">
        <f t="shared" si="502"/>
        <v>0</v>
      </c>
      <c r="AU208" s="1014"/>
      <c r="AV208" s="1015"/>
      <c r="AW208" s="1012"/>
      <c r="AX208" s="1013">
        <f t="shared" si="503"/>
        <v>0</v>
      </c>
      <c r="AY208" s="818"/>
    </row>
    <row r="209" spans="1:51" s="493" customFormat="1">
      <c r="A209" s="532">
        <f t="shared" si="506"/>
        <v>40</v>
      </c>
      <c r="B209" s="832">
        <v>7</v>
      </c>
      <c r="C209" s="996" t="s">
        <v>699</v>
      </c>
      <c r="D209" s="940" t="s">
        <v>1172</v>
      </c>
      <c r="E209" s="999" t="s">
        <v>1225</v>
      </c>
      <c r="F209" s="943" t="s">
        <v>1173</v>
      </c>
      <c r="G209" s="1421">
        <f>+K209+AI209</f>
        <v>0</v>
      </c>
      <c r="H209" s="1422">
        <f>+L209+AJ209</f>
        <v>0</v>
      </c>
      <c r="I209" s="1422">
        <f>+M209+AK209</f>
        <v>0</v>
      </c>
      <c r="J209" s="489">
        <f>+N209+AL209</f>
        <v>0</v>
      </c>
      <c r="K209" s="1421">
        <f>+O209+S209+W209+AA209+AE209</f>
        <v>0</v>
      </c>
      <c r="L209" s="1422">
        <f>+P209+T209+X209+AB209+AF209</f>
        <v>0</v>
      </c>
      <c r="M209" s="1422">
        <f>+Q209+U209+Y209+AC209+AG209</f>
        <v>0</v>
      </c>
      <c r="N209" s="489">
        <f>+R209+V209+Z209+AD209+AH209</f>
        <v>0</v>
      </c>
      <c r="O209" s="1011"/>
      <c r="P209" s="1012"/>
      <c r="Q209" s="1012"/>
      <c r="R209" s="1013">
        <f t="shared" si="496"/>
        <v>0</v>
      </c>
      <c r="S209" s="1014"/>
      <c r="T209" s="1015"/>
      <c r="U209" s="1012"/>
      <c r="V209" s="1013">
        <f t="shared" si="497"/>
        <v>0</v>
      </c>
      <c r="W209" s="1014"/>
      <c r="X209" s="1015"/>
      <c r="Y209" s="1012"/>
      <c r="Z209" s="1013">
        <f t="shared" si="498"/>
        <v>0</v>
      </c>
      <c r="AA209" s="1014"/>
      <c r="AB209" s="1015"/>
      <c r="AC209" s="1012"/>
      <c r="AD209" s="1013">
        <f t="shared" si="499"/>
        <v>0</v>
      </c>
      <c r="AE209" s="1014"/>
      <c r="AF209" s="1015"/>
      <c r="AG209" s="1012"/>
      <c r="AH209" s="1013">
        <f t="shared" si="500"/>
        <v>0</v>
      </c>
      <c r="AI209" s="1421">
        <f>+AM209+AQ209+AU209</f>
        <v>0</v>
      </c>
      <c r="AJ209" s="1422">
        <f>+AN209+AR209+AV209</f>
        <v>0</v>
      </c>
      <c r="AK209" s="1422">
        <f>+AO209+AS209+AW209</f>
        <v>0</v>
      </c>
      <c r="AL209" s="489">
        <f>+AP209+AT209+AX209</f>
        <v>0</v>
      </c>
      <c r="AM209" s="1014"/>
      <c r="AN209" s="1015"/>
      <c r="AO209" s="1012"/>
      <c r="AP209" s="1013">
        <f t="shared" si="501"/>
        <v>0</v>
      </c>
      <c r="AQ209" s="1014"/>
      <c r="AR209" s="1015"/>
      <c r="AS209" s="1012"/>
      <c r="AT209" s="1013">
        <f t="shared" si="502"/>
        <v>0</v>
      </c>
      <c r="AU209" s="1014"/>
      <c r="AV209" s="1015"/>
      <c r="AW209" s="1012"/>
      <c r="AX209" s="1013">
        <f t="shared" si="503"/>
        <v>0</v>
      </c>
      <c r="AY209" s="818"/>
    </row>
    <row r="210" spans="1:51" s="493" customFormat="1">
      <c r="A210" s="532">
        <f t="shared" si="506"/>
        <v>41</v>
      </c>
      <c r="B210" s="832">
        <v>8</v>
      </c>
      <c r="C210" s="996" t="s">
        <v>1008</v>
      </c>
      <c r="D210" s="940" t="s">
        <v>1009</v>
      </c>
      <c r="E210" s="995" t="s">
        <v>1225</v>
      </c>
      <c r="F210" s="943" t="s">
        <v>1010</v>
      </c>
      <c r="G210" s="1421">
        <f t="shared" si="495"/>
        <v>10000</v>
      </c>
      <c r="H210" s="1422">
        <f t="shared" si="495"/>
        <v>10000</v>
      </c>
      <c r="I210" s="1422">
        <f t="shared" si="495"/>
        <v>0</v>
      </c>
      <c r="J210" s="489">
        <f t="shared" si="495"/>
        <v>10000</v>
      </c>
      <c r="K210" s="1421">
        <f t="shared" si="504"/>
        <v>10000</v>
      </c>
      <c r="L210" s="1422">
        <f t="shared" si="504"/>
        <v>10000</v>
      </c>
      <c r="M210" s="1422">
        <f t="shared" si="504"/>
        <v>0</v>
      </c>
      <c r="N210" s="489">
        <f t="shared" si="504"/>
        <v>10000</v>
      </c>
      <c r="O210" s="1011"/>
      <c r="P210" s="1012"/>
      <c r="Q210" s="1012"/>
      <c r="R210" s="1013">
        <f t="shared" si="496"/>
        <v>0</v>
      </c>
      <c r="S210" s="1014"/>
      <c r="T210" s="1015"/>
      <c r="U210" s="1012"/>
      <c r="V210" s="1013">
        <f t="shared" si="497"/>
        <v>0</v>
      </c>
      <c r="W210" s="1014"/>
      <c r="X210" s="1015"/>
      <c r="Y210" s="1012"/>
      <c r="Z210" s="1013">
        <f t="shared" si="498"/>
        <v>0</v>
      </c>
      <c r="AA210" s="1014"/>
      <c r="AB210" s="1015"/>
      <c r="AC210" s="1012"/>
      <c r="AD210" s="1013">
        <f t="shared" si="499"/>
        <v>0</v>
      </c>
      <c r="AE210" s="1014">
        <v>10000</v>
      </c>
      <c r="AF210" s="1015">
        <v>10000</v>
      </c>
      <c r="AG210" s="1012"/>
      <c r="AH210" s="1013">
        <f t="shared" si="500"/>
        <v>10000</v>
      </c>
      <c r="AI210" s="1421">
        <f t="shared" si="505"/>
        <v>0</v>
      </c>
      <c r="AJ210" s="1422">
        <f t="shared" si="505"/>
        <v>0</v>
      </c>
      <c r="AK210" s="1422">
        <f t="shared" si="505"/>
        <v>0</v>
      </c>
      <c r="AL210" s="489">
        <f t="shared" si="505"/>
        <v>0</v>
      </c>
      <c r="AM210" s="1014"/>
      <c r="AN210" s="1015"/>
      <c r="AO210" s="1012"/>
      <c r="AP210" s="1013">
        <f t="shared" si="501"/>
        <v>0</v>
      </c>
      <c r="AQ210" s="1014"/>
      <c r="AR210" s="1015"/>
      <c r="AS210" s="1012"/>
      <c r="AT210" s="1013">
        <f t="shared" si="502"/>
        <v>0</v>
      </c>
      <c r="AU210" s="1014"/>
      <c r="AV210" s="1015"/>
      <c r="AW210" s="1012"/>
      <c r="AX210" s="1013">
        <f t="shared" si="503"/>
        <v>0</v>
      </c>
      <c r="AY210" s="818"/>
    </row>
    <row r="211" spans="1:51" s="493" customFormat="1">
      <c r="A211" s="532">
        <f t="shared" si="506"/>
        <v>42</v>
      </c>
      <c r="B211" s="832">
        <v>8</v>
      </c>
      <c r="C211" s="996" t="s">
        <v>1011</v>
      </c>
      <c r="D211" s="940" t="s">
        <v>1012</v>
      </c>
      <c r="E211" s="995" t="s">
        <v>1225</v>
      </c>
      <c r="F211" s="943" t="s">
        <v>1012</v>
      </c>
      <c r="G211" s="1421">
        <f>+K211+AI211</f>
        <v>8832</v>
      </c>
      <c r="H211" s="1422">
        <f>+L211+AJ211</f>
        <v>8832</v>
      </c>
      <c r="I211" s="1422">
        <f>+M211+AK211</f>
        <v>0</v>
      </c>
      <c r="J211" s="489">
        <f>+N211+AL211</f>
        <v>8832</v>
      </c>
      <c r="K211" s="1421">
        <f>+O211+S211+W211+AA211+AE211</f>
        <v>8832</v>
      </c>
      <c r="L211" s="1422">
        <f>+P211+T211+X211+AB211+AF211</f>
        <v>8832</v>
      </c>
      <c r="M211" s="1422">
        <f>+Q211+U211+Y211+AC211+AG211</f>
        <v>0</v>
      </c>
      <c r="N211" s="489">
        <f>+R211+V211+Z211+AD211+AH211</f>
        <v>8832</v>
      </c>
      <c r="O211" s="1011"/>
      <c r="P211" s="1012"/>
      <c r="Q211" s="1012"/>
      <c r="R211" s="1013">
        <f t="shared" si="496"/>
        <v>0</v>
      </c>
      <c r="S211" s="1014"/>
      <c r="T211" s="1015"/>
      <c r="U211" s="1012"/>
      <c r="V211" s="1013">
        <f t="shared" si="497"/>
        <v>0</v>
      </c>
      <c r="W211" s="1014"/>
      <c r="X211" s="1015"/>
      <c r="Y211" s="1012"/>
      <c r="Z211" s="1013">
        <f t="shared" si="498"/>
        <v>0</v>
      </c>
      <c r="AA211" s="1014"/>
      <c r="AB211" s="1015"/>
      <c r="AC211" s="1012"/>
      <c r="AD211" s="1013">
        <f t="shared" si="499"/>
        <v>0</v>
      </c>
      <c r="AE211" s="1014">
        <v>8832</v>
      </c>
      <c r="AF211" s="1015">
        <v>8832</v>
      </c>
      <c r="AG211" s="1012"/>
      <c r="AH211" s="1013">
        <f t="shared" si="500"/>
        <v>8832</v>
      </c>
      <c r="AI211" s="1421">
        <f>+AM211+AQ211+AU211</f>
        <v>0</v>
      </c>
      <c r="AJ211" s="1422">
        <f>+AN211+AR211+AV211</f>
        <v>0</v>
      </c>
      <c r="AK211" s="1422">
        <f>+AO211+AS211+AW211</f>
        <v>0</v>
      </c>
      <c r="AL211" s="489">
        <f>+AP211+AT211+AX211</f>
        <v>0</v>
      </c>
      <c r="AM211" s="1014"/>
      <c r="AN211" s="1015"/>
      <c r="AO211" s="1012"/>
      <c r="AP211" s="1013">
        <f t="shared" si="501"/>
        <v>0</v>
      </c>
      <c r="AQ211" s="1014"/>
      <c r="AR211" s="1015"/>
      <c r="AS211" s="1012"/>
      <c r="AT211" s="1013">
        <f t="shared" si="502"/>
        <v>0</v>
      </c>
      <c r="AU211" s="1014"/>
      <c r="AV211" s="1015"/>
      <c r="AW211" s="1012"/>
      <c r="AX211" s="1013">
        <f t="shared" si="503"/>
        <v>0</v>
      </c>
      <c r="AY211" s="818"/>
    </row>
    <row r="212" spans="1:51" s="493" customFormat="1">
      <c r="A212" s="532">
        <f t="shared" si="506"/>
        <v>43</v>
      </c>
      <c r="B212" s="832">
        <v>8</v>
      </c>
      <c r="C212" s="996" t="s">
        <v>702</v>
      </c>
      <c r="D212" s="940" t="s">
        <v>703</v>
      </c>
      <c r="E212" s="995" t="s">
        <v>1231</v>
      </c>
      <c r="F212" s="943" t="s">
        <v>703</v>
      </c>
      <c r="G212" s="1421">
        <f t="shared" ref="G212:J220" si="507">+K212+AI212</f>
        <v>0</v>
      </c>
      <c r="H212" s="1422">
        <f t="shared" si="507"/>
        <v>0</v>
      </c>
      <c r="I212" s="1422">
        <f t="shared" si="507"/>
        <v>0</v>
      </c>
      <c r="J212" s="489">
        <f t="shared" si="507"/>
        <v>0</v>
      </c>
      <c r="K212" s="1421">
        <f t="shared" ref="K212:N220" si="508">+O212+S212+W212+AA212+AE212</f>
        <v>0</v>
      </c>
      <c r="L212" s="1422">
        <f t="shared" si="508"/>
        <v>0</v>
      </c>
      <c r="M212" s="1422">
        <f t="shared" si="508"/>
        <v>0</v>
      </c>
      <c r="N212" s="489">
        <f t="shared" si="508"/>
        <v>0</v>
      </c>
      <c r="O212" s="1011"/>
      <c r="P212" s="1012"/>
      <c r="Q212" s="1012"/>
      <c r="R212" s="1013">
        <f t="shared" si="496"/>
        <v>0</v>
      </c>
      <c r="S212" s="1014"/>
      <c r="T212" s="1015"/>
      <c r="U212" s="1012"/>
      <c r="V212" s="1013">
        <f t="shared" si="497"/>
        <v>0</v>
      </c>
      <c r="W212" s="1014"/>
      <c r="X212" s="1015"/>
      <c r="Y212" s="1012"/>
      <c r="Z212" s="1013">
        <f t="shared" si="498"/>
        <v>0</v>
      </c>
      <c r="AA212" s="1014"/>
      <c r="AB212" s="1015"/>
      <c r="AC212" s="1012"/>
      <c r="AD212" s="1013">
        <f t="shared" si="499"/>
        <v>0</v>
      </c>
      <c r="AE212" s="1014"/>
      <c r="AF212" s="1015"/>
      <c r="AG212" s="1012"/>
      <c r="AH212" s="1013">
        <f t="shared" si="500"/>
        <v>0</v>
      </c>
      <c r="AI212" s="1421">
        <f t="shared" ref="AI212:AL220" si="509">+AM212+AQ212+AU212</f>
        <v>0</v>
      </c>
      <c r="AJ212" s="1422">
        <f t="shared" si="509"/>
        <v>0</v>
      </c>
      <c r="AK212" s="1422">
        <f t="shared" si="509"/>
        <v>0</v>
      </c>
      <c r="AL212" s="489">
        <f t="shared" si="509"/>
        <v>0</v>
      </c>
      <c r="AM212" s="1014"/>
      <c r="AN212" s="1015"/>
      <c r="AO212" s="1012"/>
      <c r="AP212" s="1013">
        <f t="shared" si="501"/>
        <v>0</v>
      </c>
      <c r="AQ212" s="1014"/>
      <c r="AR212" s="1015"/>
      <c r="AS212" s="1012"/>
      <c r="AT212" s="1013">
        <f t="shared" si="502"/>
        <v>0</v>
      </c>
      <c r="AU212" s="1014"/>
      <c r="AV212" s="1015"/>
      <c r="AW212" s="1012"/>
      <c r="AX212" s="1013">
        <f t="shared" si="503"/>
        <v>0</v>
      </c>
      <c r="AY212" s="818"/>
    </row>
    <row r="213" spans="1:51" s="493" customFormat="1">
      <c r="A213" s="532">
        <f t="shared" si="506"/>
        <v>44</v>
      </c>
      <c r="B213" s="832">
        <v>8</v>
      </c>
      <c r="C213" s="996" t="s">
        <v>1015</v>
      </c>
      <c r="D213" s="940" t="s">
        <v>1013</v>
      </c>
      <c r="E213" s="995" t="s">
        <v>1233</v>
      </c>
      <c r="F213" s="943" t="s">
        <v>1013</v>
      </c>
      <c r="G213" s="1421">
        <f t="shared" si="507"/>
        <v>0</v>
      </c>
      <c r="H213" s="1422">
        <f t="shared" si="507"/>
        <v>0</v>
      </c>
      <c r="I213" s="1422">
        <f t="shared" si="507"/>
        <v>0</v>
      </c>
      <c r="J213" s="489">
        <f t="shared" si="507"/>
        <v>0</v>
      </c>
      <c r="K213" s="1421">
        <f t="shared" si="508"/>
        <v>0</v>
      </c>
      <c r="L213" s="1422">
        <f t="shared" si="508"/>
        <v>0</v>
      </c>
      <c r="M213" s="1422">
        <f t="shared" si="508"/>
        <v>0</v>
      </c>
      <c r="N213" s="489">
        <f t="shared" si="508"/>
        <v>0</v>
      </c>
      <c r="O213" s="1011"/>
      <c r="P213" s="1012"/>
      <c r="Q213" s="1012"/>
      <c r="R213" s="1013">
        <f t="shared" si="496"/>
        <v>0</v>
      </c>
      <c r="S213" s="1014"/>
      <c r="T213" s="1015"/>
      <c r="U213" s="1012"/>
      <c r="V213" s="1013">
        <f t="shared" si="497"/>
        <v>0</v>
      </c>
      <c r="W213" s="1014"/>
      <c r="X213" s="1015"/>
      <c r="Y213" s="1012"/>
      <c r="Z213" s="1013">
        <f t="shared" si="498"/>
        <v>0</v>
      </c>
      <c r="AA213" s="1014"/>
      <c r="AB213" s="1015"/>
      <c r="AC213" s="1012"/>
      <c r="AD213" s="1013">
        <f t="shared" si="499"/>
        <v>0</v>
      </c>
      <c r="AE213" s="1014"/>
      <c r="AF213" s="1015"/>
      <c r="AG213" s="1012"/>
      <c r="AH213" s="1013">
        <f t="shared" si="500"/>
        <v>0</v>
      </c>
      <c r="AI213" s="1421">
        <f t="shared" si="509"/>
        <v>0</v>
      </c>
      <c r="AJ213" s="1422">
        <f t="shared" si="509"/>
        <v>0</v>
      </c>
      <c r="AK213" s="1422">
        <f t="shared" si="509"/>
        <v>0</v>
      </c>
      <c r="AL213" s="489">
        <f t="shared" si="509"/>
        <v>0</v>
      </c>
      <c r="AM213" s="1014"/>
      <c r="AN213" s="1015"/>
      <c r="AO213" s="1012"/>
      <c r="AP213" s="1013">
        <f t="shared" si="501"/>
        <v>0</v>
      </c>
      <c r="AQ213" s="1014"/>
      <c r="AR213" s="1015"/>
      <c r="AS213" s="1012"/>
      <c r="AT213" s="1013">
        <f t="shared" si="502"/>
        <v>0</v>
      </c>
      <c r="AU213" s="1014"/>
      <c r="AV213" s="1015"/>
      <c r="AW213" s="1012"/>
      <c r="AX213" s="1013">
        <f t="shared" si="503"/>
        <v>0</v>
      </c>
      <c r="AY213" s="818"/>
    </row>
    <row r="214" spans="1:51" s="493" customFormat="1">
      <c r="A214" s="532">
        <f t="shared" si="506"/>
        <v>45</v>
      </c>
      <c r="B214" s="832">
        <v>8</v>
      </c>
      <c r="C214" s="996" t="s">
        <v>1016</v>
      </c>
      <c r="D214" s="940" t="s">
        <v>1014</v>
      </c>
      <c r="E214" s="995" t="s">
        <v>1225</v>
      </c>
      <c r="F214" s="943" t="s">
        <v>1017</v>
      </c>
      <c r="G214" s="1421">
        <f t="shared" si="507"/>
        <v>0</v>
      </c>
      <c r="H214" s="1422">
        <f t="shared" si="507"/>
        <v>0</v>
      </c>
      <c r="I214" s="1422">
        <f t="shared" si="507"/>
        <v>0</v>
      </c>
      <c r="J214" s="489">
        <f t="shared" si="507"/>
        <v>0</v>
      </c>
      <c r="K214" s="1421">
        <f t="shared" si="508"/>
        <v>0</v>
      </c>
      <c r="L214" s="1422">
        <f t="shared" si="508"/>
        <v>0</v>
      </c>
      <c r="M214" s="1422">
        <f t="shared" si="508"/>
        <v>0</v>
      </c>
      <c r="N214" s="489">
        <f t="shared" si="508"/>
        <v>0</v>
      </c>
      <c r="O214" s="1011"/>
      <c r="P214" s="1012"/>
      <c r="Q214" s="1012"/>
      <c r="R214" s="1013">
        <f t="shared" si="496"/>
        <v>0</v>
      </c>
      <c r="S214" s="1014"/>
      <c r="T214" s="1015"/>
      <c r="U214" s="1012"/>
      <c r="V214" s="1013">
        <f t="shared" si="497"/>
        <v>0</v>
      </c>
      <c r="W214" s="1014"/>
      <c r="X214" s="1015"/>
      <c r="Y214" s="1012"/>
      <c r="Z214" s="1013">
        <f t="shared" si="498"/>
        <v>0</v>
      </c>
      <c r="AA214" s="1014"/>
      <c r="AB214" s="1015"/>
      <c r="AC214" s="1012"/>
      <c r="AD214" s="1013">
        <f t="shared" si="499"/>
        <v>0</v>
      </c>
      <c r="AE214" s="1014"/>
      <c r="AF214" s="1015"/>
      <c r="AG214" s="1012"/>
      <c r="AH214" s="1013">
        <f t="shared" si="500"/>
        <v>0</v>
      </c>
      <c r="AI214" s="1421">
        <f t="shared" si="509"/>
        <v>0</v>
      </c>
      <c r="AJ214" s="1422">
        <f t="shared" si="509"/>
        <v>0</v>
      </c>
      <c r="AK214" s="1422">
        <f t="shared" si="509"/>
        <v>0</v>
      </c>
      <c r="AL214" s="489">
        <f t="shared" si="509"/>
        <v>0</v>
      </c>
      <c r="AM214" s="1014"/>
      <c r="AN214" s="1015"/>
      <c r="AO214" s="1012"/>
      <c r="AP214" s="1013">
        <f t="shared" si="501"/>
        <v>0</v>
      </c>
      <c r="AQ214" s="1014"/>
      <c r="AR214" s="1015"/>
      <c r="AS214" s="1012"/>
      <c r="AT214" s="1013">
        <f t="shared" si="502"/>
        <v>0</v>
      </c>
      <c r="AU214" s="1014"/>
      <c r="AV214" s="1015"/>
      <c r="AW214" s="1012"/>
      <c r="AX214" s="1013">
        <f t="shared" si="503"/>
        <v>0</v>
      </c>
      <c r="AY214" s="818"/>
    </row>
    <row r="215" spans="1:51" s="493" customFormat="1">
      <c r="A215" s="532">
        <f t="shared" si="506"/>
        <v>46</v>
      </c>
      <c r="B215" s="833">
        <v>8</v>
      </c>
      <c r="C215" s="997" t="s">
        <v>1018</v>
      </c>
      <c r="D215" s="946" t="s">
        <v>1019</v>
      </c>
      <c r="E215" s="998" t="s">
        <v>1225</v>
      </c>
      <c r="F215" s="947" t="s">
        <v>1019</v>
      </c>
      <c r="G215" s="1421">
        <f t="shared" si="507"/>
        <v>0</v>
      </c>
      <c r="H215" s="1422">
        <f t="shared" si="507"/>
        <v>0</v>
      </c>
      <c r="I215" s="1422">
        <f t="shared" si="507"/>
        <v>0</v>
      </c>
      <c r="J215" s="489">
        <f t="shared" si="507"/>
        <v>0</v>
      </c>
      <c r="K215" s="1421">
        <f t="shared" si="508"/>
        <v>0</v>
      </c>
      <c r="L215" s="1422">
        <f t="shared" si="508"/>
        <v>0</v>
      </c>
      <c r="M215" s="1422">
        <f t="shared" si="508"/>
        <v>0</v>
      </c>
      <c r="N215" s="489">
        <f t="shared" si="508"/>
        <v>0</v>
      </c>
      <c r="O215" s="1011"/>
      <c r="P215" s="1012"/>
      <c r="Q215" s="1012"/>
      <c r="R215" s="1013">
        <f t="shared" si="496"/>
        <v>0</v>
      </c>
      <c r="S215" s="1014"/>
      <c r="T215" s="1015"/>
      <c r="U215" s="1012"/>
      <c r="V215" s="1013">
        <f t="shared" si="497"/>
        <v>0</v>
      </c>
      <c r="W215" s="1014"/>
      <c r="X215" s="1015"/>
      <c r="Y215" s="1012"/>
      <c r="Z215" s="1013">
        <f t="shared" si="498"/>
        <v>0</v>
      </c>
      <c r="AA215" s="1014"/>
      <c r="AB215" s="1015"/>
      <c r="AC215" s="1012"/>
      <c r="AD215" s="1013">
        <f t="shared" si="499"/>
        <v>0</v>
      </c>
      <c r="AE215" s="1014"/>
      <c r="AF215" s="1015"/>
      <c r="AG215" s="1012"/>
      <c r="AH215" s="1013">
        <f t="shared" si="500"/>
        <v>0</v>
      </c>
      <c r="AI215" s="1421">
        <f t="shared" si="509"/>
        <v>0</v>
      </c>
      <c r="AJ215" s="1422">
        <f t="shared" si="509"/>
        <v>0</v>
      </c>
      <c r="AK215" s="1422">
        <f t="shared" si="509"/>
        <v>0</v>
      </c>
      <c r="AL215" s="489">
        <f t="shared" si="509"/>
        <v>0</v>
      </c>
      <c r="AM215" s="1014"/>
      <c r="AN215" s="1015"/>
      <c r="AO215" s="1012"/>
      <c r="AP215" s="1013">
        <f t="shared" si="501"/>
        <v>0</v>
      </c>
      <c r="AQ215" s="1014"/>
      <c r="AR215" s="1015"/>
      <c r="AS215" s="1012"/>
      <c r="AT215" s="1013">
        <f t="shared" si="502"/>
        <v>0</v>
      </c>
      <c r="AU215" s="1014"/>
      <c r="AV215" s="1015"/>
      <c r="AW215" s="1012"/>
      <c r="AX215" s="1013">
        <f t="shared" si="503"/>
        <v>0</v>
      </c>
      <c r="AY215" s="818"/>
    </row>
    <row r="216" spans="1:51" s="493" customFormat="1">
      <c r="A216" s="532">
        <f t="shared" si="506"/>
        <v>47</v>
      </c>
      <c r="B216" s="833">
        <v>8</v>
      </c>
      <c r="C216" s="997" t="s">
        <v>730</v>
      </c>
      <c r="D216" s="946" t="s">
        <v>728</v>
      </c>
      <c r="E216" s="998" t="s">
        <v>1234</v>
      </c>
      <c r="F216" s="947" t="s">
        <v>657</v>
      </c>
      <c r="G216" s="1421">
        <f t="shared" si="507"/>
        <v>15531</v>
      </c>
      <c r="H216" s="1422">
        <f t="shared" si="507"/>
        <v>15531</v>
      </c>
      <c r="I216" s="1422">
        <f t="shared" si="507"/>
        <v>0</v>
      </c>
      <c r="J216" s="489">
        <f t="shared" si="507"/>
        <v>15531</v>
      </c>
      <c r="K216" s="1421">
        <f t="shared" si="508"/>
        <v>15531</v>
      </c>
      <c r="L216" s="1422">
        <f t="shared" si="508"/>
        <v>15531</v>
      </c>
      <c r="M216" s="1422">
        <f t="shared" si="508"/>
        <v>0</v>
      </c>
      <c r="N216" s="489">
        <f t="shared" si="508"/>
        <v>15531</v>
      </c>
      <c r="O216" s="1011"/>
      <c r="P216" s="1012"/>
      <c r="Q216" s="1012"/>
      <c r="R216" s="1013">
        <f t="shared" si="496"/>
        <v>0</v>
      </c>
      <c r="S216" s="1014"/>
      <c r="T216" s="1015"/>
      <c r="U216" s="1012"/>
      <c r="V216" s="1013">
        <f t="shared" si="497"/>
        <v>0</v>
      </c>
      <c r="W216" s="1014">
        <v>531</v>
      </c>
      <c r="X216" s="1015">
        <v>531</v>
      </c>
      <c r="Y216" s="1012"/>
      <c r="Z216" s="1013">
        <f t="shared" si="498"/>
        <v>531</v>
      </c>
      <c r="AA216" s="1014"/>
      <c r="AB216" s="1015"/>
      <c r="AC216" s="1012"/>
      <c r="AD216" s="1013">
        <f t="shared" si="499"/>
        <v>0</v>
      </c>
      <c r="AE216" s="1014">
        <v>15000</v>
      </c>
      <c r="AF216" s="1015">
        <v>15000</v>
      </c>
      <c r="AG216" s="1012"/>
      <c r="AH216" s="1013">
        <f t="shared" si="500"/>
        <v>15000</v>
      </c>
      <c r="AI216" s="1421">
        <f t="shared" si="509"/>
        <v>0</v>
      </c>
      <c r="AJ216" s="1422">
        <f t="shared" si="509"/>
        <v>0</v>
      </c>
      <c r="AK216" s="1422">
        <f t="shared" si="509"/>
        <v>0</v>
      </c>
      <c r="AL216" s="489">
        <f t="shared" si="509"/>
        <v>0</v>
      </c>
      <c r="AM216" s="1014"/>
      <c r="AN216" s="1015"/>
      <c r="AO216" s="1012"/>
      <c r="AP216" s="1013">
        <f t="shared" si="501"/>
        <v>0</v>
      </c>
      <c r="AQ216" s="1014"/>
      <c r="AR216" s="1015"/>
      <c r="AS216" s="1012"/>
      <c r="AT216" s="1013">
        <f t="shared" si="502"/>
        <v>0</v>
      </c>
      <c r="AU216" s="1014"/>
      <c r="AV216" s="1015"/>
      <c r="AW216" s="1012"/>
      <c r="AX216" s="1013">
        <f t="shared" si="503"/>
        <v>0</v>
      </c>
      <c r="AY216" s="818"/>
    </row>
    <row r="217" spans="1:51" s="493" customFormat="1">
      <c r="A217" s="532">
        <f t="shared" si="506"/>
        <v>48</v>
      </c>
      <c r="B217" s="833">
        <v>8</v>
      </c>
      <c r="C217" s="997" t="s">
        <v>731</v>
      </c>
      <c r="D217" s="946" t="s">
        <v>729</v>
      </c>
      <c r="E217" s="998" t="s">
        <v>1225</v>
      </c>
      <c r="F217" s="947" t="s">
        <v>653</v>
      </c>
      <c r="G217" s="1421">
        <f t="shared" si="507"/>
        <v>16850</v>
      </c>
      <c r="H217" s="1422">
        <f t="shared" si="507"/>
        <v>16850</v>
      </c>
      <c r="I217" s="1422">
        <f t="shared" si="507"/>
        <v>0</v>
      </c>
      <c r="J217" s="489">
        <f t="shared" si="507"/>
        <v>16850</v>
      </c>
      <c r="K217" s="1421">
        <f t="shared" si="508"/>
        <v>16850</v>
      </c>
      <c r="L217" s="1422">
        <f t="shared" si="508"/>
        <v>16850</v>
      </c>
      <c r="M217" s="1422">
        <f t="shared" si="508"/>
        <v>0</v>
      </c>
      <c r="N217" s="489">
        <f t="shared" si="508"/>
        <v>16850</v>
      </c>
      <c r="O217" s="1011"/>
      <c r="P217" s="1012"/>
      <c r="Q217" s="1012"/>
      <c r="R217" s="1013">
        <f t="shared" si="496"/>
        <v>0</v>
      </c>
      <c r="S217" s="1014"/>
      <c r="T217" s="1015"/>
      <c r="U217" s="1012"/>
      <c r="V217" s="1013">
        <f t="shared" si="497"/>
        <v>0</v>
      </c>
      <c r="W217" s="1014"/>
      <c r="X217" s="1015"/>
      <c r="Y217" s="1012"/>
      <c r="Z217" s="1013">
        <f t="shared" si="498"/>
        <v>0</v>
      </c>
      <c r="AA217" s="1014"/>
      <c r="AB217" s="1015"/>
      <c r="AC217" s="1012"/>
      <c r="AD217" s="1013">
        <f t="shared" si="499"/>
        <v>0</v>
      </c>
      <c r="AE217" s="1014">
        <v>16850</v>
      </c>
      <c r="AF217" s="1015">
        <v>16850</v>
      </c>
      <c r="AG217" s="1012"/>
      <c r="AH217" s="1013">
        <f t="shared" si="500"/>
        <v>16850</v>
      </c>
      <c r="AI217" s="1421">
        <f t="shared" si="509"/>
        <v>0</v>
      </c>
      <c r="AJ217" s="1422">
        <f t="shared" si="509"/>
        <v>0</v>
      </c>
      <c r="AK217" s="1422">
        <f t="shared" si="509"/>
        <v>0</v>
      </c>
      <c r="AL217" s="489">
        <f t="shared" si="509"/>
        <v>0</v>
      </c>
      <c r="AM217" s="1014"/>
      <c r="AN217" s="1015"/>
      <c r="AO217" s="1012"/>
      <c r="AP217" s="1013">
        <f t="shared" si="501"/>
        <v>0</v>
      </c>
      <c r="AQ217" s="1014"/>
      <c r="AR217" s="1015"/>
      <c r="AS217" s="1012"/>
      <c r="AT217" s="1013">
        <f t="shared" si="502"/>
        <v>0</v>
      </c>
      <c r="AU217" s="1014"/>
      <c r="AV217" s="1015"/>
      <c r="AW217" s="1012"/>
      <c r="AX217" s="1013">
        <f t="shared" si="503"/>
        <v>0</v>
      </c>
      <c r="AY217" s="818"/>
    </row>
    <row r="218" spans="1:51" s="493" customFormat="1">
      <c r="A218" s="532">
        <f t="shared" si="506"/>
        <v>49</v>
      </c>
      <c r="B218" s="833">
        <v>8</v>
      </c>
      <c r="C218" s="997" t="s">
        <v>1020</v>
      </c>
      <c r="D218" s="946" t="s">
        <v>1021</v>
      </c>
      <c r="E218" s="998" t="s">
        <v>1225</v>
      </c>
      <c r="F218" s="947" t="s">
        <v>1021</v>
      </c>
      <c r="G218" s="1421">
        <f t="shared" si="507"/>
        <v>0</v>
      </c>
      <c r="H218" s="1422">
        <f t="shared" si="507"/>
        <v>0</v>
      </c>
      <c r="I218" s="1422">
        <f t="shared" si="507"/>
        <v>0</v>
      </c>
      <c r="J218" s="489">
        <f t="shared" si="507"/>
        <v>0</v>
      </c>
      <c r="K218" s="1421">
        <f t="shared" si="508"/>
        <v>0</v>
      </c>
      <c r="L218" s="1422">
        <f t="shared" si="508"/>
        <v>0</v>
      </c>
      <c r="M218" s="1422">
        <f t="shared" si="508"/>
        <v>0</v>
      </c>
      <c r="N218" s="489">
        <f t="shared" si="508"/>
        <v>0</v>
      </c>
      <c r="O218" s="1011"/>
      <c r="P218" s="1012"/>
      <c r="Q218" s="1012"/>
      <c r="R218" s="1013">
        <f t="shared" si="496"/>
        <v>0</v>
      </c>
      <c r="S218" s="1014"/>
      <c r="T218" s="1015"/>
      <c r="U218" s="1012"/>
      <c r="V218" s="1013">
        <f t="shared" si="497"/>
        <v>0</v>
      </c>
      <c r="W218" s="1014"/>
      <c r="X218" s="1015"/>
      <c r="Y218" s="1012"/>
      <c r="Z218" s="1013">
        <f t="shared" si="498"/>
        <v>0</v>
      </c>
      <c r="AA218" s="1014"/>
      <c r="AB218" s="1015"/>
      <c r="AC218" s="1012"/>
      <c r="AD218" s="1013">
        <f t="shared" si="499"/>
        <v>0</v>
      </c>
      <c r="AE218" s="1014"/>
      <c r="AF218" s="1015"/>
      <c r="AG218" s="1012"/>
      <c r="AH218" s="1013">
        <f t="shared" si="500"/>
        <v>0</v>
      </c>
      <c r="AI218" s="1421">
        <f t="shared" si="509"/>
        <v>0</v>
      </c>
      <c r="AJ218" s="1422">
        <f t="shared" si="509"/>
        <v>0</v>
      </c>
      <c r="AK218" s="1422">
        <f t="shared" si="509"/>
        <v>0</v>
      </c>
      <c r="AL218" s="489">
        <f t="shared" si="509"/>
        <v>0</v>
      </c>
      <c r="AM218" s="1014"/>
      <c r="AN218" s="1015"/>
      <c r="AO218" s="1012"/>
      <c r="AP218" s="1013">
        <f t="shared" si="501"/>
        <v>0</v>
      </c>
      <c r="AQ218" s="1014"/>
      <c r="AR218" s="1015"/>
      <c r="AS218" s="1012"/>
      <c r="AT218" s="1013">
        <f t="shared" si="502"/>
        <v>0</v>
      </c>
      <c r="AU218" s="1014"/>
      <c r="AV218" s="1015"/>
      <c r="AW218" s="1012"/>
      <c r="AX218" s="1013">
        <f t="shared" si="503"/>
        <v>0</v>
      </c>
      <c r="AY218" s="818"/>
    </row>
    <row r="219" spans="1:51" s="493" customFormat="1">
      <c r="A219" s="532">
        <f t="shared" si="506"/>
        <v>50</v>
      </c>
      <c r="B219" s="833">
        <v>6</v>
      </c>
      <c r="C219" s="997" t="s">
        <v>679</v>
      </c>
      <c r="D219" s="946" t="s">
        <v>678</v>
      </c>
      <c r="E219" s="998" t="s">
        <v>1225</v>
      </c>
      <c r="F219" s="947" t="s">
        <v>1031</v>
      </c>
      <c r="G219" s="1421">
        <f t="shared" si="507"/>
        <v>2400</v>
      </c>
      <c r="H219" s="1422">
        <f t="shared" si="507"/>
        <v>2400</v>
      </c>
      <c r="I219" s="1422">
        <f t="shared" si="507"/>
        <v>0</v>
      </c>
      <c r="J219" s="489">
        <f t="shared" si="507"/>
        <v>2400</v>
      </c>
      <c r="K219" s="1421">
        <f t="shared" si="508"/>
        <v>2400</v>
      </c>
      <c r="L219" s="1422">
        <f t="shared" si="508"/>
        <v>2400</v>
      </c>
      <c r="M219" s="1422">
        <f t="shared" si="508"/>
        <v>0</v>
      </c>
      <c r="N219" s="489">
        <f t="shared" si="508"/>
        <v>2400</v>
      </c>
      <c r="O219" s="1011"/>
      <c r="P219" s="1012"/>
      <c r="Q219" s="1012"/>
      <c r="R219" s="1013">
        <f t="shared" si="496"/>
        <v>0</v>
      </c>
      <c r="S219" s="1014"/>
      <c r="T219" s="1015"/>
      <c r="U219" s="1012"/>
      <c r="V219" s="1013">
        <f t="shared" si="497"/>
        <v>0</v>
      </c>
      <c r="W219" s="1014"/>
      <c r="X219" s="1015"/>
      <c r="Y219" s="1012"/>
      <c r="Z219" s="1013">
        <f t="shared" si="498"/>
        <v>0</v>
      </c>
      <c r="AA219" s="1014">
        <v>2400</v>
      </c>
      <c r="AB219" s="1015">
        <v>2400</v>
      </c>
      <c r="AC219" s="1012"/>
      <c r="AD219" s="1013">
        <f t="shared" si="499"/>
        <v>2400</v>
      </c>
      <c r="AE219" s="1014"/>
      <c r="AF219" s="1015"/>
      <c r="AG219" s="1012"/>
      <c r="AH219" s="1013">
        <f t="shared" si="500"/>
        <v>0</v>
      </c>
      <c r="AI219" s="1421">
        <f t="shared" si="509"/>
        <v>0</v>
      </c>
      <c r="AJ219" s="1422">
        <f t="shared" si="509"/>
        <v>0</v>
      </c>
      <c r="AK219" s="1422">
        <f t="shared" si="509"/>
        <v>0</v>
      </c>
      <c r="AL219" s="489">
        <f t="shared" si="509"/>
        <v>0</v>
      </c>
      <c r="AM219" s="1014"/>
      <c r="AN219" s="1015"/>
      <c r="AO219" s="1012"/>
      <c r="AP219" s="1013">
        <f t="shared" si="501"/>
        <v>0</v>
      </c>
      <c r="AQ219" s="1014"/>
      <c r="AR219" s="1015"/>
      <c r="AS219" s="1012"/>
      <c r="AT219" s="1013">
        <f t="shared" si="502"/>
        <v>0</v>
      </c>
      <c r="AU219" s="1014"/>
      <c r="AV219" s="1015"/>
      <c r="AW219" s="1012"/>
      <c r="AX219" s="1013">
        <f t="shared" si="503"/>
        <v>0</v>
      </c>
      <c r="AY219" s="818"/>
    </row>
    <row r="220" spans="1:51" s="493" customFormat="1">
      <c r="A220" s="532">
        <f t="shared" si="506"/>
        <v>51</v>
      </c>
      <c r="B220" s="833">
        <v>6</v>
      </c>
      <c r="C220" s="997" t="s">
        <v>685</v>
      </c>
      <c r="D220" s="946" t="s">
        <v>684</v>
      </c>
      <c r="E220" s="998" t="s">
        <v>1225</v>
      </c>
      <c r="F220" s="947" t="s">
        <v>1033</v>
      </c>
      <c r="G220" s="1421">
        <f t="shared" si="507"/>
        <v>1200</v>
      </c>
      <c r="H220" s="1422">
        <f t="shared" si="507"/>
        <v>1200</v>
      </c>
      <c r="I220" s="1422">
        <f t="shared" si="507"/>
        <v>0</v>
      </c>
      <c r="J220" s="489">
        <f t="shared" si="507"/>
        <v>1200</v>
      </c>
      <c r="K220" s="1421">
        <f t="shared" si="508"/>
        <v>1200</v>
      </c>
      <c r="L220" s="1422">
        <f t="shared" si="508"/>
        <v>1200</v>
      </c>
      <c r="M220" s="1422">
        <f t="shared" si="508"/>
        <v>0</v>
      </c>
      <c r="N220" s="489">
        <f t="shared" si="508"/>
        <v>1200</v>
      </c>
      <c r="O220" s="1011"/>
      <c r="P220" s="1012"/>
      <c r="Q220" s="1012"/>
      <c r="R220" s="1013">
        <f t="shared" si="496"/>
        <v>0</v>
      </c>
      <c r="S220" s="1014"/>
      <c r="T220" s="1015"/>
      <c r="U220" s="1012"/>
      <c r="V220" s="1013">
        <f t="shared" si="497"/>
        <v>0</v>
      </c>
      <c r="W220" s="1014"/>
      <c r="X220" s="1015"/>
      <c r="Y220" s="1012"/>
      <c r="Z220" s="1013">
        <f t="shared" si="498"/>
        <v>0</v>
      </c>
      <c r="AA220" s="1014">
        <v>1200</v>
      </c>
      <c r="AB220" s="1015">
        <v>1200</v>
      </c>
      <c r="AC220" s="1012"/>
      <c r="AD220" s="1013">
        <f t="shared" si="499"/>
        <v>1200</v>
      </c>
      <c r="AE220" s="1014"/>
      <c r="AF220" s="1015"/>
      <c r="AG220" s="1012"/>
      <c r="AH220" s="1013">
        <f t="shared" si="500"/>
        <v>0</v>
      </c>
      <c r="AI220" s="1421">
        <f t="shared" si="509"/>
        <v>0</v>
      </c>
      <c r="AJ220" s="1422">
        <f t="shared" si="509"/>
        <v>0</v>
      </c>
      <c r="AK220" s="1422">
        <f t="shared" si="509"/>
        <v>0</v>
      </c>
      <c r="AL220" s="489">
        <f t="shared" si="509"/>
        <v>0</v>
      </c>
      <c r="AM220" s="1014"/>
      <c r="AN220" s="1015"/>
      <c r="AO220" s="1012"/>
      <c r="AP220" s="1013">
        <f t="shared" si="501"/>
        <v>0</v>
      </c>
      <c r="AQ220" s="1014"/>
      <c r="AR220" s="1015"/>
      <c r="AS220" s="1012"/>
      <c r="AT220" s="1013">
        <f t="shared" si="502"/>
        <v>0</v>
      </c>
      <c r="AU220" s="1014"/>
      <c r="AV220" s="1015"/>
      <c r="AW220" s="1012"/>
      <c r="AX220" s="1013">
        <f t="shared" si="503"/>
        <v>0</v>
      </c>
      <c r="AY220" s="818"/>
    </row>
    <row r="221" spans="1:51" s="493" customFormat="1">
      <c r="A221" s="532">
        <f t="shared" si="506"/>
        <v>52</v>
      </c>
      <c r="B221" s="833">
        <v>6</v>
      </c>
      <c r="C221" s="997" t="s">
        <v>1030</v>
      </c>
      <c r="D221" s="946" t="s">
        <v>1029</v>
      </c>
      <c r="E221" s="998" t="s">
        <v>1235</v>
      </c>
      <c r="F221" s="947" t="s">
        <v>1029</v>
      </c>
      <c r="G221" s="1421">
        <f>+K221+AI221</f>
        <v>0</v>
      </c>
      <c r="H221" s="1422">
        <f>+L221+AJ221</f>
        <v>0</v>
      </c>
      <c r="I221" s="1422">
        <f>+M221+AK221</f>
        <v>0</v>
      </c>
      <c r="J221" s="489">
        <f>+N221+AL221</f>
        <v>0</v>
      </c>
      <c r="K221" s="1421">
        <f>+O221+S221+W221+AA221+AE221</f>
        <v>0</v>
      </c>
      <c r="L221" s="1422">
        <f>+P221+T221+X221+AB221+AF221</f>
        <v>0</v>
      </c>
      <c r="M221" s="1422">
        <f>+Q221+U221+Y221+AC221+AG221</f>
        <v>0</v>
      </c>
      <c r="N221" s="489">
        <f>+R221+V221+Z221+AD221+AH221</f>
        <v>0</v>
      </c>
      <c r="O221" s="1011"/>
      <c r="P221" s="1012"/>
      <c r="Q221" s="1012"/>
      <c r="R221" s="1013">
        <f t="shared" si="496"/>
        <v>0</v>
      </c>
      <c r="S221" s="1014"/>
      <c r="T221" s="1015"/>
      <c r="U221" s="1012"/>
      <c r="V221" s="1013">
        <f t="shared" si="497"/>
        <v>0</v>
      </c>
      <c r="W221" s="1014"/>
      <c r="X221" s="1015"/>
      <c r="Y221" s="1012"/>
      <c r="Z221" s="1013">
        <f t="shared" si="498"/>
        <v>0</v>
      </c>
      <c r="AA221" s="1014"/>
      <c r="AB221" s="1015"/>
      <c r="AC221" s="1012"/>
      <c r="AD221" s="1013">
        <f t="shared" si="499"/>
        <v>0</v>
      </c>
      <c r="AE221" s="1014"/>
      <c r="AF221" s="1015"/>
      <c r="AG221" s="1012"/>
      <c r="AH221" s="1013">
        <f t="shared" si="500"/>
        <v>0</v>
      </c>
      <c r="AI221" s="1421">
        <f>+AM221+AQ221+AU221</f>
        <v>0</v>
      </c>
      <c r="AJ221" s="1422">
        <f>+AN221+AR221+AV221</f>
        <v>0</v>
      </c>
      <c r="AK221" s="1422">
        <f>+AO221+AS221+AW221</f>
        <v>0</v>
      </c>
      <c r="AL221" s="489">
        <f>+AP221+AT221+AX221</f>
        <v>0</v>
      </c>
      <c r="AM221" s="1014"/>
      <c r="AN221" s="1015"/>
      <c r="AO221" s="1012"/>
      <c r="AP221" s="1013">
        <f t="shared" si="501"/>
        <v>0</v>
      </c>
      <c r="AQ221" s="1014"/>
      <c r="AR221" s="1015"/>
      <c r="AS221" s="1012"/>
      <c r="AT221" s="1013">
        <f t="shared" si="502"/>
        <v>0</v>
      </c>
      <c r="AU221" s="1014"/>
      <c r="AV221" s="1015"/>
      <c r="AW221" s="1012"/>
      <c r="AX221" s="1013">
        <f t="shared" si="503"/>
        <v>0</v>
      </c>
      <c r="AY221" s="818"/>
    </row>
    <row r="222" spans="1:51" s="493" customFormat="1">
      <c r="A222" s="532">
        <f t="shared" si="506"/>
        <v>53</v>
      </c>
      <c r="B222" s="833">
        <v>6</v>
      </c>
      <c r="C222" s="997" t="s">
        <v>681</v>
      </c>
      <c r="D222" s="946" t="s">
        <v>680</v>
      </c>
      <c r="E222" s="998" t="s">
        <v>1225</v>
      </c>
      <c r="F222" s="947" t="s">
        <v>637</v>
      </c>
      <c r="G222" s="1421">
        <f t="shared" si="495"/>
        <v>0</v>
      </c>
      <c r="H222" s="1422">
        <f t="shared" si="495"/>
        <v>0</v>
      </c>
      <c r="I222" s="1422">
        <f t="shared" si="495"/>
        <v>0</v>
      </c>
      <c r="J222" s="489">
        <f t="shared" si="495"/>
        <v>0</v>
      </c>
      <c r="K222" s="1421">
        <f t="shared" si="504"/>
        <v>0</v>
      </c>
      <c r="L222" s="1422">
        <f t="shared" si="504"/>
        <v>0</v>
      </c>
      <c r="M222" s="1422">
        <f t="shared" si="504"/>
        <v>0</v>
      </c>
      <c r="N222" s="489">
        <f t="shared" si="504"/>
        <v>0</v>
      </c>
      <c r="O222" s="1011"/>
      <c r="P222" s="1012"/>
      <c r="Q222" s="1012"/>
      <c r="R222" s="1013">
        <f t="shared" si="496"/>
        <v>0</v>
      </c>
      <c r="S222" s="1014"/>
      <c r="T222" s="1015"/>
      <c r="U222" s="1012"/>
      <c r="V222" s="1013">
        <f t="shared" si="497"/>
        <v>0</v>
      </c>
      <c r="W222" s="1014"/>
      <c r="X222" s="1015"/>
      <c r="Y222" s="1012"/>
      <c r="Z222" s="1013">
        <f t="shared" si="498"/>
        <v>0</v>
      </c>
      <c r="AA222" s="1014"/>
      <c r="AB222" s="1015"/>
      <c r="AC222" s="1012"/>
      <c r="AD222" s="1013">
        <f t="shared" si="499"/>
        <v>0</v>
      </c>
      <c r="AE222" s="1014"/>
      <c r="AF222" s="1015"/>
      <c r="AG222" s="1012"/>
      <c r="AH222" s="1013">
        <f t="shared" si="500"/>
        <v>0</v>
      </c>
      <c r="AI222" s="1421">
        <f t="shared" si="505"/>
        <v>0</v>
      </c>
      <c r="AJ222" s="1422">
        <f t="shared" si="505"/>
        <v>0</v>
      </c>
      <c r="AK222" s="1422">
        <f t="shared" si="505"/>
        <v>0</v>
      </c>
      <c r="AL222" s="489">
        <f t="shared" si="505"/>
        <v>0</v>
      </c>
      <c r="AM222" s="1014"/>
      <c r="AN222" s="1015"/>
      <c r="AO222" s="1012"/>
      <c r="AP222" s="1013">
        <f t="shared" si="501"/>
        <v>0</v>
      </c>
      <c r="AQ222" s="1014"/>
      <c r="AR222" s="1015"/>
      <c r="AS222" s="1012"/>
      <c r="AT222" s="1013">
        <f t="shared" si="502"/>
        <v>0</v>
      </c>
      <c r="AU222" s="1014"/>
      <c r="AV222" s="1015"/>
      <c r="AW222" s="1012"/>
      <c r="AX222" s="1013">
        <f t="shared" si="503"/>
        <v>0</v>
      </c>
      <c r="AY222" s="818"/>
    </row>
    <row r="223" spans="1:51" s="493" customFormat="1">
      <c r="A223" s="532">
        <f t="shared" si="506"/>
        <v>54</v>
      </c>
      <c r="B223" s="833">
        <v>6</v>
      </c>
      <c r="C223" s="997" t="s">
        <v>681</v>
      </c>
      <c r="D223" s="946" t="s">
        <v>680</v>
      </c>
      <c r="E223" s="998" t="s">
        <v>1225</v>
      </c>
      <c r="F223" s="947" t="s">
        <v>638</v>
      </c>
      <c r="G223" s="1421">
        <f t="shared" si="495"/>
        <v>0</v>
      </c>
      <c r="H223" s="1422">
        <f t="shared" si="495"/>
        <v>0</v>
      </c>
      <c r="I223" s="1422">
        <f t="shared" si="495"/>
        <v>0</v>
      </c>
      <c r="J223" s="489">
        <f t="shared" si="495"/>
        <v>0</v>
      </c>
      <c r="K223" s="1421">
        <f t="shared" si="504"/>
        <v>0</v>
      </c>
      <c r="L223" s="1422">
        <f t="shared" si="504"/>
        <v>0</v>
      </c>
      <c r="M223" s="1422">
        <f t="shared" si="504"/>
        <v>0</v>
      </c>
      <c r="N223" s="489">
        <f t="shared" si="504"/>
        <v>0</v>
      </c>
      <c r="O223" s="1011"/>
      <c r="P223" s="1012"/>
      <c r="Q223" s="1012"/>
      <c r="R223" s="1013">
        <f t="shared" si="496"/>
        <v>0</v>
      </c>
      <c r="S223" s="1014"/>
      <c r="T223" s="1015"/>
      <c r="U223" s="1012"/>
      <c r="V223" s="1013">
        <f t="shared" si="497"/>
        <v>0</v>
      </c>
      <c r="W223" s="1014"/>
      <c r="X223" s="1015"/>
      <c r="Y223" s="1012"/>
      <c r="Z223" s="1013">
        <f t="shared" si="498"/>
        <v>0</v>
      </c>
      <c r="AA223" s="1014"/>
      <c r="AB223" s="1015"/>
      <c r="AC223" s="1012"/>
      <c r="AD223" s="1013">
        <f t="shared" si="499"/>
        <v>0</v>
      </c>
      <c r="AE223" s="1014"/>
      <c r="AF223" s="1015"/>
      <c r="AG223" s="1012"/>
      <c r="AH223" s="1013">
        <f t="shared" si="500"/>
        <v>0</v>
      </c>
      <c r="AI223" s="1421">
        <f t="shared" si="505"/>
        <v>0</v>
      </c>
      <c r="AJ223" s="1422">
        <f t="shared" si="505"/>
        <v>0</v>
      </c>
      <c r="AK223" s="1422">
        <f t="shared" si="505"/>
        <v>0</v>
      </c>
      <c r="AL223" s="489">
        <f t="shared" si="505"/>
        <v>0</v>
      </c>
      <c r="AM223" s="1014"/>
      <c r="AN223" s="1015"/>
      <c r="AO223" s="1012"/>
      <c r="AP223" s="1013">
        <f t="shared" si="501"/>
        <v>0</v>
      </c>
      <c r="AQ223" s="1014"/>
      <c r="AR223" s="1015"/>
      <c r="AS223" s="1012"/>
      <c r="AT223" s="1013">
        <f t="shared" si="502"/>
        <v>0</v>
      </c>
      <c r="AU223" s="1014"/>
      <c r="AV223" s="1015"/>
      <c r="AW223" s="1012"/>
      <c r="AX223" s="1013">
        <f t="shared" si="503"/>
        <v>0</v>
      </c>
      <c r="AY223" s="818"/>
    </row>
    <row r="224" spans="1:51" s="493" customFormat="1">
      <c r="A224" s="532">
        <f t="shared" si="506"/>
        <v>55</v>
      </c>
      <c r="B224" s="834">
        <v>6</v>
      </c>
      <c r="C224" s="997" t="s">
        <v>681</v>
      </c>
      <c r="D224" s="946" t="s">
        <v>680</v>
      </c>
      <c r="E224" s="998" t="s">
        <v>1225</v>
      </c>
      <c r="F224" s="947" t="s">
        <v>639</v>
      </c>
      <c r="G224" s="1421">
        <f t="shared" si="495"/>
        <v>2700</v>
      </c>
      <c r="H224" s="1422">
        <f t="shared" si="495"/>
        <v>2700</v>
      </c>
      <c r="I224" s="1422">
        <f t="shared" si="495"/>
        <v>0</v>
      </c>
      <c r="J224" s="489">
        <f t="shared" si="495"/>
        <v>2700</v>
      </c>
      <c r="K224" s="1421">
        <f t="shared" si="504"/>
        <v>2700</v>
      </c>
      <c r="L224" s="1422">
        <f t="shared" si="504"/>
        <v>2700</v>
      </c>
      <c r="M224" s="1422">
        <f t="shared" si="504"/>
        <v>0</v>
      </c>
      <c r="N224" s="489">
        <f t="shared" si="504"/>
        <v>2700</v>
      </c>
      <c r="O224" s="1011"/>
      <c r="P224" s="1012"/>
      <c r="Q224" s="1012"/>
      <c r="R224" s="1013">
        <f t="shared" si="496"/>
        <v>0</v>
      </c>
      <c r="S224" s="1014"/>
      <c r="T224" s="1015"/>
      <c r="U224" s="1012"/>
      <c r="V224" s="1013">
        <f t="shared" si="497"/>
        <v>0</v>
      </c>
      <c r="W224" s="1014"/>
      <c r="X224" s="1015"/>
      <c r="Y224" s="1012"/>
      <c r="Z224" s="1013">
        <f t="shared" si="498"/>
        <v>0</v>
      </c>
      <c r="AA224" s="1014">
        <v>2700</v>
      </c>
      <c r="AB224" s="1015">
        <v>2700</v>
      </c>
      <c r="AC224" s="1012"/>
      <c r="AD224" s="1013">
        <f t="shared" si="499"/>
        <v>2700</v>
      </c>
      <c r="AE224" s="1014"/>
      <c r="AF224" s="1015"/>
      <c r="AG224" s="1012"/>
      <c r="AH224" s="1013">
        <f t="shared" si="500"/>
        <v>0</v>
      </c>
      <c r="AI224" s="1421">
        <f t="shared" si="505"/>
        <v>0</v>
      </c>
      <c r="AJ224" s="1422">
        <f t="shared" si="505"/>
        <v>0</v>
      </c>
      <c r="AK224" s="1422">
        <f t="shared" si="505"/>
        <v>0</v>
      </c>
      <c r="AL224" s="489">
        <f t="shared" si="505"/>
        <v>0</v>
      </c>
      <c r="AM224" s="1014"/>
      <c r="AN224" s="1015"/>
      <c r="AO224" s="1012"/>
      <c r="AP224" s="1013">
        <f t="shared" si="501"/>
        <v>0</v>
      </c>
      <c r="AQ224" s="1014"/>
      <c r="AR224" s="1015"/>
      <c r="AS224" s="1012"/>
      <c r="AT224" s="1013">
        <f t="shared" si="502"/>
        <v>0</v>
      </c>
      <c r="AU224" s="1014"/>
      <c r="AV224" s="1015"/>
      <c r="AW224" s="1012"/>
      <c r="AX224" s="1013">
        <f t="shared" si="503"/>
        <v>0</v>
      </c>
      <c r="AY224" s="818"/>
    </row>
    <row r="225" spans="1:51" s="493" customFormat="1">
      <c r="A225" s="532">
        <f t="shared" si="506"/>
        <v>56</v>
      </c>
      <c r="B225" s="834">
        <v>7</v>
      </c>
      <c r="C225" s="997" t="s">
        <v>1259</v>
      </c>
      <c r="D225" s="946" t="s">
        <v>1272</v>
      </c>
      <c r="E225" s="998" t="s">
        <v>1225</v>
      </c>
      <c r="F225" s="947" t="s">
        <v>1271</v>
      </c>
      <c r="G225" s="1421">
        <f t="shared" si="495"/>
        <v>0</v>
      </c>
      <c r="H225" s="1422">
        <f t="shared" si="495"/>
        <v>0</v>
      </c>
      <c r="I225" s="1422">
        <f t="shared" si="495"/>
        <v>0</v>
      </c>
      <c r="J225" s="489">
        <f t="shared" si="495"/>
        <v>0</v>
      </c>
      <c r="K225" s="1421">
        <f t="shared" si="504"/>
        <v>0</v>
      </c>
      <c r="L225" s="1422">
        <f t="shared" si="504"/>
        <v>0</v>
      </c>
      <c r="M225" s="1422">
        <f t="shared" si="504"/>
        <v>0</v>
      </c>
      <c r="N225" s="489">
        <f t="shared" si="504"/>
        <v>0</v>
      </c>
      <c r="O225" s="1011"/>
      <c r="P225" s="1012"/>
      <c r="Q225" s="1012"/>
      <c r="R225" s="1013">
        <f t="shared" si="496"/>
        <v>0</v>
      </c>
      <c r="S225" s="1014"/>
      <c r="T225" s="1015"/>
      <c r="U225" s="1012"/>
      <c r="V225" s="1013">
        <f t="shared" si="497"/>
        <v>0</v>
      </c>
      <c r="W225" s="1014"/>
      <c r="X225" s="1015"/>
      <c r="Y225" s="1012"/>
      <c r="Z225" s="1013">
        <f t="shared" si="498"/>
        <v>0</v>
      </c>
      <c r="AA225" s="1014"/>
      <c r="AB225" s="1015"/>
      <c r="AC225" s="1012"/>
      <c r="AD225" s="1013">
        <f t="shared" si="499"/>
        <v>0</v>
      </c>
      <c r="AE225" s="1014"/>
      <c r="AF225" s="1015"/>
      <c r="AG225" s="1012"/>
      <c r="AH225" s="1013">
        <f t="shared" si="500"/>
        <v>0</v>
      </c>
      <c r="AI225" s="1421">
        <f t="shared" si="505"/>
        <v>0</v>
      </c>
      <c r="AJ225" s="1422">
        <f t="shared" si="505"/>
        <v>0</v>
      </c>
      <c r="AK225" s="1422">
        <f t="shared" si="505"/>
        <v>0</v>
      </c>
      <c r="AL225" s="489">
        <f t="shared" si="505"/>
        <v>0</v>
      </c>
      <c r="AM225" s="1014"/>
      <c r="AN225" s="1015"/>
      <c r="AO225" s="1012"/>
      <c r="AP225" s="1013">
        <f t="shared" si="501"/>
        <v>0</v>
      </c>
      <c r="AQ225" s="1014"/>
      <c r="AR225" s="1015"/>
      <c r="AS225" s="1012"/>
      <c r="AT225" s="1013">
        <f t="shared" si="502"/>
        <v>0</v>
      </c>
      <c r="AU225" s="1014"/>
      <c r="AV225" s="1015"/>
      <c r="AW225" s="1012"/>
      <c r="AX225" s="1013">
        <f t="shared" si="503"/>
        <v>0</v>
      </c>
      <c r="AY225" s="818"/>
    </row>
    <row r="226" spans="1:51" s="493" customFormat="1">
      <c r="A226" s="532">
        <f t="shared" si="506"/>
        <v>57</v>
      </c>
      <c r="B226" s="834">
        <v>8</v>
      </c>
      <c r="C226" s="997" t="s">
        <v>1037</v>
      </c>
      <c r="D226" s="946" t="s">
        <v>1039</v>
      </c>
      <c r="E226" s="998" t="s">
        <v>1225</v>
      </c>
      <c r="F226" s="947" t="s">
        <v>1038</v>
      </c>
      <c r="G226" s="1421">
        <f t="shared" si="495"/>
        <v>2000</v>
      </c>
      <c r="H226" s="1422">
        <f t="shared" si="495"/>
        <v>2000</v>
      </c>
      <c r="I226" s="1422">
        <f t="shared" si="495"/>
        <v>0</v>
      </c>
      <c r="J226" s="489">
        <f t="shared" si="495"/>
        <v>2000</v>
      </c>
      <c r="K226" s="1421">
        <f t="shared" si="504"/>
        <v>2000</v>
      </c>
      <c r="L226" s="1422">
        <f t="shared" si="504"/>
        <v>2000</v>
      </c>
      <c r="M226" s="1422">
        <f t="shared" si="504"/>
        <v>0</v>
      </c>
      <c r="N226" s="489">
        <f t="shared" si="504"/>
        <v>2000</v>
      </c>
      <c r="O226" s="1011"/>
      <c r="P226" s="1012"/>
      <c r="Q226" s="1012"/>
      <c r="R226" s="1013">
        <f t="shared" si="496"/>
        <v>0</v>
      </c>
      <c r="S226" s="1014"/>
      <c r="T226" s="1015"/>
      <c r="U226" s="1012"/>
      <c r="V226" s="1013">
        <f t="shared" si="497"/>
        <v>0</v>
      </c>
      <c r="W226" s="1014">
        <v>2000</v>
      </c>
      <c r="X226" s="1015">
        <v>2000</v>
      </c>
      <c r="Y226" s="1012"/>
      <c r="Z226" s="1013">
        <f t="shared" si="498"/>
        <v>2000</v>
      </c>
      <c r="AA226" s="1014"/>
      <c r="AB226" s="1015"/>
      <c r="AC226" s="1012"/>
      <c r="AD226" s="1013">
        <f t="shared" si="499"/>
        <v>0</v>
      </c>
      <c r="AE226" s="1014"/>
      <c r="AF226" s="1015"/>
      <c r="AG226" s="1012"/>
      <c r="AH226" s="1013">
        <f t="shared" si="500"/>
        <v>0</v>
      </c>
      <c r="AI226" s="1421">
        <f t="shared" si="505"/>
        <v>0</v>
      </c>
      <c r="AJ226" s="1422">
        <f t="shared" si="505"/>
        <v>0</v>
      </c>
      <c r="AK226" s="1422">
        <f t="shared" si="505"/>
        <v>0</v>
      </c>
      <c r="AL226" s="489">
        <f t="shared" si="505"/>
        <v>0</v>
      </c>
      <c r="AM226" s="1014"/>
      <c r="AN226" s="1015"/>
      <c r="AO226" s="1012"/>
      <c r="AP226" s="1013">
        <f t="shared" si="501"/>
        <v>0</v>
      </c>
      <c r="AQ226" s="1014"/>
      <c r="AR226" s="1015"/>
      <c r="AS226" s="1012"/>
      <c r="AT226" s="1013">
        <f t="shared" si="502"/>
        <v>0</v>
      </c>
      <c r="AU226" s="1014"/>
      <c r="AV226" s="1015"/>
      <c r="AW226" s="1012"/>
      <c r="AX226" s="1013">
        <f t="shared" si="503"/>
        <v>0</v>
      </c>
      <c r="AY226" s="818"/>
    </row>
    <row r="227" spans="1:51" s="493" customFormat="1">
      <c r="A227" s="532">
        <f t="shared" si="506"/>
        <v>58</v>
      </c>
      <c r="B227" s="834">
        <v>6</v>
      </c>
      <c r="C227" s="997" t="s">
        <v>1057</v>
      </c>
      <c r="D227" s="946" t="s">
        <v>1059</v>
      </c>
      <c r="E227" s="998" t="s">
        <v>1236</v>
      </c>
      <c r="F227" s="947" t="s">
        <v>1059</v>
      </c>
      <c r="G227" s="1421">
        <f t="shared" si="495"/>
        <v>0</v>
      </c>
      <c r="H227" s="1422">
        <f t="shared" si="495"/>
        <v>4500</v>
      </c>
      <c r="I227" s="1422">
        <f t="shared" si="495"/>
        <v>23102</v>
      </c>
      <c r="J227" s="489">
        <f t="shared" si="495"/>
        <v>27602</v>
      </c>
      <c r="K227" s="1421">
        <f t="shared" si="504"/>
        <v>0</v>
      </c>
      <c r="L227" s="1422">
        <f t="shared" si="504"/>
        <v>0</v>
      </c>
      <c r="M227" s="1422">
        <f t="shared" si="504"/>
        <v>0</v>
      </c>
      <c r="N227" s="489">
        <f t="shared" si="504"/>
        <v>0</v>
      </c>
      <c r="O227" s="1011"/>
      <c r="P227" s="1012"/>
      <c r="Q227" s="1012"/>
      <c r="R227" s="1013">
        <f t="shared" si="496"/>
        <v>0</v>
      </c>
      <c r="S227" s="1014"/>
      <c r="T227" s="1015"/>
      <c r="U227" s="1012"/>
      <c r="V227" s="1013">
        <f t="shared" si="497"/>
        <v>0</v>
      </c>
      <c r="W227" s="1014"/>
      <c r="X227" s="1015"/>
      <c r="Y227" s="1012"/>
      <c r="Z227" s="1013">
        <f t="shared" si="498"/>
        <v>0</v>
      </c>
      <c r="AA227" s="1014"/>
      <c r="AB227" s="1015"/>
      <c r="AC227" s="1012"/>
      <c r="AD227" s="1013">
        <f t="shared" si="499"/>
        <v>0</v>
      </c>
      <c r="AE227" s="1014"/>
      <c r="AF227" s="1015"/>
      <c r="AG227" s="1012"/>
      <c r="AH227" s="1013">
        <f t="shared" si="500"/>
        <v>0</v>
      </c>
      <c r="AI227" s="1421">
        <f t="shared" si="505"/>
        <v>0</v>
      </c>
      <c r="AJ227" s="1422">
        <f t="shared" si="505"/>
        <v>4500</v>
      </c>
      <c r="AK227" s="1422">
        <f t="shared" si="505"/>
        <v>23102</v>
      </c>
      <c r="AL227" s="489">
        <f t="shared" si="505"/>
        <v>27602</v>
      </c>
      <c r="AM227" s="1014"/>
      <c r="AN227" s="1015">
        <v>4500</v>
      </c>
      <c r="AO227" s="1012">
        <f>1850+2090</f>
        <v>3940</v>
      </c>
      <c r="AP227" s="1013">
        <f t="shared" si="501"/>
        <v>8440</v>
      </c>
      <c r="AQ227" s="1014"/>
      <c r="AR227" s="1015"/>
      <c r="AS227" s="1012"/>
      <c r="AT227" s="1013">
        <f t="shared" si="502"/>
        <v>0</v>
      </c>
      <c r="AU227" s="1014"/>
      <c r="AV227" s="1015"/>
      <c r="AW227" s="1012">
        <v>19162</v>
      </c>
      <c r="AX227" s="1013">
        <f t="shared" si="503"/>
        <v>19162</v>
      </c>
      <c r="AY227" s="818"/>
    </row>
    <row r="228" spans="1:51" s="493" customFormat="1">
      <c r="A228" s="532">
        <f t="shared" si="506"/>
        <v>59</v>
      </c>
      <c r="B228" s="834">
        <v>6</v>
      </c>
      <c r="C228" s="997" t="s">
        <v>676</v>
      </c>
      <c r="D228" s="946" t="s">
        <v>677</v>
      </c>
      <c r="E228" s="998" t="s">
        <v>1225</v>
      </c>
      <c r="F228" s="947" t="s">
        <v>1032</v>
      </c>
      <c r="G228" s="1421">
        <f t="shared" si="495"/>
        <v>19200</v>
      </c>
      <c r="H228" s="1422">
        <f t="shared" si="495"/>
        <v>19200</v>
      </c>
      <c r="I228" s="1422">
        <f t="shared" si="495"/>
        <v>0</v>
      </c>
      <c r="J228" s="489">
        <f t="shared" si="495"/>
        <v>19200</v>
      </c>
      <c r="K228" s="1421">
        <f t="shared" si="504"/>
        <v>19200</v>
      </c>
      <c r="L228" s="1422">
        <f t="shared" si="504"/>
        <v>19200</v>
      </c>
      <c r="M228" s="1422">
        <f t="shared" si="504"/>
        <v>0</v>
      </c>
      <c r="N228" s="489">
        <f t="shared" si="504"/>
        <v>19200</v>
      </c>
      <c r="O228" s="1011"/>
      <c r="P228" s="1012"/>
      <c r="Q228" s="1012"/>
      <c r="R228" s="1013">
        <f t="shared" si="496"/>
        <v>0</v>
      </c>
      <c r="S228" s="1014"/>
      <c r="T228" s="1015"/>
      <c r="U228" s="1012"/>
      <c r="V228" s="1013">
        <f t="shared" si="497"/>
        <v>0</v>
      </c>
      <c r="W228" s="1014"/>
      <c r="X228" s="1015"/>
      <c r="Y228" s="1012"/>
      <c r="Z228" s="1013">
        <f t="shared" si="498"/>
        <v>0</v>
      </c>
      <c r="AA228" s="1014">
        <v>19200</v>
      </c>
      <c r="AB228" s="1015">
        <v>19200</v>
      </c>
      <c r="AC228" s="1012"/>
      <c r="AD228" s="1013">
        <f t="shared" si="499"/>
        <v>19200</v>
      </c>
      <c r="AE228" s="1014"/>
      <c r="AF228" s="1015"/>
      <c r="AG228" s="1012"/>
      <c r="AH228" s="1013">
        <f t="shared" si="500"/>
        <v>0</v>
      </c>
      <c r="AI228" s="1421">
        <f t="shared" si="505"/>
        <v>0</v>
      </c>
      <c r="AJ228" s="1422">
        <f t="shared" si="505"/>
        <v>0</v>
      </c>
      <c r="AK228" s="1422">
        <f t="shared" si="505"/>
        <v>0</v>
      </c>
      <c r="AL228" s="489">
        <f t="shared" si="505"/>
        <v>0</v>
      </c>
      <c r="AM228" s="1014"/>
      <c r="AN228" s="1015"/>
      <c r="AO228" s="1012"/>
      <c r="AP228" s="1013">
        <f t="shared" si="501"/>
        <v>0</v>
      </c>
      <c r="AQ228" s="1014"/>
      <c r="AR228" s="1015"/>
      <c r="AS228" s="1012"/>
      <c r="AT228" s="1013">
        <f t="shared" si="502"/>
        <v>0</v>
      </c>
      <c r="AU228" s="1014"/>
      <c r="AV228" s="1015"/>
      <c r="AW228" s="1012"/>
      <c r="AX228" s="1013">
        <f t="shared" si="503"/>
        <v>0</v>
      </c>
      <c r="AY228" s="818"/>
    </row>
    <row r="229" spans="1:51" s="493" customFormat="1">
      <c r="A229" s="532">
        <f t="shared" si="506"/>
        <v>60</v>
      </c>
      <c r="B229" s="834">
        <v>6</v>
      </c>
      <c r="C229" s="997" t="s">
        <v>682</v>
      </c>
      <c r="D229" s="946" t="s">
        <v>683</v>
      </c>
      <c r="E229" s="998" t="s">
        <v>1225</v>
      </c>
      <c r="F229" s="947" t="s">
        <v>1034</v>
      </c>
      <c r="G229" s="1421">
        <f t="shared" si="495"/>
        <v>22855</v>
      </c>
      <c r="H229" s="1422">
        <f t="shared" si="495"/>
        <v>22855</v>
      </c>
      <c r="I229" s="1422">
        <f t="shared" si="495"/>
        <v>0</v>
      </c>
      <c r="J229" s="489">
        <f t="shared" si="495"/>
        <v>22855</v>
      </c>
      <c r="K229" s="1421">
        <f t="shared" si="504"/>
        <v>22855</v>
      </c>
      <c r="L229" s="1422">
        <f t="shared" si="504"/>
        <v>22855</v>
      </c>
      <c r="M229" s="1422">
        <f t="shared" si="504"/>
        <v>0</v>
      </c>
      <c r="N229" s="489">
        <f t="shared" si="504"/>
        <v>22855</v>
      </c>
      <c r="O229" s="1011"/>
      <c r="P229" s="1012"/>
      <c r="Q229" s="1012"/>
      <c r="R229" s="1013">
        <f t="shared" si="496"/>
        <v>0</v>
      </c>
      <c r="S229" s="1014"/>
      <c r="T229" s="1015"/>
      <c r="U229" s="1012"/>
      <c r="V229" s="1013">
        <f t="shared" si="497"/>
        <v>0</v>
      </c>
      <c r="W229" s="1014"/>
      <c r="X229" s="1015"/>
      <c r="Y229" s="1012"/>
      <c r="Z229" s="1013">
        <f t="shared" si="498"/>
        <v>0</v>
      </c>
      <c r="AA229" s="1014">
        <v>22855</v>
      </c>
      <c r="AB229" s="1015">
        <v>22855</v>
      </c>
      <c r="AC229" s="1012"/>
      <c r="AD229" s="1013">
        <f t="shared" si="499"/>
        <v>22855</v>
      </c>
      <c r="AE229" s="1014"/>
      <c r="AF229" s="1015"/>
      <c r="AG229" s="1012"/>
      <c r="AH229" s="1013">
        <f t="shared" si="500"/>
        <v>0</v>
      </c>
      <c r="AI229" s="1421">
        <f t="shared" si="505"/>
        <v>0</v>
      </c>
      <c r="AJ229" s="1422">
        <f t="shared" si="505"/>
        <v>0</v>
      </c>
      <c r="AK229" s="1422">
        <f t="shared" si="505"/>
        <v>0</v>
      </c>
      <c r="AL229" s="489">
        <f t="shared" si="505"/>
        <v>0</v>
      </c>
      <c r="AM229" s="1014"/>
      <c r="AN229" s="1015"/>
      <c r="AO229" s="1012"/>
      <c r="AP229" s="1013">
        <f t="shared" si="501"/>
        <v>0</v>
      </c>
      <c r="AQ229" s="1014"/>
      <c r="AR229" s="1015"/>
      <c r="AS229" s="1012"/>
      <c r="AT229" s="1013">
        <f t="shared" si="502"/>
        <v>0</v>
      </c>
      <c r="AU229" s="1014"/>
      <c r="AV229" s="1015"/>
      <c r="AW229" s="1012"/>
      <c r="AX229" s="1013">
        <f t="shared" si="503"/>
        <v>0</v>
      </c>
      <c r="AY229" s="818"/>
    </row>
    <row r="230" spans="1:51" s="493" customFormat="1">
      <c r="A230" s="532">
        <f t="shared" si="506"/>
        <v>61</v>
      </c>
      <c r="B230" s="834">
        <v>6</v>
      </c>
      <c r="C230" s="997" t="s">
        <v>682</v>
      </c>
      <c r="D230" s="946" t="s">
        <v>689</v>
      </c>
      <c r="E230" s="998" t="s">
        <v>1225</v>
      </c>
      <c r="F230" s="947" t="s">
        <v>640</v>
      </c>
      <c r="G230" s="1421">
        <f t="shared" ref="G230:J230" si="510">+K230+AI230</f>
        <v>1000</v>
      </c>
      <c r="H230" s="1422">
        <f t="shared" si="510"/>
        <v>1000</v>
      </c>
      <c r="I230" s="1422">
        <f t="shared" si="510"/>
        <v>0</v>
      </c>
      <c r="J230" s="489">
        <f t="shared" si="510"/>
        <v>1000</v>
      </c>
      <c r="K230" s="1421">
        <f t="shared" ref="K230:N230" si="511">+O230+S230+W230+AA230+AE230</f>
        <v>1000</v>
      </c>
      <c r="L230" s="1422">
        <f t="shared" si="511"/>
        <v>1000</v>
      </c>
      <c r="M230" s="1422">
        <f t="shared" si="511"/>
        <v>0</v>
      </c>
      <c r="N230" s="489">
        <f t="shared" si="511"/>
        <v>1000</v>
      </c>
      <c r="O230" s="1011"/>
      <c r="P230" s="1012"/>
      <c r="Q230" s="1012"/>
      <c r="R230" s="1013">
        <f t="shared" si="496"/>
        <v>0</v>
      </c>
      <c r="S230" s="1014"/>
      <c r="T230" s="1015"/>
      <c r="U230" s="1012"/>
      <c r="V230" s="1013">
        <f t="shared" si="497"/>
        <v>0</v>
      </c>
      <c r="W230" s="1014"/>
      <c r="X230" s="1015"/>
      <c r="Y230" s="1012"/>
      <c r="Z230" s="1013">
        <f t="shared" si="498"/>
        <v>0</v>
      </c>
      <c r="AA230" s="1014">
        <v>1000</v>
      </c>
      <c r="AB230" s="1015">
        <v>1000</v>
      </c>
      <c r="AC230" s="1012"/>
      <c r="AD230" s="1013">
        <f t="shared" si="499"/>
        <v>1000</v>
      </c>
      <c r="AE230" s="1014"/>
      <c r="AF230" s="1015"/>
      <c r="AG230" s="1012"/>
      <c r="AH230" s="1013">
        <f t="shared" si="500"/>
        <v>0</v>
      </c>
      <c r="AI230" s="1421">
        <f t="shared" ref="AI230:AL230" si="512">+AM230+AQ230+AU230</f>
        <v>0</v>
      </c>
      <c r="AJ230" s="1422">
        <f t="shared" si="512"/>
        <v>0</v>
      </c>
      <c r="AK230" s="1422">
        <f t="shared" si="512"/>
        <v>0</v>
      </c>
      <c r="AL230" s="489">
        <f t="shared" si="512"/>
        <v>0</v>
      </c>
      <c r="AM230" s="1014"/>
      <c r="AN230" s="1015"/>
      <c r="AO230" s="1012"/>
      <c r="AP230" s="1013">
        <f t="shared" si="501"/>
        <v>0</v>
      </c>
      <c r="AQ230" s="1014"/>
      <c r="AR230" s="1015"/>
      <c r="AS230" s="1012"/>
      <c r="AT230" s="1013">
        <f t="shared" si="502"/>
        <v>0</v>
      </c>
      <c r="AU230" s="1014"/>
      <c r="AV230" s="1015"/>
      <c r="AW230" s="1012"/>
      <c r="AX230" s="1013">
        <f t="shared" si="503"/>
        <v>0</v>
      </c>
      <c r="AY230" s="818"/>
    </row>
    <row r="231" spans="1:51" s="493" customFormat="1">
      <c r="A231" s="532">
        <f t="shared" si="506"/>
        <v>62</v>
      </c>
      <c r="B231" s="834">
        <v>7</v>
      </c>
      <c r="C231" s="997" t="s">
        <v>704</v>
      </c>
      <c r="D231" s="946" t="s">
        <v>1280</v>
      </c>
      <c r="E231" s="998" t="s">
        <v>1228</v>
      </c>
      <c r="F231" s="947" t="s">
        <v>1281</v>
      </c>
      <c r="G231" s="1421">
        <f t="shared" si="495"/>
        <v>0</v>
      </c>
      <c r="H231" s="1422">
        <f t="shared" si="495"/>
        <v>0</v>
      </c>
      <c r="I231" s="1422">
        <f t="shared" si="495"/>
        <v>0</v>
      </c>
      <c r="J231" s="489">
        <f t="shared" si="495"/>
        <v>0</v>
      </c>
      <c r="K231" s="1421">
        <f t="shared" si="504"/>
        <v>0</v>
      </c>
      <c r="L231" s="1422">
        <f t="shared" si="504"/>
        <v>0</v>
      </c>
      <c r="M231" s="1422">
        <f t="shared" si="504"/>
        <v>0</v>
      </c>
      <c r="N231" s="489">
        <f t="shared" si="504"/>
        <v>0</v>
      </c>
      <c r="O231" s="1011"/>
      <c r="P231" s="1012"/>
      <c r="Q231" s="1012"/>
      <c r="R231" s="1013">
        <f t="shared" si="496"/>
        <v>0</v>
      </c>
      <c r="S231" s="1014"/>
      <c r="T231" s="1015"/>
      <c r="U231" s="1012"/>
      <c r="V231" s="1013">
        <f t="shared" si="497"/>
        <v>0</v>
      </c>
      <c r="W231" s="1014"/>
      <c r="X231" s="1015"/>
      <c r="Y231" s="1012"/>
      <c r="Z231" s="1013">
        <f t="shared" si="498"/>
        <v>0</v>
      </c>
      <c r="AA231" s="1014"/>
      <c r="AB231" s="1015"/>
      <c r="AC231" s="1012"/>
      <c r="AD231" s="1013">
        <f t="shared" si="499"/>
        <v>0</v>
      </c>
      <c r="AE231" s="1014"/>
      <c r="AF231" s="1015"/>
      <c r="AG231" s="1012"/>
      <c r="AH231" s="1013">
        <f t="shared" si="500"/>
        <v>0</v>
      </c>
      <c r="AI231" s="1421">
        <f t="shared" si="505"/>
        <v>0</v>
      </c>
      <c r="AJ231" s="1422">
        <f t="shared" si="505"/>
        <v>0</v>
      </c>
      <c r="AK231" s="1422">
        <f t="shared" si="505"/>
        <v>0</v>
      </c>
      <c r="AL231" s="489">
        <f t="shared" si="505"/>
        <v>0</v>
      </c>
      <c r="AM231" s="1014"/>
      <c r="AN231" s="1015"/>
      <c r="AO231" s="1012"/>
      <c r="AP231" s="1013">
        <f t="shared" si="501"/>
        <v>0</v>
      </c>
      <c r="AQ231" s="1014"/>
      <c r="AR231" s="1015"/>
      <c r="AS231" s="1012"/>
      <c r="AT231" s="1013">
        <f t="shared" si="502"/>
        <v>0</v>
      </c>
      <c r="AU231" s="1014"/>
      <c r="AV231" s="1015"/>
      <c r="AW231" s="1012"/>
      <c r="AX231" s="1013">
        <f t="shared" si="503"/>
        <v>0</v>
      </c>
      <c r="AY231" s="818"/>
    </row>
    <row r="232" spans="1:51" s="493" customFormat="1">
      <c r="A232" s="532">
        <f t="shared" si="506"/>
        <v>63</v>
      </c>
      <c r="B232" s="834">
        <v>7</v>
      </c>
      <c r="C232" s="997" t="s">
        <v>1254</v>
      </c>
      <c r="D232" s="946" t="s">
        <v>1252</v>
      </c>
      <c r="E232" s="998" t="s">
        <v>1225</v>
      </c>
      <c r="F232" s="947" t="s">
        <v>1282</v>
      </c>
      <c r="G232" s="1421">
        <f t="shared" ref="G232:J232" si="513">+K232+AI232</f>
        <v>0</v>
      </c>
      <c r="H232" s="1422">
        <f t="shared" si="513"/>
        <v>0</v>
      </c>
      <c r="I232" s="1422">
        <f t="shared" si="513"/>
        <v>0</v>
      </c>
      <c r="J232" s="489">
        <f t="shared" si="513"/>
        <v>0</v>
      </c>
      <c r="K232" s="1421">
        <f t="shared" ref="K232:N232" si="514">+O232+S232+W232+AA232+AE232</f>
        <v>0</v>
      </c>
      <c r="L232" s="1422">
        <f t="shared" si="514"/>
        <v>0</v>
      </c>
      <c r="M232" s="1422">
        <f t="shared" si="514"/>
        <v>0</v>
      </c>
      <c r="N232" s="489">
        <f t="shared" si="514"/>
        <v>0</v>
      </c>
      <c r="O232" s="1011"/>
      <c r="P232" s="1012"/>
      <c r="Q232" s="1012"/>
      <c r="R232" s="1013">
        <f t="shared" si="496"/>
        <v>0</v>
      </c>
      <c r="S232" s="1014"/>
      <c r="T232" s="1015"/>
      <c r="U232" s="1012"/>
      <c r="V232" s="1013">
        <f t="shared" si="497"/>
        <v>0</v>
      </c>
      <c r="W232" s="1014"/>
      <c r="X232" s="1015"/>
      <c r="Y232" s="1012"/>
      <c r="Z232" s="1013">
        <f t="shared" si="498"/>
        <v>0</v>
      </c>
      <c r="AA232" s="1014"/>
      <c r="AB232" s="1015"/>
      <c r="AC232" s="1012"/>
      <c r="AD232" s="1013">
        <f t="shared" si="499"/>
        <v>0</v>
      </c>
      <c r="AE232" s="1014"/>
      <c r="AF232" s="1015"/>
      <c r="AG232" s="1012"/>
      <c r="AH232" s="1013">
        <f t="shared" si="500"/>
        <v>0</v>
      </c>
      <c r="AI232" s="1421">
        <f t="shared" ref="AI232:AL232" si="515">+AM232+AQ232+AU232</f>
        <v>0</v>
      </c>
      <c r="AJ232" s="1422">
        <f t="shared" si="515"/>
        <v>0</v>
      </c>
      <c r="AK232" s="1422">
        <f t="shared" si="515"/>
        <v>0</v>
      </c>
      <c r="AL232" s="489">
        <f t="shared" si="515"/>
        <v>0</v>
      </c>
      <c r="AM232" s="1014"/>
      <c r="AN232" s="1015"/>
      <c r="AO232" s="1012"/>
      <c r="AP232" s="1013">
        <f t="shared" si="501"/>
        <v>0</v>
      </c>
      <c r="AQ232" s="1014"/>
      <c r="AR232" s="1015"/>
      <c r="AS232" s="1012"/>
      <c r="AT232" s="1013">
        <f t="shared" si="502"/>
        <v>0</v>
      </c>
      <c r="AU232" s="1014"/>
      <c r="AV232" s="1015"/>
      <c r="AW232" s="1012"/>
      <c r="AX232" s="1013">
        <f t="shared" si="503"/>
        <v>0</v>
      </c>
      <c r="AY232" s="818"/>
    </row>
    <row r="233" spans="1:51" s="493" customFormat="1">
      <c r="A233" s="532">
        <f t="shared" si="506"/>
        <v>64</v>
      </c>
      <c r="B233" s="834">
        <v>7</v>
      </c>
      <c r="C233" s="997" t="s">
        <v>1259</v>
      </c>
      <c r="D233" s="946" t="s">
        <v>1284</v>
      </c>
      <c r="E233" s="998" t="s">
        <v>1225</v>
      </c>
      <c r="F233" s="947" t="s">
        <v>1283</v>
      </c>
      <c r="G233" s="1421">
        <f t="shared" si="495"/>
        <v>0</v>
      </c>
      <c r="H233" s="1422">
        <f t="shared" si="495"/>
        <v>0</v>
      </c>
      <c r="I233" s="1422">
        <f t="shared" si="495"/>
        <v>0</v>
      </c>
      <c r="J233" s="489">
        <f t="shared" si="495"/>
        <v>0</v>
      </c>
      <c r="K233" s="1421">
        <f t="shared" si="504"/>
        <v>0</v>
      </c>
      <c r="L233" s="1422">
        <f t="shared" si="504"/>
        <v>0</v>
      </c>
      <c r="M233" s="1422">
        <f t="shared" si="504"/>
        <v>0</v>
      </c>
      <c r="N233" s="489">
        <f t="shared" si="504"/>
        <v>0</v>
      </c>
      <c r="O233" s="1011"/>
      <c r="P233" s="1012"/>
      <c r="Q233" s="1012"/>
      <c r="R233" s="1013">
        <f t="shared" si="496"/>
        <v>0</v>
      </c>
      <c r="S233" s="1014"/>
      <c r="T233" s="1015"/>
      <c r="U233" s="1012"/>
      <c r="V233" s="1013">
        <f t="shared" si="497"/>
        <v>0</v>
      </c>
      <c r="W233" s="1014"/>
      <c r="X233" s="1015"/>
      <c r="Y233" s="1012"/>
      <c r="Z233" s="1013">
        <f t="shared" si="498"/>
        <v>0</v>
      </c>
      <c r="AA233" s="1014"/>
      <c r="AB233" s="1015"/>
      <c r="AC233" s="1012"/>
      <c r="AD233" s="1013">
        <f t="shared" si="499"/>
        <v>0</v>
      </c>
      <c r="AE233" s="1014"/>
      <c r="AF233" s="1015"/>
      <c r="AG233" s="1012"/>
      <c r="AH233" s="1013">
        <f t="shared" si="500"/>
        <v>0</v>
      </c>
      <c r="AI233" s="1421">
        <f t="shared" si="505"/>
        <v>0</v>
      </c>
      <c r="AJ233" s="1422">
        <f t="shared" si="505"/>
        <v>0</v>
      </c>
      <c r="AK233" s="1422">
        <f t="shared" si="505"/>
        <v>0</v>
      </c>
      <c r="AL233" s="489">
        <f t="shared" si="505"/>
        <v>0</v>
      </c>
      <c r="AM233" s="1014"/>
      <c r="AN233" s="1015"/>
      <c r="AO233" s="1012"/>
      <c r="AP233" s="1013">
        <f t="shared" si="501"/>
        <v>0</v>
      </c>
      <c r="AQ233" s="1014"/>
      <c r="AR233" s="1015"/>
      <c r="AS233" s="1012"/>
      <c r="AT233" s="1013">
        <f t="shared" si="502"/>
        <v>0</v>
      </c>
      <c r="AU233" s="1014"/>
      <c r="AV233" s="1015"/>
      <c r="AW233" s="1012"/>
      <c r="AX233" s="1013">
        <f t="shared" si="503"/>
        <v>0</v>
      </c>
      <c r="AY233" s="818"/>
    </row>
    <row r="234" spans="1:51" s="493" customFormat="1">
      <c r="A234" s="532">
        <f t="shared" si="506"/>
        <v>65</v>
      </c>
      <c r="B234" s="834">
        <v>7</v>
      </c>
      <c r="C234" s="997" t="s">
        <v>1285</v>
      </c>
      <c r="D234" s="946" t="s">
        <v>1286</v>
      </c>
      <c r="E234" s="998" t="s">
        <v>1225</v>
      </c>
      <c r="F234" s="947" t="s">
        <v>1287</v>
      </c>
      <c r="G234" s="1421">
        <f t="shared" ref="G234:J234" si="516">+K234+AI234</f>
        <v>0</v>
      </c>
      <c r="H234" s="1422">
        <f t="shared" si="516"/>
        <v>0</v>
      </c>
      <c r="I234" s="1422">
        <f t="shared" si="516"/>
        <v>0</v>
      </c>
      <c r="J234" s="489">
        <f t="shared" si="516"/>
        <v>0</v>
      </c>
      <c r="K234" s="1421">
        <f t="shared" ref="K234:N234" si="517">+O234+S234+W234+AA234+AE234</f>
        <v>0</v>
      </c>
      <c r="L234" s="1422">
        <f t="shared" si="517"/>
        <v>0</v>
      </c>
      <c r="M234" s="1422">
        <f t="shared" si="517"/>
        <v>0</v>
      </c>
      <c r="N234" s="489">
        <f t="shared" si="517"/>
        <v>0</v>
      </c>
      <c r="O234" s="1011"/>
      <c r="P234" s="1012"/>
      <c r="Q234" s="1012"/>
      <c r="R234" s="1013">
        <f t="shared" ref="R234:R242" si="518">+P234+Q234</f>
        <v>0</v>
      </c>
      <c r="S234" s="1014"/>
      <c r="T234" s="1015"/>
      <c r="U234" s="1012"/>
      <c r="V234" s="1013">
        <f t="shared" ref="V234:V242" si="519">+T234+U234</f>
        <v>0</v>
      </c>
      <c r="W234" s="1014"/>
      <c r="X234" s="1015"/>
      <c r="Y234" s="1012"/>
      <c r="Z234" s="1013">
        <f t="shared" ref="Z234:Z242" si="520">+X234+Y234</f>
        <v>0</v>
      </c>
      <c r="AA234" s="1014"/>
      <c r="AB234" s="1015"/>
      <c r="AC234" s="1012"/>
      <c r="AD234" s="1013">
        <f t="shared" ref="AD234:AD242" si="521">+AB234+AC234</f>
        <v>0</v>
      </c>
      <c r="AE234" s="1014"/>
      <c r="AF234" s="1015"/>
      <c r="AG234" s="1012"/>
      <c r="AH234" s="1013">
        <f t="shared" ref="AH234:AH242" si="522">+AF234+AG234</f>
        <v>0</v>
      </c>
      <c r="AI234" s="1421">
        <f t="shared" ref="AI234:AL234" si="523">+AM234+AQ234+AU234</f>
        <v>0</v>
      </c>
      <c r="AJ234" s="1422">
        <f t="shared" si="523"/>
        <v>0</v>
      </c>
      <c r="AK234" s="1422">
        <f t="shared" si="523"/>
        <v>0</v>
      </c>
      <c r="AL234" s="489">
        <f t="shared" si="523"/>
        <v>0</v>
      </c>
      <c r="AM234" s="1014"/>
      <c r="AN234" s="1015"/>
      <c r="AO234" s="1012"/>
      <c r="AP234" s="1013">
        <f t="shared" ref="AP234:AP242" si="524">+AN234+AO234</f>
        <v>0</v>
      </c>
      <c r="AQ234" s="1014"/>
      <c r="AR234" s="1015"/>
      <c r="AS234" s="1012"/>
      <c r="AT234" s="1013">
        <f t="shared" ref="AT234:AT242" si="525">+AR234+AS234</f>
        <v>0</v>
      </c>
      <c r="AU234" s="1014"/>
      <c r="AV234" s="1015"/>
      <c r="AW234" s="1012"/>
      <c r="AX234" s="1013">
        <f t="shared" ref="AX234:AX242" si="526">+AV234+AW234</f>
        <v>0</v>
      </c>
      <c r="AY234" s="818"/>
    </row>
    <row r="235" spans="1:51" s="493" customFormat="1">
      <c r="A235" s="532">
        <f t="shared" si="506"/>
        <v>66</v>
      </c>
      <c r="B235" s="834">
        <v>7</v>
      </c>
      <c r="C235" s="997" t="s">
        <v>1288</v>
      </c>
      <c r="D235" s="946" t="s">
        <v>1289</v>
      </c>
      <c r="E235" s="998" t="s">
        <v>1225</v>
      </c>
      <c r="F235" s="947" t="s">
        <v>1294</v>
      </c>
      <c r="G235" s="1421">
        <f t="shared" si="495"/>
        <v>0</v>
      </c>
      <c r="H235" s="1422">
        <f t="shared" si="495"/>
        <v>0</v>
      </c>
      <c r="I235" s="1422">
        <f t="shared" si="495"/>
        <v>0</v>
      </c>
      <c r="J235" s="489">
        <f t="shared" si="495"/>
        <v>0</v>
      </c>
      <c r="K235" s="1421">
        <f t="shared" si="504"/>
        <v>0</v>
      </c>
      <c r="L235" s="1422">
        <f t="shared" si="504"/>
        <v>0</v>
      </c>
      <c r="M235" s="1422">
        <f t="shared" si="504"/>
        <v>0</v>
      </c>
      <c r="N235" s="489">
        <f t="shared" si="504"/>
        <v>0</v>
      </c>
      <c r="O235" s="1011"/>
      <c r="P235" s="1012"/>
      <c r="Q235" s="1012"/>
      <c r="R235" s="1013">
        <f t="shared" si="518"/>
        <v>0</v>
      </c>
      <c r="S235" s="1014"/>
      <c r="T235" s="1015"/>
      <c r="U235" s="1012"/>
      <c r="V235" s="1013">
        <f t="shared" si="519"/>
        <v>0</v>
      </c>
      <c r="W235" s="1014"/>
      <c r="X235" s="1015"/>
      <c r="Y235" s="1012"/>
      <c r="Z235" s="1013">
        <f t="shared" si="520"/>
        <v>0</v>
      </c>
      <c r="AA235" s="1014"/>
      <c r="AB235" s="1015"/>
      <c r="AC235" s="1012"/>
      <c r="AD235" s="1013">
        <f t="shared" si="521"/>
        <v>0</v>
      </c>
      <c r="AE235" s="1014"/>
      <c r="AF235" s="1015"/>
      <c r="AG235" s="1012"/>
      <c r="AH235" s="1013">
        <f t="shared" si="522"/>
        <v>0</v>
      </c>
      <c r="AI235" s="1421">
        <f t="shared" si="505"/>
        <v>0</v>
      </c>
      <c r="AJ235" s="1422">
        <f t="shared" si="505"/>
        <v>0</v>
      </c>
      <c r="AK235" s="1422">
        <f t="shared" si="505"/>
        <v>0</v>
      </c>
      <c r="AL235" s="489">
        <f t="shared" si="505"/>
        <v>0</v>
      </c>
      <c r="AM235" s="1014"/>
      <c r="AN235" s="1015"/>
      <c r="AO235" s="1012"/>
      <c r="AP235" s="1013">
        <f t="shared" si="524"/>
        <v>0</v>
      </c>
      <c r="AQ235" s="1014"/>
      <c r="AR235" s="1015"/>
      <c r="AS235" s="1012"/>
      <c r="AT235" s="1013">
        <f t="shared" si="525"/>
        <v>0</v>
      </c>
      <c r="AU235" s="1014"/>
      <c r="AV235" s="1015"/>
      <c r="AW235" s="1012"/>
      <c r="AX235" s="1013">
        <f t="shared" si="526"/>
        <v>0</v>
      </c>
      <c r="AY235" s="818"/>
    </row>
    <row r="236" spans="1:51" s="493" customFormat="1">
      <c r="A236" s="532">
        <f t="shared" si="506"/>
        <v>67</v>
      </c>
      <c r="B236" s="834">
        <v>7</v>
      </c>
      <c r="C236" s="997" t="s">
        <v>1290</v>
      </c>
      <c r="D236" s="946" t="s">
        <v>1291</v>
      </c>
      <c r="E236" s="998" t="s">
        <v>1292</v>
      </c>
      <c r="F236" s="947" t="s">
        <v>1293</v>
      </c>
      <c r="G236" s="1421">
        <f t="shared" ref="G236:J236" si="527">+K236+AI236</f>
        <v>0</v>
      </c>
      <c r="H236" s="1422">
        <f t="shared" si="527"/>
        <v>0</v>
      </c>
      <c r="I236" s="1422">
        <f t="shared" si="527"/>
        <v>0</v>
      </c>
      <c r="J236" s="489">
        <f t="shared" si="527"/>
        <v>0</v>
      </c>
      <c r="K236" s="1421">
        <f t="shared" ref="K236:N236" si="528">+O236+S236+W236+AA236+AE236</f>
        <v>0</v>
      </c>
      <c r="L236" s="1422">
        <f t="shared" si="528"/>
        <v>0</v>
      </c>
      <c r="M236" s="1422">
        <f t="shared" si="528"/>
        <v>0</v>
      </c>
      <c r="N236" s="489">
        <f t="shared" si="528"/>
        <v>0</v>
      </c>
      <c r="O236" s="1011"/>
      <c r="P236" s="1012"/>
      <c r="Q236" s="1012"/>
      <c r="R236" s="1013">
        <f t="shared" si="518"/>
        <v>0</v>
      </c>
      <c r="S236" s="1014"/>
      <c r="T236" s="1015"/>
      <c r="U236" s="1012"/>
      <c r="V236" s="1013">
        <f t="shared" si="519"/>
        <v>0</v>
      </c>
      <c r="W236" s="1014"/>
      <c r="X236" s="1015"/>
      <c r="Y236" s="1012"/>
      <c r="Z236" s="1013">
        <f t="shared" si="520"/>
        <v>0</v>
      </c>
      <c r="AA236" s="1014"/>
      <c r="AB236" s="1015"/>
      <c r="AC236" s="1012"/>
      <c r="AD236" s="1013">
        <f t="shared" si="521"/>
        <v>0</v>
      </c>
      <c r="AE236" s="1014"/>
      <c r="AF236" s="1015"/>
      <c r="AG236" s="1012"/>
      <c r="AH236" s="1013">
        <f t="shared" si="522"/>
        <v>0</v>
      </c>
      <c r="AI236" s="1421">
        <f t="shared" ref="AI236:AL236" si="529">+AM236+AQ236+AU236</f>
        <v>0</v>
      </c>
      <c r="AJ236" s="1422">
        <f t="shared" si="529"/>
        <v>0</v>
      </c>
      <c r="AK236" s="1422">
        <f t="shared" si="529"/>
        <v>0</v>
      </c>
      <c r="AL236" s="489">
        <f t="shared" si="529"/>
        <v>0</v>
      </c>
      <c r="AM236" s="1014"/>
      <c r="AN236" s="1015"/>
      <c r="AO236" s="1012"/>
      <c r="AP236" s="1013">
        <f t="shared" si="524"/>
        <v>0</v>
      </c>
      <c r="AQ236" s="1014"/>
      <c r="AR236" s="1015"/>
      <c r="AS236" s="1012"/>
      <c r="AT236" s="1013">
        <f t="shared" si="525"/>
        <v>0</v>
      </c>
      <c r="AU236" s="1014"/>
      <c r="AV236" s="1015"/>
      <c r="AW236" s="1012"/>
      <c r="AX236" s="1013">
        <f t="shared" si="526"/>
        <v>0</v>
      </c>
      <c r="AY236" s="818"/>
    </row>
    <row r="237" spans="1:51" s="493" customFormat="1">
      <c r="A237" s="532">
        <f t="shared" si="506"/>
        <v>68</v>
      </c>
      <c r="B237" s="834">
        <v>7</v>
      </c>
      <c r="C237" s="997" t="s">
        <v>1037</v>
      </c>
      <c r="D237" s="946" t="s">
        <v>1295</v>
      </c>
      <c r="E237" s="998" t="s">
        <v>1225</v>
      </c>
      <c r="F237" s="947" t="s">
        <v>1296</v>
      </c>
      <c r="G237" s="1421">
        <f t="shared" si="495"/>
        <v>0</v>
      </c>
      <c r="H237" s="1422">
        <f t="shared" si="495"/>
        <v>0</v>
      </c>
      <c r="I237" s="1422">
        <f t="shared" si="495"/>
        <v>0</v>
      </c>
      <c r="J237" s="489">
        <f t="shared" si="495"/>
        <v>0</v>
      </c>
      <c r="K237" s="1421">
        <f t="shared" si="504"/>
        <v>0</v>
      </c>
      <c r="L237" s="1422">
        <f t="shared" si="504"/>
        <v>0</v>
      </c>
      <c r="M237" s="1422">
        <f t="shared" si="504"/>
        <v>0</v>
      </c>
      <c r="N237" s="489">
        <f t="shared" si="504"/>
        <v>0</v>
      </c>
      <c r="O237" s="1011"/>
      <c r="P237" s="1012"/>
      <c r="Q237" s="1012"/>
      <c r="R237" s="1013">
        <f t="shared" si="518"/>
        <v>0</v>
      </c>
      <c r="S237" s="1014"/>
      <c r="T237" s="1015"/>
      <c r="U237" s="1012"/>
      <c r="V237" s="1013">
        <f t="shared" si="519"/>
        <v>0</v>
      </c>
      <c r="W237" s="1014"/>
      <c r="X237" s="1015"/>
      <c r="Y237" s="1012"/>
      <c r="Z237" s="1013">
        <f t="shared" si="520"/>
        <v>0</v>
      </c>
      <c r="AA237" s="1014"/>
      <c r="AB237" s="1015"/>
      <c r="AC237" s="1012"/>
      <c r="AD237" s="1013">
        <f t="shared" si="521"/>
        <v>0</v>
      </c>
      <c r="AE237" s="1014"/>
      <c r="AF237" s="1015"/>
      <c r="AG237" s="1012"/>
      <c r="AH237" s="1013">
        <f t="shared" si="522"/>
        <v>0</v>
      </c>
      <c r="AI237" s="1421">
        <f t="shared" si="505"/>
        <v>0</v>
      </c>
      <c r="AJ237" s="1422">
        <f t="shared" si="505"/>
        <v>0</v>
      </c>
      <c r="AK237" s="1422">
        <f t="shared" si="505"/>
        <v>0</v>
      </c>
      <c r="AL237" s="489">
        <f t="shared" si="505"/>
        <v>0</v>
      </c>
      <c r="AM237" s="1014"/>
      <c r="AN237" s="1015"/>
      <c r="AO237" s="1012"/>
      <c r="AP237" s="1013">
        <f t="shared" si="524"/>
        <v>0</v>
      </c>
      <c r="AQ237" s="1014"/>
      <c r="AR237" s="1015"/>
      <c r="AS237" s="1012"/>
      <c r="AT237" s="1013">
        <f t="shared" si="525"/>
        <v>0</v>
      </c>
      <c r="AU237" s="1014"/>
      <c r="AV237" s="1015"/>
      <c r="AW237" s="1012"/>
      <c r="AX237" s="1013">
        <f t="shared" si="526"/>
        <v>0</v>
      </c>
      <c r="AY237" s="818"/>
    </row>
    <row r="238" spans="1:51" s="493" customFormat="1">
      <c r="A238" s="532">
        <f t="shared" si="506"/>
        <v>69</v>
      </c>
      <c r="B238" s="834">
        <v>7</v>
      </c>
      <c r="C238" s="997" t="s">
        <v>1254</v>
      </c>
      <c r="D238" s="946" t="s">
        <v>1252</v>
      </c>
      <c r="E238" s="998" t="s">
        <v>1225</v>
      </c>
      <c r="F238" s="947" t="s">
        <v>1297</v>
      </c>
      <c r="G238" s="1421">
        <f t="shared" ref="G238:J238" si="530">+K238+AI238</f>
        <v>0</v>
      </c>
      <c r="H238" s="1422">
        <f t="shared" si="530"/>
        <v>0</v>
      </c>
      <c r="I238" s="1422">
        <f t="shared" si="530"/>
        <v>0</v>
      </c>
      <c r="J238" s="489">
        <f t="shared" si="530"/>
        <v>0</v>
      </c>
      <c r="K238" s="1421">
        <f t="shared" ref="K238:N238" si="531">+O238+S238+W238+AA238+AE238</f>
        <v>0</v>
      </c>
      <c r="L238" s="1422">
        <f t="shared" si="531"/>
        <v>0</v>
      </c>
      <c r="M238" s="1422">
        <f t="shared" si="531"/>
        <v>0</v>
      </c>
      <c r="N238" s="489">
        <f t="shared" si="531"/>
        <v>0</v>
      </c>
      <c r="O238" s="1011"/>
      <c r="P238" s="1012"/>
      <c r="Q238" s="1012"/>
      <c r="R238" s="1013">
        <f t="shared" si="518"/>
        <v>0</v>
      </c>
      <c r="S238" s="1014"/>
      <c r="T238" s="1015"/>
      <c r="U238" s="1012"/>
      <c r="V238" s="1013">
        <f t="shared" si="519"/>
        <v>0</v>
      </c>
      <c r="W238" s="1014"/>
      <c r="X238" s="1015"/>
      <c r="Y238" s="1012"/>
      <c r="Z238" s="1013">
        <f t="shared" si="520"/>
        <v>0</v>
      </c>
      <c r="AA238" s="1014"/>
      <c r="AB238" s="1015"/>
      <c r="AC238" s="1012"/>
      <c r="AD238" s="1013">
        <f t="shared" si="521"/>
        <v>0</v>
      </c>
      <c r="AE238" s="1014"/>
      <c r="AF238" s="1015"/>
      <c r="AG238" s="1012"/>
      <c r="AH238" s="1013">
        <f t="shared" si="522"/>
        <v>0</v>
      </c>
      <c r="AI238" s="1421">
        <f t="shared" ref="AI238:AL238" si="532">+AM238+AQ238+AU238</f>
        <v>0</v>
      </c>
      <c r="AJ238" s="1422">
        <f t="shared" si="532"/>
        <v>0</v>
      </c>
      <c r="AK238" s="1422">
        <f t="shared" si="532"/>
        <v>0</v>
      </c>
      <c r="AL238" s="489">
        <f t="shared" si="532"/>
        <v>0</v>
      </c>
      <c r="AM238" s="1014"/>
      <c r="AN238" s="1015"/>
      <c r="AO238" s="1012"/>
      <c r="AP238" s="1013">
        <f t="shared" si="524"/>
        <v>0</v>
      </c>
      <c r="AQ238" s="1014"/>
      <c r="AR238" s="1015"/>
      <c r="AS238" s="1012"/>
      <c r="AT238" s="1013">
        <f t="shared" si="525"/>
        <v>0</v>
      </c>
      <c r="AU238" s="1014"/>
      <c r="AV238" s="1015"/>
      <c r="AW238" s="1012"/>
      <c r="AX238" s="1013">
        <f t="shared" si="526"/>
        <v>0</v>
      </c>
      <c r="AY238" s="818"/>
    </row>
    <row r="239" spans="1:51" s="493" customFormat="1">
      <c r="A239" s="532">
        <f t="shared" si="506"/>
        <v>70</v>
      </c>
      <c r="B239" s="834">
        <v>7</v>
      </c>
      <c r="C239" s="997" t="s">
        <v>1298</v>
      </c>
      <c r="D239" s="946" t="s">
        <v>1300</v>
      </c>
      <c r="E239" s="998" t="s">
        <v>1225</v>
      </c>
      <c r="F239" s="947" t="s">
        <v>1299</v>
      </c>
      <c r="G239" s="1421">
        <f t="shared" si="495"/>
        <v>0</v>
      </c>
      <c r="H239" s="1422">
        <f t="shared" si="495"/>
        <v>0</v>
      </c>
      <c r="I239" s="1422">
        <f t="shared" si="495"/>
        <v>0</v>
      </c>
      <c r="J239" s="489">
        <f t="shared" si="495"/>
        <v>0</v>
      </c>
      <c r="K239" s="1421">
        <f t="shared" si="504"/>
        <v>0</v>
      </c>
      <c r="L239" s="1422">
        <f t="shared" si="504"/>
        <v>0</v>
      </c>
      <c r="M239" s="1422">
        <f t="shared" si="504"/>
        <v>0</v>
      </c>
      <c r="N239" s="489">
        <f t="shared" si="504"/>
        <v>0</v>
      </c>
      <c r="O239" s="1011"/>
      <c r="P239" s="1012"/>
      <c r="Q239" s="1012"/>
      <c r="R239" s="1013">
        <f t="shared" si="518"/>
        <v>0</v>
      </c>
      <c r="S239" s="1014"/>
      <c r="T239" s="1015"/>
      <c r="U239" s="1012"/>
      <c r="V239" s="1013">
        <f t="shared" si="519"/>
        <v>0</v>
      </c>
      <c r="W239" s="1014"/>
      <c r="X239" s="1015"/>
      <c r="Y239" s="1012"/>
      <c r="Z239" s="1013">
        <f t="shared" si="520"/>
        <v>0</v>
      </c>
      <c r="AA239" s="1014"/>
      <c r="AB239" s="1015"/>
      <c r="AC239" s="1012"/>
      <c r="AD239" s="1013">
        <f t="shared" si="521"/>
        <v>0</v>
      </c>
      <c r="AE239" s="1014"/>
      <c r="AF239" s="1015"/>
      <c r="AG239" s="1012"/>
      <c r="AH239" s="1013">
        <f t="shared" si="522"/>
        <v>0</v>
      </c>
      <c r="AI239" s="1421">
        <f t="shared" si="505"/>
        <v>0</v>
      </c>
      <c r="AJ239" s="1422">
        <f t="shared" si="505"/>
        <v>0</v>
      </c>
      <c r="AK239" s="1422">
        <f t="shared" si="505"/>
        <v>0</v>
      </c>
      <c r="AL239" s="489">
        <f t="shared" si="505"/>
        <v>0</v>
      </c>
      <c r="AM239" s="1014"/>
      <c r="AN239" s="1015"/>
      <c r="AO239" s="1012"/>
      <c r="AP239" s="1013">
        <f t="shared" si="524"/>
        <v>0</v>
      </c>
      <c r="AQ239" s="1014"/>
      <c r="AR239" s="1015"/>
      <c r="AS239" s="1012"/>
      <c r="AT239" s="1013">
        <f t="shared" si="525"/>
        <v>0</v>
      </c>
      <c r="AU239" s="1014"/>
      <c r="AV239" s="1015"/>
      <c r="AW239" s="1012"/>
      <c r="AX239" s="1013">
        <f t="shared" si="526"/>
        <v>0</v>
      </c>
      <c r="AY239" s="818"/>
    </row>
    <row r="240" spans="1:51" s="493" customFormat="1">
      <c r="A240" s="532">
        <f t="shared" si="506"/>
        <v>71</v>
      </c>
      <c r="B240" s="834">
        <v>7</v>
      </c>
      <c r="C240" s="997" t="s">
        <v>1259</v>
      </c>
      <c r="D240" s="946" t="s">
        <v>1260</v>
      </c>
      <c r="E240" s="998" t="s">
        <v>1225</v>
      </c>
      <c r="F240" s="947" t="s">
        <v>1301</v>
      </c>
      <c r="G240" s="1421">
        <f t="shared" ref="G240:J240" si="533">+K240+AI240</f>
        <v>0</v>
      </c>
      <c r="H240" s="1422">
        <f t="shared" si="533"/>
        <v>0</v>
      </c>
      <c r="I240" s="1422">
        <f t="shared" si="533"/>
        <v>0</v>
      </c>
      <c r="J240" s="489">
        <f t="shared" si="533"/>
        <v>0</v>
      </c>
      <c r="K240" s="1421">
        <f t="shared" ref="K240:N240" si="534">+O240+S240+W240+AA240+AE240</f>
        <v>0</v>
      </c>
      <c r="L240" s="1422">
        <f t="shared" si="534"/>
        <v>0</v>
      </c>
      <c r="M240" s="1422">
        <f t="shared" si="534"/>
        <v>0</v>
      </c>
      <c r="N240" s="489">
        <f t="shared" si="534"/>
        <v>0</v>
      </c>
      <c r="O240" s="1011"/>
      <c r="P240" s="1012"/>
      <c r="Q240" s="1012"/>
      <c r="R240" s="1013">
        <f t="shared" si="518"/>
        <v>0</v>
      </c>
      <c r="S240" s="1014"/>
      <c r="T240" s="1015"/>
      <c r="U240" s="1012"/>
      <c r="V240" s="1013">
        <f t="shared" si="519"/>
        <v>0</v>
      </c>
      <c r="W240" s="1014"/>
      <c r="X240" s="1015"/>
      <c r="Y240" s="1012"/>
      <c r="Z240" s="1013">
        <f t="shared" si="520"/>
        <v>0</v>
      </c>
      <c r="AA240" s="1014"/>
      <c r="AB240" s="1015"/>
      <c r="AC240" s="1012"/>
      <c r="AD240" s="1013">
        <f t="shared" si="521"/>
        <v>0</v>
      </c>
      <c r="AE240" s="1014"/>
      <c r="AF240" s="1015"/>
      <c r="AG240" s="1012"/>
      <c r="AH240" s="1013">
        <f t="shared" si="522"/>
        <v>0</v>
      </c>
      <c r="AI240" s="1421">
        <f t="shared" ref="AI240:AL240" si="535">+AM240+AQ240+AU240</f>
        <v>0</v>
      </c>
      <c r="AJ240" s="1422">
        <f t="shared" si="535"/>
        <v>0</v>
      </c>
      <c r="AK240" s="1422">
        <f t="shared" si="535"/>
        <v>0</v>
      </c>
      <c r="AL240" s="489">
        <f t="shared" si="535"/>
        <v>0</v>
      </c>
      <c r="AM240" s="1014"/>
      <c r="AN240" s="1015"/>
      <c r="AO240" s="1012"/>
      <c r="AP240" s="1013">
        <f t="shared" si="524"/>
        <v>0</v>
      </c>
      <c r="AQ240" s="1014"/>
      <c r="AR240" s="1015"/>
      <c r="AS240" s="1012"/>
      <c r="AT240" s="1013">
        <f t="shared" si="525"/>
        <v>0</v>
      </c>
      <c r="AU240" s="1014"/>
      <c r="AV240" s="1015"/>
      <c r="AW240" s="1012"/>
      <c r="AX240" s="1013">
        <f t="shared" si="526"/>
        <v>0</v>
      </c>
      <c r="AY240" s="818"/>
    </row>
    <row r="241" spans="1:54" s="493" customFormat="1">
      <c r="A241" s="532">
        <f t="shared" si="506"/>
        <v>72</v>
      </c>
      <c r="B241" s="834">
        <v>7</v>
      </c>
      <c r="C241" s="997" t="s">
        <v>1288</v>
      </c>
      <c r="D241" s="946" t="s">
        <v>1302</v>
      </c>
      <c r="E241" s="998" t="s">
        <v>1225</v>
      </c>
      <c r="F241" s="947" t="s">
        <v>1303</v>
      </c>
      <c r="G241" s="1421">
        <f t="shared" si="495"/>
        <v>0</v>
      </c>
      <c r="H241" s="1422">
        <f t="shared" si="495"/>
        <v>0</v>
      </c>
      <c r="I241" s="1422">
        <f t="shared" si="495"/>
        <v>0</v>
      </c>
      <c r="J241" s="489">
        <f t="shared" si="495"/>
        <v>0</v>
      </c>
      <c r="K241" s="1421">
        <f t="shared" si="504"/>
        <v>0</v>
      </c>
      <c r="L241" s="1422">
        <f t="shared" si="504"/>
        <v>0</v>
      </c>
      <c r="M241" s="1422">
        <f t="shared" si="504"/>
        <v>0</v>
      </c>
      <c r="N241" s="489">
        <f t="shared" si="504"/>
        <v>0</v>
      </c>
      <c r="O241" s="1011"/>
      <c r="P241" s="1012"/>
      <c r="Q241" s="1012"/>
      <c r="R241" s="1013">
        <f t="shared" si="518"/>
        <v>0</v>
      </c>
      <c r="S241" s="1014"/>
      <c r="T241" s="1015"/>
      <c r="U241" s="1012"/>
      <c r="V241" s="1013">
        <f t="shared" si="519"/>
        <v>0</v>
      </c>
      <c r="W241" s="1014"/>
      <c r="X241" s="1015"/>
      <c r="Y241" s="1012"/>
      <c r="Z241" s="1013">
        <f t="shared" si="520"/>
        <v>0</v>
      </c>
      <c r="AA241" s="1014"/>
      <c r="AB241" s="1015"/>
      <c r="AC241" s="1012"/>
      <c r="AD241" s="1013">
        <f t="shared" si="521"/>
        <v>0</v>
      </c>
      <c r="AE241" s="1014"/>
      <c r="AF241" s="1015"/>
      <c r="AG241" s="1012"/>
      <c r="AH241" s="1013">
        <f t="shared" si="522"/>
        <v>0</v>
      </c>
      <c r="AI241" s="1421">
        <f t="shared" si="505"/>
        <v>0</v>
      </c>
      <c r="AJ241" s="1422">
        <f t="shared" si="505"/>
        <v>0</v>
      </c>
      <c r="AK241" s="1422">
        <f t="shared" si="505"/>
        <v>0</v>
      </c>
      <c r="AL241" s="489">
        <f t="shared" si="505"/>
        <v>0</v>
      </c>
      <c r="AM241" s="1014"/>
      <c r="AN241" s="1015"/>
      <c r="AO241" s="1012"/>
      <c r="AP241" s="1013">
        <f t="shared" si="524"/>
        <v>0</v>
      </c>
      <c r="AQ241" s="1014"/>
      <c r="AR241" s="1015"/>
      <c r="AS241" s="1012"/>
      <c r="AT241" s="1013">
        <f t="shared" si="525"/>
        <v>0</v>
      </c>
      <c r="AU241" s="1014"/>
      <c r="AV241" s="1015"/>
      <c r="AW241" s="1012"/>
      <c r="AX241" s="1013">
        <f t="shared" si="526"/>
        <v>0</v>
      </c>
      <c r="AY241" s="818"/>
    </row>
    <row r="242" spans="1:54" s="493" customFormat="1" ht="12.75" thickBot="1">
      <c r="A242" s="532">
        <f t="shared" si="506"/>
        <v>73</v>
      </c>
      <c r="B242" s="834">
        <v>8</v>
      </c>
      <c r="C242" s="997" t="s">
        <v>671</v>
      </c>
      <c r="D242" s="946" t="s">
        <v>670</v>
      </c>
      <c r="E242" s="998" t="s">
        <v>1225</v>
      </c>
      <c r="F242" s="947" t="s">
        <v>635</v>
      </c>
      <c r="G242" s="1421">
        <f>+K242+AI242</f>
        <v>2500</v>
      </c>
      <c r="H242" s="1422">
        <f>+L242+AJ242</f>
        <v>2500</v>
      </c>
      <c r="I242" s="1422">
        <f>+M242+AK242</f>
        <v>0</v>
      </c>
      <c r="J242" s="489">
        <f>+N242+AL242</f>
        <v>2500</v>
      </c>
      <c r="K242" s="1421">
        <f>+O242+S242+W242+AA242+AE242</f>
        <v>2500</v>
      </c>
      <c r="L242" s="1422">
        <f>+P242+T242+X242+AB242+AF242</f>
        <v>2500</v>
      </c>
      <c r="M242" s="1422">
        <f>+Q242+U242+Y242+AC242+AG242</f>
        <v>0</v>
      </c>
      <c r="N242" s="489">
        <f>+R242+V242+Z242+AD242+AH242</f>
        <v>2500</v>
      </c>
      <c r="O242" s="1011"/>
      <c r="P242" s="1012"/>
      <c r="Q242" s="1012"/>
      <c r="R242" s="1013">
        <f t="shared" si="518"/>
        <v>0</v>
      </c>
      <c r="S242" s="1014"/>
      <c r="T242" s="1015"/>
      <c r="U242" s="1012"/>
      <c r="V242" s="1013">
        <f t="shared" si="519"/>
        <v>0</v>
      </c>
      <c r="W242" s="1014">
        <v>2500</v>
      </c>
      <c r="X242" s="1015">
        <v>2500</v>
      </c>
      <c r="Y242" s="1012"/>
      <c r="Z242" s="1013">
        <f t="shared" si="520"/>
        <v>2500</v>
      </c>
      <c r="AA242" s="1014"/>
      <c r="AB242" s="1015"/>
      <c r="AC242" s="1012"/>
      <c r="AD242" s="1013">
        <f t="shared" si="521"/>
        <v>0</v>
      </c>
      <c r="AE242" s="1014"/>
      <c r="AF242" s="1015"/>
      <c r="AG242" s="1012"/>
      <c r="AH242" s="1013">
        <f t="shared" si="522"/>
        <v>0</v>
      </c>
      <c r="AI242" s="1421">
        <f>+AM242+AQ242+AU242</f>
        <v>0</v>
      </c>
      <c r="AJ242" s="1422">
        <f>+AN242+AR242+AV242</f>
        <v>0</v>
      </c>
      <c r="AK242" s="1422">
        <f>+AO242+AS242+AW242</f>
        <v>0</v>
      </c>
      <c r="AL242" s="489">
        <f>+AP242+AT242+AX242</f>
        <v>0</v>
      </c>
      <c r="AM242" s="1014"/>
      <c r="AN242" s="1015"/>
      <c r="AO242" s="1012"/>
      <c r="AP242" s="1013">
        <f t="shared" si="524"/>
        <v>0</v>
      </c>
      <c r="AQ242" s="1014"/>
      <c r="AR242" s="1015"/>
      <c r="AS242" s="1012"/>
      <c r="AT242" s="1013">
        <f t="shared" si="525"/>
        <v>0</v>
      </c>
      <c r="AU242" s="1014"/>
      <c r="AV242" s="1015"/>
      <c r="AW242" s="1012"/>
      <c r="AX242" s="1013">
        <f t="shared" si="526"/>
        <v>0</v>
      </c>
      <c r="AY242" s="818"/>
    </row>
    <row r="243" spans="1:54" ht="12.75" thickBot="1">
      <c r="A243" s="528" t="s">
        <v>587</v>
      </c>
      <c r="B243" s="835"/>
      <c r="C243" s="1540" t="s">
        <v>410</v>
      </c>
      <c r="D243" s="1541"/>
      <c r="E243" s="1541"/>
      <c r="F243" s="1542"/>
      <c r="G243" s="517">
        <f t="shared" ref="G243" si="536">SUM(G170:G242)</f>
        <v>3170894</v>
      </c>
      <c r="H243" s="518">
        <f t="shared" ref="H243:I243" si="537">SUM(H170:H242)</f>
        <v>3756423</v>
      </c>
      <c r="I243" s="518">
        <f t="shared" si="537"/>
        <v>-10969</v>
      </c>
      <c r="J243" s="413">
        <f t="shared" ref="J243:AU243" si="538">SUM(J170:J242)</f>
        <v>3745454</v>
      </c>
      <c r="K243" s="517">
        <f t="shared" si="538"/>
        <v>3028636</v>
      </c>
      <c r="L243" s="518">
        <f t="shared" ref="L243:M243" si="539">SUM(L170:L242)</f>
        <v>3592165</v>
      </c>
      <c r="M243" s="518">
        <f t="shared" si="539"/>
        <v>-34071</v>
      </c>
      <c r="N243" s="413">
        <f t="shared" si="538"/>
        <v>3558094</v>
      </c>
      <c r="O243" s="517">
        <f t="shared" si="538"/>
        <v>76485</v>
      </c>
      <c r="P243" s="518">
        <f t="shared" ref="P243" si="540">SUM(P170:P242)</f>
        <v>163191</v>
      </c>
      <c r="Q243" s="356">
        <f t="shared" ref="Q243:R243" si="541">SUM(Q170:Q242)</f>
        <v>610</v>
      </c>
      <c r="R243" s="343">
        <f t="shared" si="541"/>
        <v>163801</v>
      </c>
      <c r="S243" s="517">
        <f t="shared" si="538"/>
        <v>10414</v>
      </c>
      <c r="T243" s="518">
        <f t="shared" ref="T243" si="542">SUM(T170:T242)</f>
        <v>19078</v>
      </c>
      <c r="U243" s="356">
        <f t="shared" ref="U243:V243" si="543">SUM(U170:U242)</f>
        <v>59</v>
      </c>
      <c r="V243" s="343">
        <f t="shared" si="543"/>
        <v>19137</v>
      </c>
      <c r="W243" s="517">
        <f t="shared" si="538"/>
        <v>183775</v>
      </c>
      <c r="X243" s="518">
        <f t="shared" ref="X243" si="544">SUM(X170:X242)</f>
        <v>180165</v>
      </c>
      <c r="Y243" s="356">
        <f t="shared" ref="Y243:Z243" si="545">SUM(Y170:Y242)</f>
        <v>0</v>
      </c>
      <c r="Z243" s="343">
        <f t="shared" si="545"/>
        <v>180165</v>
      </c>
      <c r="AA243" s="517">
        <f t="shared" si="538"/>
        <v>49355</v>
      </c>
      <c r="AB243" s="518">
        <f t="shared" ref="AB243" si="546">SUM(AB170:AB242)</f>
        <v>49355</v>
      </c>
      <c r="AC243" s="356">
        <f t="shared" ref="AC243:AD243" si="547">SUM(AC170:AC242)</f>
        <v>0</v>
      </c>
      <c r="AD243" s="343">
        <f t="shared" si="547"/>
        <v>49355</v>
      </c>
      <c r="AE243" s="517">
        <f t="shared" si="538"/>
        <v>2708607</v>
      </c>
      <c r="AF243" s="518">
        <f t="shared" ref="AF243" si="548">SUM(AF170:AF242)</f>
        <v>3180376</v>
      </c>
      <c r="AG243" s="356">
        <f t="shared" ref="AG243:AH243" si="549">SUM(AG170:AG242)</f>
        <v>-34740</v>
      </c>
      <c r="AH243" s="343">
        <f t="shared" si="549"/>
        <v>3145636</v>
      </c>
      <c r="AI243" s="517">
        <f t="shared" si="538"/>
        <v>142258</v>
      </c>
      <c r="AJ243" s="518">
        <f t="shared" ref="AJ243:AK243" si="550">SUM(AJ170:AJ242)</f>
        <v>164258</v>
      </c>
      <c r="AK243" s="518">
        <f t="shared" si="550"/>
        <v>23102</v>
      </c>
      <c r="AL243" s="413">
        <f t="shared" si="538"/>
        <v>187360</v>
      </c>
      <c r="AM243" s="517">
        <f t="shared" si="538"/>
        <v>75000</v>
      </c>
      <c r="AN243" s="518">
        <f t="shared" ref="AN243" si="551">SUM(AN170:AN242)</f>
        <v>103000</v>
      </c>
      <c r="AO243" s="356">
        <f t="shared" ref="AO243:AP243" si="552">SUM(AO170:AO242)</f>
        <v>3940</v>
      </c>
      <c r="AP243" s="343">
        <f t="shared" si="552"/>
        <v>106940</v>
      </c>
      <c r="AQ243" s="517">
        <f t="shared" si="538"/>
        <v>67258</v>
      </c>
      <c r="AR243" s="518">
        <f t="shared" ref="AR243" si="553">SUM(AR170:AR242)</f>
        <v>61258</v>
      </c>
      <c r="AS243" s="356">
        <f t="shared" ref="AS243:AT243" si="554">SUM(AS170:AS242)</f>
        <v>0</v>
      </c>
      <c r="AT243" s="343">
        <f t="shared" si="554"/>
        <v>61258</v>
      </c>
      <c r="AU243" s="517">
        <f t="shared" si="538"/>
        <v>0</v>
      </c>
      <c r="AV243" s="518">
        <f t="shared" ref="AV243" si="555">SUM(AV170:AV242)</f>
        <v>0</v>
      </c>
      <c r="AW243" s="356">
        <f t="shared" ref="AW243:AX243" si="556">SUM(AW170:AW242)</f>
        <v>19162</v>
      </c>
      <c r="AX243" s="343">
        <f t="shared" si="556"/>
        <v>19162</v>
      </c>
      <c r="AY243" s="812"/>
    </row>
    <row r="244" spans="1:54">
      <c r="A244" s="532">
        <f>A242+1</f>
        <v>74</v>
      </c>
      <c r="B244" s="832">
        <v>9</v>
      </c>
      <c r="C244" s="993" t="s">
        <v>1030</v>
      </c>
      <c r="D244" s="944" t="s">
        <v>1029</v>
      </c>
      <c r="E244" s="994" t="s">
        <v>1235</v>
      </c>
      <c r="F244" s="1000" t="s">
        <v>1097</v>
      </c>
      <c r="G244" s="1421">
        <f t="shared" ref="G244:J249" si="557">+K244+AI244</f>
        <v>1824</v>
      </c>
      <c r="H244" s="1422">
        <f t="shared" si="557"/>
        <v>1824</v>
      </c>
      <c r="I244" s="1422">
        <f t="shared" si="557"/>
        <v>0</v>
      </c>
      <c r="J244" s="489">
        <f t="shared" si="557"/>
        <v>1824</v>
      </c>
      <c r="K244" s="1421">
        <f t="shared" ref="K244:N249" si="558">+O244+S244+W244+AA244+AE244</f>
        <v>1824</v>
      </c>
      <c r="L244" s="1422">
        <f t="shared" si="558"/>
        <v>1824</v>
      </c>
      <c r="M244" s="1422">
        <f t="shared" si="558"/>
        <v>0</v>
      </c>
      <c r="N244" s="489">
        <f t="shared" si="558"/>
        <v>1824</v>
      </c>
      <c r="O244" s="1011"/>
      <c r="P244" s="1012"/>
      <c r="Q244" s="1012"/>
      <c r="R244" s="1013">
        <f t="shared" ref="R244:R249" si="559">+P244+Q244</f>
        <v>0</v>
      </c>
      <c r="S244" s="1011"/>
      <c r="T244" s="1012"/>
      <c r="U244" s="1012"/>
      <c r="V244" s="1013">
        <f t="shared" ref="V244:V249" si="560">+T244+U244</f>
        <v>0</v>
      </c>
      <c r="W244" s="1011"/>
      <c r="X244" s="1012"/>
      <c r="Y244" s="1012"/>
      <c r="Z244" s="1013">
        <f t="shared" ref="Z244:Z249" si="561">+X244+Y244</f>
        <v>0</v>
      </c>
      <c r="AA244" s="1011">
        <v>1824</v>
      </c>
      <c r="AB244" s="1012">
        <v>1824</v>
      </c>
      <c r="AC244" s="1012"/>
      <c r="AD244" s="1013">
        <f t="shared" ref="AD244:AD249" si="562">+AB244+AC244</f>
        <v>1824</v>
      </c>
      <c r="AE244" s="1011"/>
      <c r="AF244" s="1012"/>
      <c r="AG244" s="1012"/>
      <c r="AH244" s="1013">
        <f t="shared" ref="AH244:AH249" si="563">+AF244+AG244</f>
        <v>0</v>
      </c>
      <c r="AI244" s="1421">
        <f t="shared" ref="AI244:AL249" si="564">+AM244+AQ244+AU244</f>
        <v>0</v>
      </c>
      <c r="AJ244" s="1422">
        <f t="shared" si="564"/>
        <v>0</v>
      </c>
      <c r="AK244" s="1422">
        <f t="shared" si="564"/>
        <v>0</v>
      </c>
      <c r="AL244" s="489">
        <f t="shared" si="564"/>
        <v>0</v>
      </c>
      <c r="AM244" s="1011"/>
      <c r="AN244" s="1012"/>
      <c r="AO244" s="1012"/>
      <c r="AP244" s="1013">
        <f t="shared" ref="AP244:AP249" si="565">+AN244+AO244</f>
        <v>0</v>
      </c>
      <c r="AQ244" s="1011"/>
      <c r="AR244" s="1012"/>
      <c r="AS244" s="1012"/>
      <c r="AT244" s="1013">
        <f t="shared" ref="AT244:AT249" si="566">+AR244+AS244</f>
        <v>0</v>
      </c>
      <c r="AU244" s="1011"/>
      <c r="AV244" s="1012"/>
      <c r="AW244" s="1012"/>
      <c r="AX244" s="1013">
        <f t="shared" ref="AX244:AX249" si="567">+AV244+AW244</f>
        <v>0</v>
      </c>
      <c r="AY244" s="818"/>
    </row>
    <row r="245" spans="1:54">
      <c r="A245" s="532">
        <f>+A244+1</f>
        <v>75</v>
      </c>
      <c r="B245" s="833">
        <v>10</v>
      </c>
      <c r="C245" s="996" t="s">
        <v>734</v>
      </c>
      <c r="D245" s="940" t="s">
        <v>735</v>
      </c>
      <c r="E245" s="995" t="s">
        <v>1225</v>
      </c>
      <c r="F245" s="1001" t="s">
        <v>656</v>
      </c>
      <c r="G245" s="1421">
        <f t="shared" si="557"/>
        <v>0</v>
      </c>
      <c r="H245" s="1422">
        <f t="shared" si="557"/>
        <v>0</v>
      </c>
      <c r="I245" s="1422">
        <f t="shared" si="557"/>
        <v>0</v>
      </c>
      <c r="J245" s="489">
        <f t="shared" si="557"/>
        <v>0</v>
      </c>
      <c r="K245" s="1421">
        <f t="shared" si="558"/>
        <v>0</v>
      </c>
      <c r="L245" s="1422">
        <f t="shared" si="558"/>
        <v>0</v>
      </c>
      <c r="M245" s="1422">
        <f t="shared" si="558"/>
        <v>0</v>
      </c>
      <c r="N245" s="489">
        <f t="shared" si="558"/>
        <v>0</v>
      </c>
      <c r="O245" s="1011"/>
      <c r="P245" s="1012"/>
      <c r="Q245" s="1012"/>
      <c r="R245" s="1013">
        <f t="shared" si="559"/>
        <v>0</v>
      </c>
      <c r="S245" s="1014"/>
      <c r="T245" s="1015"/>
      <c r="U245" s="1012"/>
      <c r="V245" s="1013">
        <f t="shared" si="560"/>
        <v>0</v>
      </c>
      <c r="W245" s="1014"/>
      <c r="X245" s="1015"/>
      <c r="Y245" s="1012"/>
      <c r="Z245" s="1013">
        <f t="shared" si="561"/>
        <v>0</v>
      </c>
      <c r="AA245" s="1014"/>
      <c r="AB245" s="1015"/>
      <c r="AC245" s="1012"/>
      <c r="AD245" s="1013">
        <f t="shared" si="562"/>
        <v>0</v>
      </c>
      <c r="AE245" s="1014"/>
      <c r="AF245" s="1015"/>
      <c r="AG245" s="1012"/>
      <c r="AH245" s="1013">
        <f t="shared" si="563"/>
        <v>0</v>
      </c>
      <c r="AI245" s="1421">
        <f t="shared" si="564"/>
        <v>0</v>
      </c>
      <c r="AJ245" s="1422">
        <f t="shared" si="564"/>
        <v>0</v>
      </c>
      <c r="AK245" s="1422">
        <f t="shared" si="564"/>
        <v>0</v>
      </c>
      <c r="AL245" s="489">
        <f t="shared" si="564"/>
        <v>0</v>
      </c>
      <c r="AM245" s="1014"/>
      <c r="AN245" s="1015"/>
      <c r="AO245" s="1012"/>
      <c r="AP245" s="1013">
        <f t="shared" si="565"/>
        <v>0</v>
      </c>
      <c r="AQ245" s="1014"/>
      <c r="AR245" s="1015"/>
      <c r="AS245" s="1012"/>
      <c r="AT245" s="1013">
        <f t="shared" si="566"/>
        <v>0</v>
      </c>
      <c r="AU245" s="1014"/>
      <c r="AV245" s="1015"/>
      <c r="AW245" s="1012"/>
      <c r="AX245" s="1013">
        <f t="shared" si="567"/>
        <v>0</v>
      </c>
      <c r="AY245" s="818"/>
    </row>
    <row r="246" spans="1:54">
      <c r="A246" s="532">
        <f t="shared" si="506"/>
        <v>76</v>
      </c>
      <c r="B246" s="832">
        <v>10</v>
      </c>
      <c r="C246" s="993" t="s">
        <v>733</v>
      </c>
      <c r="D246" s="944" t="s">
        <v>1022</v>
      </c>
      <c r="E246" s="995" t="s">
        <v>1237</v>
      </c>
      <c r="F246" s="1002" t="s">
        <v>655</v>
      </c>
      <c r="G246" s="1421">
        <f t="shared" si="557"/>
        <v>345250</v>
      </c>
      <c r="H246" s="1422">
        <f t="shared" si="557"/>
        <v>345250</v>
      </c>
      <c r="I246" s="1422">
        <f t="shared" si="557"/>
        <v>0</v>
      </c>
      <c r="J246" s="489">
        <f t="shared" si="557"/>
        <v>345250</v>
      </c>
      <c r="K246" s="1421">
        <f t="shared" si="558"/>
        <v>0</v>
      </c>
      <c r="L246" s="1422">
        <f t="shared" si="558"/>
        <v>0</v>
      </c>
      <c r="M246" s="1422">
        <f t="shared" si="558"/>
        <v>0</v>
      </c>
      <c r="N246" s="489">
        <f t="shared" si="558"/>
        <v>0</v>
      </c>
      <c r="O246" s="1011"/>
      <c r="P246" s="1012"/>
      <c r="Q246" s="1012"/>
      <c r="R246" s="1013">
        <f t="shared" si="559"/>
        <v>0</v>
      </c>
      <c r="S246" s="1014"/>
      <c r="T246" s="1015"/>
      <c r="U246" s="1012"/>
      <c r="V246" s="1013">
        <f t="shared" si="560"/>
        <v>0</v>
      </c>
      <c r="W246" s="1014"/>
      <c r="X246" s="1015"/>
      <c r="Y246" s="1012"/>
      <c r="Z246" s="1013">
        <f t="shared" si="561"/>
        <v>0</v>
      </c>
      <c r="AA246" s="1014"/>
      <c r="AB246" s="1015"/>
      <c r="AC246" s="1012"/>
      <c r="AD246" s="1013">
        <f t="shared" si="562"/>
        <v>0</v>
      </c>
      <c r="AE246" s="1014"/>
      <c r="AF246" s="1015"/>
      <c r="AG246" s="1012"/>
      <c r="AH246" s="1013">
        <f t="shared" si="563"/>
        <v>0</v>
      </c>
      <c r="AI246" s="1421">
        <f t="shared" si="564"/>
        <v>345250</v>
      </c>
      <c r="AJ246" s="1422">
        <f t="shared" si="564"/>
        <v>345250</v>
      </c>
      <c r="AK246" s="1422">
        <f t="shared" si="564"/>
        <v>0</v>
      </c>
      <c r="AL246" s="489">
        <f t="shared" si="564"/>
        <v>345250</v>
      </c>
      <c r="AM246" s="1014">
        <v>345250</v>
      </c>
      <c r="AN246" s="1015">
        <v>345250</v>
      </c>
      <c r="AO246" s="1012"/>
      <c r="AP246" s="1013">
        <f t="shared" si="565"/>
        <v>345250</v>
      </c>
      <c r="AQ246" s="1014"/>
      <c r="AR246" s="1015"/>
      <c r="AS246" s="1012"/>
      <c r="AT246" s="1013">
        <f t="shared" si="566"/>
        <v>0</v>
      </c>
      <c r="AU246" s="1014"/>
      <c r="AV246" s="1015"/>
      <c r="AW246" s="1012"/>
      <c r="AX246" s="1013">
        <f t="shared" si="567"/>
        <v>0</v>
      </c>
      <c r="AY246" s="818"/>
    </row>
    <row r="247" spans="1:54" s="493" customFormat="1">
      <c r="A247" s="532">
        <f t="shared" ref="A247:A249" si="568">+A246+1</f>
        <v>77</v>
      </c>
      <c r="B247" s="833">
        <v>10</v>
      </c>
      <c r="C247" s="996" t="s">
        <v>737</v>
      </c>
      <c r="D247" s="940" t="s">
        <v>736</v>
      </c>
      <c r="E247" s="995" t="s">
        <v>1225</v>
      </c>
      <c r="F247" s="1002" t="s">
        <v>664</v>
      </c>
      <c r="G247" s="1421">
        <f t="shared" si="557"/>
        <v>1000</v>
      </c>
      <c r="H247" s="1422">
        <f t="shared" si="557"/>
        <v>1000</v>
      </c>
      <c r="I247" s="1422">
        <f t="shared" si="557"/>
        <v>0</v>
      </c>
      <c r="J247" s="489">
        <f t="shared" si="557"/>
        <v>1000</v>
      </c>
      <c r="K247" s="1421">
        <f t="shared" si="558"/>
        <v>1000</v>
      </c>
      <c r="L247" s="1422">
        <f t="shared" si="558"/>
        <v>1000</v>
      </c>
      <c r="M247" s="1422">
        <f t="shared" si="558"/>
        <v>0</v>
      </c>
      <c r="N247" s="489">
        <f t="shared" si="558"/>
        <v>1000</v>
      </c>
      <c r="O247" s="1011"/>
      <c r="P247" s="1012"/>
      <c r="Q247" s="1012"/>
      <c r="R247" s="1013">
        <f t="shared" si="559"/>
        <v>0</v>
      </c>
      <c r="S247" s="1014"/>
      <c r="T247" s="1015"/>
      <c r="U247" s="1012"/>
      <c r="V247" s="1013">
        <f t="shared" si="560"/>
        <v>0</v>
      </c>
      <c r="W247" s="1014"/>
      <c r="X247" s="1015"/>
      <c r="Y247" s="1012"/>
      <c r="Z247" s="1013">
        <f t="shared" si="561"/>
        <v>0</v>
      </c>
      <c r="AA247" s="1014"/>
      <c r="AB247" s="1015"/>
      <c r="AC247" s="1012"/>
      <c r="AD247" s="1013">
        <f t="shared" si="562"/>
        <v>0</v>
      </c>
      <c r="AE247" s="1014">
        <v>1000</v>
      </c>
      <c r="AF247" s="1015">
        <v>1000</v>
      </c>
      <c r="AG247" s="1012"/>
      <c r="AH247" s="1013">
        <f t="shared" si="563"/>
        <v>1000</v>
      </c>
      <c r="AI247" s="1421">
        <f t="shared" si="564"/>
        <v>0</v>
      </c>
      <c r="AJ247" s="1422">
        <f t="shared" si="564"/>
        <v>0</v>
      </c>
      <c r="AK247" s="1422">
        <f t="shared" si="564"/>
        <v>0</v>
      </c>
      <c r="AL247" s="489">
        <f t="shared" si="564"/>
        <v>0</v>
      </c>
      <c r="AM247" s="1014"/>
      <c r="AN247" s="1015"/>
      <c r="AO247" s="1012"/>
      <c r="AP247" s="1013">
        <f t="shared" si="565"/>
        <v>0</v>
      </c>
      <c r="AQ247" s="1014"/>
      <c r="AR247" s="1015"/>
      <c r="AS247" s="1012"/>
      <c r="AT247" s="1013">
        <f t="shared" si="566"/>
        <v>0</v>
      </c>
      <c r="AU247" s="1014"/>
      <c r="AV247" s="1015"/>
      <c r="AW247" s="1012"/>
      <c r="AX247" s="1013">
        <f t="shared" si="567"/>
        <v>0</v>
      </c>
      <c r="AY247" s="818"/>
      <c r="AZ247" s="296"/>
      <c r="BA247" s="296"/>
      <c r="BB247" s="296"/>
    </row>
    <row r="248" spans="1:54">
      <c r="A248" s="532">
        <f t="shared" si="568"/>
        <v>78</v>
      </c>
      <c r="B248" s="832">
        <v>10</v>
      </c>
      <c r="C248" s="993" t="s">
        <v>1035</v>
      </c>
      <c r="D248" s="944" t="s">
        <v>1036</v>
      </c>
      <c r="E248" s="995" t="s">
        <v>1225</v>
      </c>
      <c r="F248" s="1002" t="s">
        <v>654</v>
      </c>
      <c r="G248" s="1421">
        <f t="shared" si="557"/>
        <v>2000</v>
      </c>
      <c r="H248" s="1422">
        <f t="shared" si="557"/>
        <v>2000</v>
      </c>
      <c r="I248" s="1422">
        <f t="shared" si="557"/>
        <v>0</v>
      </c>
      <c r="J248" s="489">
        <f t="shared" si="557"/>
        <v>2000</v>
      </c>
      <c r="K248" s="1421">
        <f t="shared" si="558"/>
        <v>2000</v>
      </c>
      <c r="L248" s="1422">
        <f t="shared" si="558"/>
        <v>2000</v>
      </c>
      <c r="M248" s="1422">
        <f t="shared" si="558"/>
        <v>0</v>
      </c>
      <c r="N248" s="489">
        <f t="shared" si="558"/>
        <v>2000</v>
      </c>
      <c r="O248" s="1011"/>
      <c r="P248" s="1012"/>
      <c r="Q248" s="1012"/>
      <c r="R248" s="1013">
        <f t="shared" si="559"/>
        <v>0</v>
      </c>
      <c r="S248" s="1014"/>
      <c r="T248" s="1015"/>
      <c r="U248" s="1012"/>
      <c r="V248" s="1013">
        <f t="shared" si="560"/>
        <v>0</v>
      </c>
      <c r="W248" s="1014">
        <v>2000</v>
      </c>
      <c r="X248" s="1015">
        <v>2000</v>
      </c>
      <c r="Y248" s="1012"/>
      <c r="Z248" s="1013">
        <f t="shared" si="561"/>
        <v>2000</v>
      </c>
      <c r="AA248" s="1014"/>
      <c r="AB248" s="1015"/>
      <c r="AC248" s="1012"/>
      <c r="AD248" s="1013">
        <f t="shared" si="562"/>
        <v>0</v>
      </c>
      <c r="AE248" s="1014"/>
      <c r="AF248" s="1015"/>
      <c r="AG248" s="1012"/>
      <c r="AH248" s="1013">
        <f t="shared" si="563"/>
        <v>0</v>
      </c>
      <c r="AI248" s="1421">
        <f t="shared" si="564"/>
        <v>0</v>
      </c>
      <c r="AJ248" s="1422">
        <f t="shared" si="564"/>
        <v>0</v>
      </c>
      <c r="AK248" s="1422">
        <f t="shared" si="564"/>
        <v>0</v>
      </c>
      <c r="AL248" s="489">
        <f t="shared" si="564"/>
        <v>0</v>
      </c>
      <c r="AM248" s="1014"/>
      <c r="AN248" s="1015"/>
      <c r="AO248" s="1012"/>
      <c r="AP248" s="1013">
        <f t="shared" si="565"/>
        <v>0</v>
      </c>
      <c r="AQ248" s="1014"/>
      <c r="AR248" s="1015"/>
      <c r="AS248" s="1012"/>
      <c r="AT248" s="1013">
        <f t="shared" si="566"/>
        <v>0</v>
      </c>
      <c r="AU248" s="1014"/>
      <c r="AV248" s="1015"/>
      <c r="AW248" s="1012"/>
      <c r="AX248" s="1013">
        <f t="shared" si="567"/>
        <v>0</v>
      </c>
      <c r="AY248" s="818"/>
    </row>
    <row r="249" spans="1:54" ht="12.75" thickBot="1">
      <c r="A249" s="532">
        <f t="shared" si="568"/>
        <v>79</v>
      </c>
      <c r="B249" s="833">
        <v>9</v>
      </c>
      <c r="C249" s="996" t="s">
        <v>687</v>
      </c>
      <c r="D249" s="940" t="s">
        <v>688</v>
      </c>
      <c r="E249" s="995" t="s">
        <v>1225</v>
      </c>
      <c r="F249" s="1002" t="s">
        <v>686</v>
      </c>
      <c r="G249" s="1421">
        <f t="shared" si="557"/>
        <v>1600</v>
      </c>
      <c r="H249" s="1422">
        <f t="shared" si="557"/>
        <v>1600</v>
      </c>
      <c r="I249" s="1422">
        <f t="shared" si="557"/>
        <v>0</v>
      </c>
      <c r="J249" s="489">
        <f t="shared" si="557"/>
        <v>1600</v>
      </c>
      <c r="K249" s="1421">
        <f t="shared" si="558"/>
        <v>1600</v>
      </c>
      <c r="L249" s="1422">
        <f t="shared" si="558"/>
        <v>1600</v>
      </c>
      <c r="M249" s="1422">
        <f t="shared" si="558"/>
        <v>0</v>
      </c>
      <c r="N249" s="489">
        <f t="shared" si="558"/>
        <v>1600</v>
      </c>
      <c r="O249" s="1011"/>
      <c r="P249" s="1012"/>
      <c r="Q249" s="1012"/>
      <c r="R249" s="1013">
        <f t="shared" si="559"/>
        <v>0</v>
      </c>
      <c r="S249" s="1014"/>
      <c r="T249" s="1015"/>
      <c r="U249" s="1012"/>
      <c r="V249" s="1013">
        <f t="shared" si="560"/>
        <v>0</v>
      </c>
      <c r="W249" s="1014"/>
      <c r="X249" s="1015"/>
      <c r="Y249" s="1012"/>
      <c r="Z249" s="1013">
        <f t="shared" si="561"/>
        <v>0</v>
      </c>
      <c r="AA249" s="1014">
        <v>1600</v>
      </c>
      <c r="AB249" s="1015">
        <v>1600</v>
      </c>
      <c r="AC249" s="1012"/>
      <c r="AD249" s="1013">
        <f t="shared" si="562"/>
        <v>1600</v>
      </c>
      <c r="AE249" s="1014"/>
      <c r="AF249" s="1015"/>
      <c r="AG249" s="1012"/>
      <c r="AH249" s="1013">
        <f t="shared" si="563"/>
        <v>0</v>
      </c>
      <c r="AI249" s="1421">
        <f t="shared" si="564"/>
        <v>0</v>
      </c>
      <c r="AJ249" s="1422">
        <f t="shared" si="564"/>
        <v>0</v>
      </c>
      <c r="AK249" s="1422">
        <f t="shared" si="564"/>
        <v>0</v>
      </c>
      <c r="AL249" s="489">
        <f t="shared" si="564"/>
        <v>0</v>
      </c>
      <c r="AM249" s="1014"/>
      <c r="AN249" s="1015"/>
      <c r="AO249" s="1012"/>
      <c r="AP249" s="1013">
        <f t="shared" si="565"/>
        <v>0</v>
      </c>
      <c r="AQ249" s="1014"/>
      <c r="AR249" s="1015"/>
      <c r="AS249" s="1012"/>
      <c r="AT249" s="1013">
        <f t="shared" si="566"/>
        <v>0</v>
      </c>
      <c r="AU249" s="1014"/>
      <c r="AV249" s="1015"/>
      <c r="AW249" s="1012"/>
      <c r="AX249" s="1013">
        <f t="shared" si="567"/>
        <v>0</v>
      </c>
      <c r="AY249" s="818"/>
    </row>
    <row r="250" spans="1:54" ht="12.75" thickBot="1">
      <c r="A250" s="528" t="s">
        <v>588</v>
      </c>
      <c r="B250" s="835"/>
      <c r="C250" s="1540" t="s">
        <v>411</v>
      </c>
      <c r="D250" s="1541"/>
      <c r="E250" s="1541"/>
      <c r="F250" s="1542"/>
      <c r="G250" s="517">
        <f t="shared" ref="G250" si="569">SUM(G244:G249)</f>
        <v>351674</v>
      </c>
      <c r="H250" s="518">
        <f t="shared" ref="H250:I250" si="570">SUM(H244:H249)</f>
        <v>351674</v>
      </c>
      <c r="I250" s="518">
        <f t="shared" si="570"/>
        <v>0</v>
      </c>
      <c r="J250" s="413">
        <f t="shared" ref="J250:AU250" si="571">SUM(J244:J249)</f>
        <v>351674</v>
      </c>
      <c r="K250" s="517">
        <f t="shared" si="571"/>
        <v>6424</v>
      </c>
      <c r="L250" s="518">
        <f t="shared" ref="L250:M250" si="572">SUM(L244:L249)</f>
        <v>6424</v>
      </c>
      <c r="M250" s="518">
        <f t="shared" si="572"/>
        <v>0</v>
      </c>
      <c r="N250" s="413">
        <f t="shared" si="571"/>
        <v>6424</v>
      </c>
      <c r="O250" s="517">
        <f t="shared" si="571"/>
        <v>0</v>
      </c>
      <c r="P250" s="518">
        <f t="shared" ref="P250" si="573">SUM(P244:P249)</f>
        <v>0</v>
      </c>
      <c r="Q250" s="356">
        <f t="shared" ref="Q250:R250" si="574">SUM(Q244:Q249)</f>
        <v>0</v>
      </c>
      <c r="R250" s="343">
        <f t="shared" si="574"/>
        <v>0</v>
      </c>
      <c r="S250" s="517">
        <f t="shared" si="571"/>
        <v>0</v>
      </c>
      <c r="T250" s="518">
        <f t="shared" ref="T250" si="575">SUM(T244:T249)</f>
        <v>0</v>
      </c>
      <c r="U250" s="356">
        <f t="shared" ref="U250:V250" si="576">SUM(U244:U249)</f>
        <v>0</v>
      </c>
      <c r="V250" s="343">
        <f t="shared" si="576"/>
        <v>0</v>
      </c>
      <c r="W250" s="517">
        <f t="shared" si="571"/>
        <v>2000</v>
      </c>
      <c r="X250" s="518">
        <f t="shared" ref="X250" si="577">SUM(X244:X249)</f>
        <v>2000</v>
      </c>
      <c r="Y250" s="356">
        <f t="shared" ref="Y250:Z250" si="578">SUM(Y244:Y249)</f>
        <v>0</v>
      </c>
      <c r="Z250" s="343">
        <f t="shared" si="578"/>
        <v>2000</v>
      </c>
      <c r="AA250" s="517">
        <f t="shared" si="571"/>
        <v>3424</v>
      </c>
      <c r="AB250" s="518">
        <f t="shared" ref="AB250" si="579">SUM(AB244:AB249)</f>
        <v>3424</v>
      </c>
      <c r="AC250" s="356">
        <f t="shared" ref="AC250:AD250" si="580">SUM(AC244:AC249)</f>
        <v>0</v>
      </c>
      <c r="AD250" s="343">
        <f t="shared" si="580"/>
        <v>3424</v>
      </c>
      <c r="AE250" s="517">
        <f t="shared" si="571"/>
        <v>1000</v>
      </c>
      <c r="AF250" s="518">
        <f t="shared" ref="AF250" si="581">SUM(AF244:AF249)</f>
        <v>1000</v>
      </c>
      <c r="AG250" s="356">
        <f t="shared" ref="AG250:AH250" si="582">SUM(AG244:AG249)</f>
        <v>0</v>
      </c>
      <c r="AH250" s="343">
        <f t="shared" si="582"/>
        <v>1000</v>
      </c>
      <c r="AI250" s="517">
        <f t="shared" si="571"/>
        <v>345250</v>
      </c>
      <c r="AJ250" s="518">
        <f t="shared" ref="AJ250:AK250" si="583">SUM(AJ244:AJ249)</f>
        <v>345250</v>
      </c>
      <c r="AK250" s="518">
        <f t="shared" si="583"/>
        <v>0</v>
      </c>
      <c r="AL250" s="413">
        <f t="shared" si="571"/>
        <v>345250</v>
      </c>
      <c r="AM250" s="517">
        <f t="shared" si="571"/>
        <v>345250</v>
      </c>
      <c r="AN250" s="518">
        <f t="shared" ref="AN250" si="584">SUM(AN244:AN249)</f>
        <v>345250</v>
      </c>
      <c r="AO250" s="356">
        <f t="shared" ref="AO250:AP250" si="585">SUM(AO244:AO249)</f>
        <v>0</v>
      </c>
      <c r="AP250" s="343">
        <f t="shared" si="585"/>
        <v>345250</v>
      </c>
      <c r="AQ250" s="517">
        <f t="shared" si="571"/>
        <v>0</v>
      </c>
      <c r="AR250" s="518">
        <f t="shared" ref="AR250" si="586">SUM(AR244:AR249)</f>
        <v>0</v>
      </c>
      <c r="AS250" s="356">
        <f t="shared" ref="AS250:AT250" si="587">SUM(AS244:AS249)</f>
        <v>0</v>
      </c>
      <c r="AT250" s="343">
        <f t="shared" si="587"/>
        <v>0</v>
      </c>
      <c r="AU250" s="517">
        <f t="shared" si="571"/>
        <v>0</v>
      </c>
      <c r="AV250" s="518">
        <f t="shared" ref="AV250" si="588">SUM(AV244:AV249)</f>
        <v>0</v>
      </c>
      <c r="AW250" s="356">
        <f t="shared" ref="AW250:AX250" si="589">SUM(AW244:AW249)</f>
        <v>0</v>
      </c>
      <c r="AX250" s="343">
        <f t="shared" si="589"/>
        <v>0</v>
      </c>
      <c r="AY250" s="812"/>
    </row>
    <row r="251" spans="1:54" ht="12.75" customHeight="1" thickBot="1">
      <c r="A251" s="532">
        <f>+A249+1</f>
        <v>80</v>
      </c>
      <c r="B251" s="833">
        <v>11</v>
      </c>
      <c r="C251" s="996" t="s">
        <v>19</v>
      </c>
      <c r="D251" s="1003" t="s">
        <v>19</v>
      </c>
      <c r="E251" s="994" t="s">
        <v>19</v>
      </c>
      <c r="F251" s="1003" t="s">
        <v>19</v>
      </c>
      <c r="G251" s="1417">
        <f>+K251+AI251</f>
        <v>0</v>
      </c>
      <c r="H251" s="1418">
        <f>+L251+AJ251</f>
        <v>0</v>
      </c>
      <c r="I251" s="1418">
        <f>+M251+AK251</f>
        <v>0</v>
      </c>
      <c r="J251" s="473">
        <f>+N251+AL251</f>
        <v>0</v>
      </c>
      <c r="K251" s="1417">
        <f>+O251+S251+W251+AA251+AE251</f>
        <v>0</v>
      </c>
      <c r="L251" s="1418">
        <f>+P251+T251+X251+AB251+AF251</f>
        <v>0</v>
      </c>
      <c r="M251" s="1418">
        <f>+Q251+U251+Y251+AC251+AG251</f>
        <v>0</v>
      </c>
      <c r="N251" s="473">
        <f>+R251+V251+Z251+AD251+AH251</f>
        <v>0</v>
      </c>
      <c r="O251" s="1011"/>
      <c r="P251" s="1012"/>
      <c r="Q251" s="1012"/>
      <c r="R251" s="1013">
        <f t="shared" ref="R251" si="590">+P251+Q251</f>
        <v>0</v>
      </c>
      <c r="S251" s="1014"/>
      <c r="T251" s="1015"/>
      <c r="U251" s="1012"/>
      <c r="V251" s="1013">
        <f t="shared" ref="V251" si="591">+T251+U251</f>
        <v>0</v>
      </c>
      <c r="W251" s="1014"/>
      <c r="X251" s="1015"/>
      <c r="Y251" s="1012"/>
      <c r="Z251" s="1013">
        <f t="shared" ref="Z251" si="592">+X251+Y251</f>
        <v>0</v>
      </c>
      <c r="AA251" s="1014"/>
      <c r="AB251" s="1015"/>
      <c r="AC251" s="1012"/>
      <c r="AD251" s="1013">
        <f t="shared" ref="AD251" si="593">+AB251+AC251</f>
        <v>0</v>
      </c>
      <c r="AE251" s="1014"/>
      <c r="AF251" s="1015"/>
      <c r="AG251" s="1012"/>
      <c r="AH251" s="1013">
        <f t="shared" ref="AH251" si="594">+AF251+AG251</f>
        <v>0</v>
      </c>
      <c r="AI251" s="1417">
        <f>+AM251+AQ251+AU251</f>
        <v>0</v>
      </c>
      <c r="AJ251" s="1418">
        <f>+AN251+AR251+AV251</f>
        <v>0</v>
      </c>
      <c r="AK251" s="1418">
        <f>+AO251+AS251+AW251</f>
        <v>0</v>
      </c>
      <c r="AL251" s="473">
        <f>+AP251+AT251+AX251</f>
        <v>0</v>
      </c>
      <c r="AM251" s="1014"/>
      <c r="AN251" s="1015"/>
      <c r="AO251" s="1012"/>
      <c r="AP251" s="1013">
        <f t="shared" ref="AP251" si="595">+AN251+AO251</f>
        <v>0</v>
      </c>
      <c r="AQ251" s="1014"/>
      <c r="AR251" s="1015"/>
      <c r="AS251" s="1012"/>
      <c r="AT251" s="1013">
        <f t="shared" ref="AT251" si="596">+AR251+AS251</f>
        <v>0</v>
      </c>
      <c r="AU251" s="1014"/>
      <c r="AV251" s="1015"/>
      <c r="AW251" s="1012"/>
      <c r="AX251" s="1013">
        <f t="shared" ref="AX251" si="597">+AV251+AW251</f>
        <v>0</v>
      </c>
      <c r="AY251" s="818"/>
      <c r="AZ251" s="493"/>
      <c r="BA251" s="493"/>
      <c r="BB251" s="493"/>
    </row>
    <row r="252" spans="1:54" ht="12.75" thickBot="1">
      <c r="A252" s="528" t="s">
        <v>589</v>
      </c>
      <c r="B252" s="835"/>
      <c r="C252" s="1540" t="s">
        <v>412</v>
      </c>
      <c r="D252" s="1541"/>
      <c r="E252" s="1541"/>
      <c r="F252" s="1542"/>
      <c r="G252" s="517">
        <f t="shared" ref="G252" si="598">SUM(G251:G251)</f>
        <v>0</v>
      </c>
      <c r="H252" s="518">
        <f t="shared" ref="H252:I252" si="599">SUM(H251:H251)</f>
        <v>0</v>
      </c>
      <c r="I252" s="518">
        <f t="shared" si="599"/>
        <v>0</v>
      </c>
      <c r="J252" s="413">
        <f t="shared" ref="J252:AU252" si="600">SUM(J251:J251)</f>
        <v>0</v>
      </c>
      <c r="K252" s="517">
        <f t="shared" si="600"/>
        <v>0</v>
      </c>
      <c r="L252" s="518">
        <f t="shared" ref="L252:M252" si="601">SUM(L251:L251)</f>
        <v>0</v>
      </c>
      <c r="M252" s="518">
        <f t="shared" si="601"/>
        <v>0</v>
      </c>
      <c r="N252" s="413">
        <f t="shared" si="600"/>
        <v>0</v>
      </c>
      <c r="O252" s="517">
        <f t="shared" si="600"/>
        <v>0</v>
      </c>
      <c r="P252" s="518">
        <f t="shared" ref="P252" si="602">SUM(P251:P251)</f>
        <v>0</v>
      </c>
      <c r="Q252" s="356">
        <f t="shared" ref="Q252:R252" si="603">SUM(Q251:Q251)</f>
        <v>0</v>
      </c>
      <c r="R252" s="343">
        <f t="shared" si="603"/>
        <v>0</v>
      </c>
      <c r="S252" s="517">
        <f t="shared" si="600"/>
        <v>0</v>
      </c>
      <c r="T252" s="518">
        <f t="shared" ref="T252" si="604">SUM(T251:T251)</f>
        <v>0</v>
      </c>
      <c r="U252" s="356">
        <f t="shared" ref="U252:V252" si="605">SUM(U251:U251)</f>
        <v>0</v>
      </c>
      <c r="V252" s="343">
        <f t="shared" si="605"/>
        <v>0</v>
      </c>
      <c r="W252" s="517">
        <f t="shared" si="600"/>
        <v>0</v>
      </c>
      <c r="X252" s="518">
        <f t="shared" ref="X252" si="606">SUM(X251:X251)</f>
        <v>0</v>
      </c>
      <c r="Y252" s="356">
        <f t="shared" ref="Y252:Z252" si="607">SUM(Y251:Y251)</f>
        <v>0</v>
      </c>
      <c r="Z252" s="343">
        <f t="shared" si="607"/>
        <v>0</v>
      </c>
      <c r="AA252" s="517">
        <f t="shared" si="600"/>
        <v>0</v>
      </c>
      <c r="AB252" s="518">
        <f t="shared" ref="AB252" si="608">SUM(AB251:AB251)</f>
        <v>0</v>
      </c>
      <c r="AC252" s="356">
        <f t="shared" ref="AC252:AD252" si="609">SUM(AC251:AC251)</f>
        <v>0</v>
      </c>
      <c r="AD252" s="343">
        <f t="shared" si="609"/>
        <v>0</v>
      </c>
      <c r="AE252" s="517">
        <f t="shared" si="600"/>
        <v>0</v>
      </c>
      <c r="AF252" s="518">
        <f t="shared" ref="AF252" si="610">SUM(AF251:AF251)</f>
        <v>0</v>
      </c>
      <c r="AG252" s="356">
        <f t="shared" ref="AG252:AH252" si="611">SUM(AG251:AG251)</f>
        <v>0</v>
      </c>
      <c r="AH252" s="343">
        <f t="shared" si="611"/>
        <v>0</v>
      </c>
      <c r="AI252" s="517">
        <f t="shared" si="600"/>
        <v>0</v>
      </c>
      <c r="AJ252" s="518">
        <f t="shared" ref="AJ252:AK252" si="612">SUM(AJ251:AJ251)</f>
        <v>0</v>
      </c>
      <c r="AK252" s="518">
        <f t="shared" si="612"/>
        <v>0</v>
      </c>
      <c r="AL252" s="413">
        <f t="shared" si="600"/>
        <v>0</v>
      </c>
      <c r="AM252" s="517">
        <f t="shared" si="600"/>
        <v>0</v>
      </c>
      <c r="AN252" s="518">
        <f t="shared" ref="AN252" si="613">SUM(AN251:AN251)</f>
        <v>0</v>
      </c>
      <c r="AO252" s="356">
        <f t="shared" ref="AO252:AP252" si="614">SUM(AO251:AO251)</f>
        <v>0</v>
      </c>
      <c r="AP252" s="343">
        <f t="shared" si="614"/>
        <v>0</v>
      </c>
      <c r="AQ252" s="517">
        <f t="shared" si="600"/>
        <v>0</v>
      </c>
      <c r="AR252" s="518">
        <f t="shared" ref="AR252" si="615">SUM(AR251:AR251)</f>
        <v>0</v>
      </c>
      <c r="AS252" s="356">
        <f t="shared" ref="AS252:AT252" si="616">SUM(AS251:AS251)</f>
        <v>0</v>
      </c>
      <c r="AT252" s="343">
        <f t="shared" si="616"/>
        <v>0</v>
      </c>
      <c r="AU252" s="517">
        <f t="shared" si="600"/>
        <v>0</v>
      </c>
      <c r="AV252" s="518">
        <f t="shared" ref="AV252" si="617">SUM(AV251:AV251)</f>
        <v>0</v>
      </c>
      <c r="AW252" s="356">
        <f t="shared" ref="AW252:AX252" si="618">SUM(AW251:AW251)</f>
        <v>0</v>
      </c>
      <c r="AX252" s="343">
        <f t="shared" si="618"/>
        <v>0</v>
      </c>
      <c r="AY252" s="812"/>
    </row>
    <row r="253" spans="1:54" s="481" customFormat="1" ht="12.75" thickBot="1">
      <c r="A253" s="529" t="s">
        <v>23</v>
      </c>
      <c r="B253" s="836"/>
      <c r="C253" s="1555" t="s">
        <v>413</v>
      </c>
      <c r="D253" s="1556"/>
      <c r="E253" s="1556"/>
      <c r="F253" s="1557"/>
      <c r="G253" s="497">
        <f t="shared" ref="G253" si="619">+G243+G250+G252</f>
        <v>3522568</v>
      </c>
      <c r="H253" s="498">
        <f t="shared" ref="H253:I253" si="620">+H243+H250+H252</f>
        <v>4108097</v>
      </c>
      <c r="I253" s="498">
        <f t="shared" si="620"/>
        <v>-10969</v>
      </c>
      <c r="J253" s="499">
        <f t="shared" ref="J253:AU253" si="621">+J243+J250+J252</f>
        <v>4097128</v>
      </c>
      <c r="K253" s="497">
        <f t="shared" si="621"/>
        <v>3035060</v>
      </c>
      <c r="L253" s="498">
        <f t="shared" ref="L253:M253" si="622">+L243+L250+L252</f>
        <v>3598589</v>
      </c>
      <c r="M253" s="498">
        <f t="shared" si="622"/>
        <v>-34071</v>
      </c>
      <c r="N253" s="499">
        <f t="shared" si="621"/>
        <v>3564518</v>
      </c>
      <c r="O253" s="519">
        <f t="shared" si="621"/>
        <v>76485</v>
      </c>
      <c r="P253" s="520">
        <f t="shared" ref="P253:R253" si="623">+P243+P250+P252</f>
        <v>163191</v>
      </c>
      <c r="Q253" s="498">
        <f t="shared" si="623"/>
        <v>610</v>
      </c>
      <c r="R253" s="499">
        <f t="shared" si="623"/>
        <v>163801</v>
      </c>
      <c r="S253" s="519">
        <f t="shared" si="621"/>
        <v>10414</v>
      </c>
      <c r="T253" s="520">
        <f t="shared" ref="T253:V253" si="624">+T243+T250+T252</f>
        <v>19078</v>
      </c>
      <c r="U253" s="498">
        <f t="shared" si="624"/>
        <v>59</v>
      </c>
      <c r="V253" s="499">
        <f t="shared" si="624"/>
        <v>19137</v>
      </c>
      <c r="W253" s="519">
        <f t="shared" si="621"/>
        <v>185775</v>
      </c>
      <c r="X253" s="520">
        <f t="shared" ref="X253:Z253" si="625">+X243+X250+X252</f>
        <v>182165</v>
      </c>
      <c r="Y253" s="498">
        <f t="shared" si="625"/>
        <v>0</v>
      </c>
      <c r="Z253" s="499">
        <f t="shared" si="625"/>
        <v>182165</v>
      </c>
      <c r="AA253" s="519">
        <f t="shared" si="621"/>
        <v>52779</v>
      </c>
      <c r="AB253" s="520">
        <f t="shared" ref="AB253:AD253" si="626">+AB243+AB250+AB252</f>
        <v>52779</v>
      </c>
      <c r="AC253" s="498">
        <f t="shared" si="626"/>
        <v>0</v>
      </c>
      <c r="AD253" s="499">
        <f t="shared" si="626"/>
        <v>52779</v>
      </c>
      <c r="AE253" s="519">
        <f t="shared" si="621"/>
        <v>2709607</v>
      </c>
      <c r="AF253" s="520">
        <f t="shared" ref="AF253:AH253" si="627">+AF243+AF250+AF252</f>
        <v>3181376</v>
      </c>
      <c r="AG253" s="498">
        <f t="shared" si="627"/>
        <v>-34740</v>
      </c>
      <c r="AH253" s="499">
        <f t="shared" si="627"/>
        <v>3146636</v>
      </c>
      <c r="AI253" s="497">
        <f t="shared" si="621"/>
        <v>487508</v>
      </c>
      <c r="AJ253" s="498">
        <f t="shared" ref="AJ253:AK253" si="628">+AJ243+AJ250+AJ252</f>
        <v>509508</v>
      </c>
      <c r="AK253" s="498">
        <f t="shared" si="628"/>
        <v>23102</v>
      </c>
      <c r="AL253" s="499">
        <f t="shared" si="621"/>
        <v>532610</v>
      </c>
      <c r="AM253" s="519">
        <f t="shared" si="621"/>
        <v>420250</v>
      </c>
      <c r="AN253" s="520">
        <f t="shared" ref="AN253:AP253" si="629">+AN243+AN250+AN252</f>
        <v>448250</v>
      </c>
      <c r="AO253" s="498">
        <f t="shared" si="629"/>
        <v>3940</v>
      </c>
      <c r="AP253" s="499">
        <f t="shared" si="629"/>
        <v>452190</v>
      </c>
      <c r="AQ253" s="519">
        <f t="shared" si="621"/>
        <v>67258</v>
      </c>
      <c r="AR253" s="520">
        <f t="shared" ref="AR253:AT253" si="630">+AR243+AR250+AR252</f>
        <v>61258</v>
      </c>
      <c r="AS253" s="498">
        <f t="shared" si="630"/>
        <v>0</v>
      </c>
      <c r="AT253" s="499">
        <f t="shared" si="630"/>
        <v>61258</v>
      </c>
      <c r="AU253" s="519">
        <f t="shared" si="621"/>
        <v>0</v>
      </c>
      <c r="AV253" s="520">
        <f t="shared" ref="AV253:AX253" si="631">+AV243+AV250+AV252</f>
        <v>0</v>
      </c>
      <c r="AW253" s="498">
        <f t="shared" si="631"/>
        <v>19162</v>
      </c>
      <c r="AX253" s="499">
        <f t="shared" si="631"/>
        <v>19162</v>
      </c>
      <c r="AY253" s="812"/>
      <c r="AZ253" s="296"/>
      <c r="BA253" s="296"/>
      <c r="BB253" s="296"/>
    </row>
    <row r="254" spans="1:54" ht="12.75" thickBot="1">
      <c r="A254" s="827"/>
      <c r="B254" s="837"/>
      <c r="C254" s="924"/>
      <c r="D254" s="526"/>
      <c r="E254" s="919"/>
      <c r="F254" s="500"/>
      <c r="G254" s="501"/>
      <c r="H254" s="502"/>
      <c r="I254" s="502"/>
      <c r="J254" s="503"/>
      <c r="K254" s="501"/>
      <c r="L254" s="502"/>
      <c r="M254" s="502"/>
      <c r="N254" s="503"/>
      <c r="O254" s="501"/>
      <c r="P254" s="502"/>
      <c r="Q254" s="502"/>
      <c r="R254" s="503"/>
      <c r="S254" s="501"/>
      <c r="T254" s="502"/>
      <c r="U254" s="502"/>
      <c r="V254" s="503"/>
      <c r="W254" s="501"/>
      <c r="X254" s="502"/>
      <c r="Y254" s="502"/>
      <c r="Z254" s="503"/>
      <c r="AA254" s="501"/>
      <c r="AB254" s="502"/>
      <c r="AC254" s="502"/>
      <c r="AD254" s="503"/>
      <c r="AE254" s="501"/>
      <c r="AF254" s="502"/>
      <c r="AG254" s="502"/>
      <c r="AH254" s="503"/>
      <c r="AI254" s="501"/>
      <c r="AJ254" s="502"/>
      <c r="AK254" s="502"/>
      <c r="AL254" s="503"/>
      <c r="AM254" s="501"/>
      <c r="AN254" s="502"/>
      <c r="AO254" s="502"/>
      <c r="AP254" s="503"/>
      <c r="AQ254" s="501"/>
      <c r="AR254" s="502"/>
      <c r="AS254" s="502"/>
      <c r="AT254" s="503"/>
      <c r="AU254" s="501"/>
      <c r="AV254" s="502"/>
      <c r="AW254" s="502"/>
      <c r="AX254" s="503"/>
      <c r="AY254" s="812"/>
    </row>
    <row r="255" spans="1:54" s="493" customFormat="1">
      <c r="A255" s="533">
        <f>A251+1</f>
        <v>81</v>
      </c>
      <c r="B255" s="838">
        <v>12</v>
      </c>
      <c r="C255" s="1004" t="s">
        <v>667</v>
      </c>
      <c r="D255" s="948" t="s">
        <v>666</v>
      </c>
      <c r="E255" s="1005" t="s">
        <v>1225</v>
      </c>
      <c r="F255" s="1006" t="s">
        <v>995</v>
      </c>
      <c r="G255" s="1425">
        <f t="shared" ref="G255:J259" si="632">+K255+AI255</f>
        <v>227947</v>
      </c>
      <c r="H255" s="1426">
        <f t="shared" si="632"/>
        <v>229588</v>
      </c>
      <c r="I255" s="1426">
        <f t="shared" si="632"/>
        <v>33</v>
      </c>
      <c r="J255" s="472">
        <f t="shared" si="632"/>
        <v>229621</v>
      </c>
      <c r="K255" s="1425">
        <f t="shared" ref="K255:N259" si="633">+O255+S255+W255+AA255+AE255</f>
        <v>223947</v>
      </c>
      <c r="L255" s="1426">
        <f t="shared" si="633"/>
        <v>225588</v>
      </c>
      <c r="M255" s="1426">
        <f t="shared" si="633"/>
        <v>33</v>
      </c>
      <c r="N255" s="472">
        <f t="shared" si="633"/>
        <v>225621</v>
      </c>
      <c r="O255" s="1017">
        <v>168150</v>
      </c>
      <c r="P255" s="1018">
        <f>168150+(1318+49)+29</f>
        <v>169546</v>
      </c>
      <c r="Q255" s="1018">
        <v>29</v>
      </c>
      <c r="R255" s="1019">
        <f t="shared" ref="R255:R259" si="634">+P255+Q255</f>
        <v>169575</v>
      </c>
      <c r="S255" s="1017">
        <v>32584</v>
      </c>
      <c r="T255" s="1018">
        <f>32584+(231+9)+5</f>
        <v>32829</v>
      </c>
      <c r="U255" s="1018">
        <v>4</v>
      </c>
      <c r="V255" s="1019">
        <f t="shared" ref="V255:V259" si="635">+T255+U255</f>
        <v>32833</v>
      </c>
      <c r="W255" s="1017">
        <v>23213</v>
      </c>
      <c r="X255" s="1018">
        <v>23213</v>
      </c>
      <c r="Y255" s="1018"/>
      <c r="Z255" s="1019">
        <f t="shared" ref="Z255:Z259" si="636">+X255+Y255</f>
        <v>23213</v>
      </c>
      <c r="AA255" s="1017"/>
      <c r="AB255" s="1018"/>
      <c r="AC255" s="1018"/>
      <c r="AD255" s="1019">
        <f t="shared" ref="AD255:AD259" si="637">+AB255+AC255</f>
        <v>0</v>
      </c>
      <c r="AE255" s="1017"/>
      <c r="AF255" s="1018"/>
      <c r="AG255" s="1018"/>
      <c r="AH255" s="1019">
        <f t="shared" ref="AH255:AH259" si="638">+AF255+AG255</f>
        <v>0</v>
      </c>
      <c r="AI255" s="1425">
        <f t="shared" ref="AI255:AL259" si="639">+AM255+AQ255+AU255</f>
        <v>4000</v>
      </c>
      <c r="AJ255" s="1426">
        <f t="shared" si="639"/>
        <v>4000</v>
      </c>
      <c r="AK255" s="1426">
        <f t="shared" si="639"/>
        <v>0</v>
      </c>
      <c r="AL255" s="472">
        <f t="shared" si="639"/>
        <v>4000</v>
      </c>
      <c r="AM255" s="1017">
        <v>4000</v>
      </c>
      <c r="AN255" s="1018">
        <v>4000</v>
      </c>
      <c r="AO255" s="1018"/>
      <c r="AP255" s="1019">
        <f t="shared" ref="AP255:AP259" si="640">+AN255+AO255</f>
        <v>4000</v>
      </c>
      <c r="AQ255" s="1017"/>
      <c r="AR255" s="1018"/>
      <c r="AS255" s="1018"/>
      <c r="AT255" s="1019">
        <f t="shared" ref="AT255:AT259" si="641">+AR255+AS255</f>
        <v>0</v>
      </c>
      <c r="AU255" s="1017"/>
      <c r="AV255" s="1018"/>
      <c r="AW255" s="1018"/>
      <c r="AX255" s="1019">
        <f t="shared" ref="AX255:AX259" si="642">+AV255+AW255</f>
        <v>0</v>
      </c>
      <c r="AY255" s="818"/>
      <c r="AZ255" s="296"/>
      <c r="BA255" s="296"/>
      <c r="BB255" s="296"/>
    </row>
    <row r="256" spans="1:54" s="485" customFormat="1" ht="24">
      <c r="A256" s="532">
        <f>+A255+1</f>
        <v>82</v>
      </c>
      <c r="B256" s="833">
        <v>13</v>
      </c>
      <c r="C256" s="996" t="s">
        <v>1037</v>
      </c>
      <c r="D256" s="940" t="s">
        <v>1255</v>
      </c>
      <c r="E256" s="994" t="s">
        <v>1225</v>
      </c>
      <c r="F256" s="1003" t="s">
        <v>1248</v>
      </c>
      <c r="G256" s="1417">
        <f t="shared" si="632"/>
        <v>0</v>
      </c>
      <c r="H256" s="1418">
        <f t="shared" si="632"/>
        <v>0</v>
      </c>
      <c r="I256" s="1418">
        <f t="shared" si="632"/>
        <v>0</v>
      </c>
      <c r="J256" s="473">
        <f t="shared" si="632"/>
        <v>0</v>
      </c>
      <c r="K256" s="1417">
        <f t="shared" si="633"/>
        <v>0</v>
      </c>
      <c r="L256" s="1418">
        <f t="shared" si="633"/>
        <v>0</v>
      </c>
      <c r="M256" s="1418">
        <f t="shared" si="633"/>
        <v>0</v>
      </c>
      <c r="N256" s="473">
        <f t="shared" si="633"/>
        <v>0</v>
      </c>
      <c r="O256" s="1014"/>
      <c r="P256" s="1015"/>
      <c r="Q256" s="1015"/>
      <c r="R256" s="1016">
        <f t="shared" si="634"/>
        <v>0</v>
      </c>
      <c r="S256" s="1014"/>
      <c r="T256" s="1015"/>
      <c r="U256" s="1015"/>
      <c r="V256" s="1016">
        <f t="shared" si="635"/>
        <v>0</v>
      </c>
      <c r="W256" s="1014"/>
      <c r="X256" s="1015"/>
      <c r="Y256" s="1015"/>
      <c r="Z256" s="1016">
        <f t="shared" si="636"/>
        <v>0</v>
      </c>
      <c r="AA256" s="1014"/>
      <c r="AB256" s="1015"/>
      <c r="AC256" s="1015"/>
      <c r="AD256" s="1016">
        <f t="shared" si="637"/>
        <v>0</v>
      </c>
      <c r="AE256" s="1014"/>
      <c r="AF256" s="1015"/>
      <c r="AG256" s="1015"/>
      <c r="AH256" s="1016">
        <f t="shared" si="638"/>
        <v>0</v>
      </c>
      <c r="AI256" s="1417">
        <f t="shared" si="639"/>
        <v>0</v>
      </c>
      <c r="AJ256" s="1418">
        <f t="shared" si="639"/>
        <v>0</v>
      </c>
      <c r="AK256" s="1418">
        <f t="shared" si="639"/>
        <v>0</v>
      </c>
      <c r="AL256" s="473">
        <f t="shared" si="639"/>
        <v>0</v>
      </c>
      <c r="AM256" s="1014"/>
      <c r="AN256" s="1015"/>
      <c r="AO256" s="1015"/>
      <c r="AP256" s="1016">
        <f t="shared" si="640"/>
        <v>0</v>
      </c>
      <c r="AQ256" s="1014"/>
      <c r="AR256" s="1015"/>
      <c r="AS256" s="1015"/>
      <c r="AT256" s="1016">
        <f t="shared" si="641"/>
        <v>0</v>
      </c>
      <c r="AU256" s="1014"/>
      <c r="AV256" s="1015"/>
      <c r="AW256" s="1015"/>
      <c r="AX256" s="1016">
        <f t="shared" si="642"/>
        <v>0</v>
      </c>
      <c r="AY256" s="818"/>
    </row>
    <row r="257" spans="1:54" s="485" customFormat="1">
      <c r="A257" s="532">
        <f t="shared" ref="A257:A259" si="643">+A256+1</f>
        <v>83</v>
      </c>
      <c r="B257" s="833">
        <v>14</v>
      </c>
      <c r="C257" s="996" t="s">
        <v>701</v>
      </c>
      <c r="D257" s="940" t="s">
        <v>700</v>
      </c>
      <c r="E257" s="995" t="s">
        <v>1229</v>
      </c>
      <c r="F257" s="1001" t="s">
        <v>776</v>
      </c>
      <c r="G257" s="1417">
        <f t="shared" si="632"/>
        <v>60902</v>
      </c>
      <c r="H257" s="1418">
        <f t="shared" si="632"/>
        <v>60902</v>
      </c>
      <c r="I257" s="1418">
        <f t="shared" si="632"/>
        <v>0</v>
      </c>
      <c r="J257" s="473">
        <f t="shared" si="632"/>
        <v>60902</v>
      </c>
      <c r="K257" s="1417">
        <f t="shared" si="633"/>
        <v>60902</v>
      </c>
      <c r="L257" s="1418">
        <f t="shared" si="633"/>
        <v>60902</v>
      </c>
      <c r="M257" s="1418">
        <f t="shared" si="633"/>
        <v>0</v>
      </c>
      <c r="N257" s="473">
        <f t="shared" si="633"/>
        <v>60902</v>
      </c>
      <c r="O257" s="1014">
        <v>43621</v>
      </c>
      <c r="P257" s="1015">
        <v>43621</v>
      </c>
      <c r="Q257" s="1015"/>
      <c r="R257" s="1016">
        <f t="shared" si="634"/>
        <v>43621</v>
      </c>
      <c r="S257" s="1014">
        <v>7768</v>
      </c>
      <c r="T257" s="1015">
        <v>7768</v>
      </c>
      <c r="U257" s="1015"/>
      <c r="V257" s="1016">
        <f t="shared" si="635"/>
        <v>7768</v>
      </c>
      <c r="W257" s="1014">
        <v>9513</v>
      </c>
      <c r="X257" s="1015">
        <v>9513</v>
      </c>
      <c r="Y257" s="1015"/>
      <c r="Z257" s="1016">
        <f t="shared" si="636"/>
        <v>9513</v>
      </c>
      <c r="AA257" s="1014"/>
      <c r="AB257" s="1015"/>
      <c r="AC257" s="1015"/>
      <c r="AD257" s="1016">
        <f t="shared" si="637"/>
        <v>0</v>
      </c>
      <c r="AE257" s="1014"/>
      <c r="AF257" s="1015"/>
      <c r="AG257" s="1015"/>
      <c r="AH257" s="1016">
        <f t="shared" si="638"/>
        <v>0</v>
      </c>
      <c r="AI257" s="1417">
        <f t="shared" si="639"/>
        <v>0</v>
      </c>
      <c r="AJ257" s="1418">
        <f t="shared" si="639"/>
        <v>0</v>
      </c>
      <c r="AK257" s="1418">
        <f t="shared" si="639"/>
        <v>0</v>
      </c>
      <c r="AL257" s="473">
        <f t="shared" si="639"/>
        <v>0</v>
      </c>
      <c r="AM257" s="1014"/>
      <c r="AN257" s="1015"/>
      <c r="AO257" s="1015"/>
      <c r="AP257" s="1016">
        <f t="shared" si="640"/>
        <v>0</v>
      </c>
      <c r="AQ257" s="1014"/>
      <c r="AR257" s="1015"/>
      <c r="AS257" s="1015"/>
      <c r="AT257" s="1016">
        <f t="shared" si="641"/>
        <v>0</v>
      </c>
      <c r="AU257" s="1014"/>
      <c r="AV257" s="1015"/>
      <c r="AW257" s="1015"/>
      <c r="AX257" s="1016">
        <f t="shared" si="642"/>
        <v>0</v>
      </c>
      <c r="AY257" s="818"/>
    </row>
    <row r="258" spans="1:54" s="485" customFormat="1">
      <c r="A258" s="532">
        <f t="shared" si="643"/>
        <v>84</v>
      </c>
      <c r="B258" s="833">
        <v>14</v>
      </c>
      <c r="C258" s="996" t="s">
        <v>701</v>
      </c>
      <c r="D258" s="940" t="s">
        <v>700</v>
      </c>
      <c r="E258" s="995" t="s">
        <v>1229</v>
      </c>
      <c r="F258" s="1001" t="s">
        <v>1040</v>
      </c>
      <c r="G258" s="1417">
        <f t="shared" si="632"/>
        <v>77223</v>
      </c>
      <c r="H258" s="1418">
        <f t="shared" si="632"/>
        <v>77223</v>
      </c>
      <c r="I258" s="1418">
        <f t="shared" si="632"/>
        <v>0</v>
      </c>
      <c r="J258" s="473">
        <f t="shared" si="632"/>
        <v>77223</v>
      </c>
      <c r="K258" s="1417">
        <f t="shared" si="633"/>
        <v>77223</v>
      </c>
      <c r="L258" s="1418">
        <f t="shared" si="633"/>
        <v>77223</v>
      </c>
      <c r="M258" s="1418">
        <f t="shared" si="633"/>
        <v>0</v>
      </c>
      <c r="N258" s="473">
        <f t="shared" si="633"/>
        <v>77223</v>
      </c>
      <c r="O258" s="1014">
        <v>62000</v>
      </c>
      <c r="P258" s="1015">
        <v>62000</v>
      </c>
      <c r="Q258" s="1015"/>
      <c r="R258" s="1016">
        <f t="shared" si="634"/>
        <v>62000</v>
      </c>
      <c r="S258" s="1014">
        <v>11032</v>
      </c>
      <c r="T258" s="1015">
        <v>11032</v>
      </c>
      <c r="U258" s="1015"/>
      <c r="V258" s="1016">
        <f t="shared" si="635"/>
        <v>11032</v>
      </c>
      <c r="W258" s="1014">
        <v>4191</v>
      </c>
      <c r="X258" s="1015">
        <v>4191</v>
      </c>
      <c r="Y258" s="1015"/>
      <c r="Z258" s="1016">
        <f t="shared" si="636"/>
        <v>4191</v>
      </c>
      <c r="AA258" s="1014"/>
      <c r="AB258" s="1015"/>
      <c r="AC258" s="1015"/>
      <c r="AD258" s="1016">
        <f t="shared" si="637"/>
        <v>0</v>
      </c>
      <c r="AE258" s="1014"/>
      <c r="AF258" s="1015"/>
      <c r="AG258" s="1015"/>
      <c r="AH258" s="1016">
        <f t="shared" si="638"/>
        <v>0</v>
      </c>
      <c r="AI258" s="1417">
        <f t="shared" si="639"/>
        <v>0</v>
      </c>
      <c r="AJ258" s="1418">
        <f t="shared" si="639"/>
        <v>0</v>
      </c>
      <c r="AK258" s="1418">
        <f t="shared" si="639"/>
        <v>0</v>
      </c>
      <c r="AL258" s="473">
        <f t="shared" si="639"/>
        <v>0</v>
      </c>
      <c r="AM258" s="1014"/>
      <c r="AN258" s="1015"/>
      <c r="AO258" s="1015"/>
      <c r="AP258" s="1016">
        <f t="shared" si="640"/>
        <v>0</v>
      </c>
      <c r="AQ258" s="1014"/>
      <c r="AR258" s="1015"/>
      <c r="AS258" s="1015"/>
      <c r="AT258" s="1016">
        <f t="shared" si="641"/>
        <v>0</v>
      </c>
      <c r="AU258" s="1014"/>
      <c r="AV258" s="1015"/>
      <c r="AW258" s="1015"/>
      <c r="AX258" s="1016">
        <f t="shared" si="642"/>
        <v>0</v>
      </c>
      <c r="AY258" s="818"/>
    </row>
    <row r="259" spans="1:54" s="485" customFormat="1" ht="12.75" thickBot="1">
      <c r="A259" s="532">
        <f t="shared" si="643"/>
        <v>85</v>
      </c>
      <c r="B259" s="833">
        <v>14</v>
      </c>
      <c r="C259" s="996" t="s">
        <v>1002</v>
      </c>
      <c r="D259" s="940" t="s">
        <v>1003</v>
      </c>
      <c r="E259" s="995" t="s">
        <v>1225</v>
      </c>
      <c r="F259" s="1001" t="s">
        <v>995</v>
      </c>
      <c r="G259" s="1417">
        <f t="shared" si="632"/>
        <v>0</v>
      </c>
      <c r="H259" s="1418">
        <f t="shared" si="632"/>
        <v>22631</v>
      </c>
      <c r="I259" s="1418">
        <f t="shared" si="632"/>
        <v>0</v>
      </c>
      <c r="J259" s="473">
        <f t="shared" si="632"/>
        <v>22631</v>
      </c>
      <c r="K259" s="1417">
        <f t="shared" si="633"/>
        <v>0</v>
      </c>
      <c r="L259" s="1418">
        <f t="shared" si="633"/>
        <v>22631</v>
      </c>
      <c r="M259" s="1418">
        <f t="shared" si="633"/>
        <v>0</v>
      </c>
      <c r="N259" s="473">
        <f t="shared" si="633"/>
        <v>22631</v>
      </c>
      <c r="O259" s="1014"/>
      <c r="P259" s="1015"/>
      <c r="Q259" s="1015"/>
      <c r="R259" s="1016">
        <f t="shared" si="634"/>
        <v>0</v>
      </c>
      <c r="S259" s="1014"/>
      <c r="T259" s="1015"/>
      <c r="U259" s="1015"/>
      <c r="V259" s="1016">
        <f t="shared" si="635"/>
        <v>0</v>
      </c>
      <c r="W259" s="1014"/>
      <c r="X259" s="1015"/>
      <c r="Y259" s="1015"/>
      <c r="Z259" s="1016">
        <f t="shared" si="636"/>
        <v>0</v>
      </c>
      <c r="AA259" s="1014"/>
      <c r="AB259" s="1015"/>
      <c r="AC259" s="1015"/>
      <c r="AD259" s="1016">
        <f t="shared" si="637"/>
        <v>0</v>
      </c>
      <c r="AE259" s="1014"/>
      <c r="AF259" s="1015">
        <f>0+22631</f>
        <v>22631</v>
      </c>
      <c r="AG259" s="1015"/>
      <c r="AH259" s="1016">
        <f t="shared" si="638"/>
        <v>22631</v>
      </c>
      <c r="AI259" s="1417">
        <f t="shared" si="639"/>
        <v>0</v>
      </c>
      <c r="AJ259" s="1418">
        <f t="shared" si="639"/>
        <v>0</v>
      </c>
      <c r="AK259" s="1418">
        <f t="shared" si="639"/>
        <v>0</v>
      </c>
      <c r="AL259" s="473">
        <f t="shared" si="639"/>
        <v>0</v>
      </c>
      <c r="AM259" s="1014"/>
      <c r="AN259" s="1015"/>
      <c r="AO259" s="1015"/>
      <c r="AP259" s="1016">
        <f t="shared" si="640"/>
        <v>0</v>
      </c>
      <c r="AQ259" s="1014"/>
      <c r="AR259" s="1015"/>
      <c r="AS259" s="1015"/>
      <c r="AT259" s="1016">
        <f t="shared" si="641"/>
        <v>0</v>
      </c>
      <c r="AU259" s="1014"/>
      <c r="AV259" s="1015"/>
      <c r="AW259" s="1015"/>
      <c r="AX259" s="1016">
        <f t="shared" si="642"/>
        <v>0</v>
      </c>
      <c r="AY259" s="818"/>
    </row>
    <row r="260" spans="1:54" s="485" customFormat="1" ht="12.75" thickBot="1">
      <c r="A260" s="528" t="s">
        <v>590</v>
      </c>
      <c r="B260" s="835"/>
      <c r="C260" s="1540" t="s">
        <v>869</v>
      </c>
      <c r="D260" s="1541"/>
      <c r="E260" s="1541"/>
      <c r="F260" s="1542"/>
      <c r="G260" s="517">
        <f>SUM(G255:G259)</f>
        <v>366072</v>
      </c>
      <c r="H260" s="518">
        <f>SUM(H255:H259)</f>
        <v>390344</v>
      </c>
      <c r="I260" s="518">
        <f>SUM(I255:I259)</f>
        <v>33</v>
      </c>
      <c r="J260" s="413">
        <f>SUM(J255:J259)</f>
        <v>390377</v>
      </c>
      <c r="K260" s="517">
        <f t="shared" ref="K260" si="644">SUM(K255:K259)</f>
        <v>362072</v>
      </c>
      <c r="L260" s="518">
        <f t="shared" ref="L260:M260" si="645">SUM(L255:L259)</f>
        <v>386344</v>
      </c>
      <c r="M260" s="518">
        <f t="shared" si="645"/>
        <v>33</v>
      </c>
      <c r="N260" s="413">
        <f t="shared" ref="N260:AU260" si="646">SUM(N255:N259)</f>
        <v>386377</v>
      </c>
      <c r="O260" s="517">
        <f t="shared" si="646"/>
        <v>273771</v>
      </c>
      <c r="P260" s="518">
        <f t="shared" ref="P260" si="647">SUM(P255:P259)</f>
        <v>275167</v>
      </c>
      <c r="Q260" s="356">
        <f t="shared" ref="Q260:R260" si="648">SUM(Q255:Q259)</f>
        <v>29</v>
      </c>
      <c r="R260" s="343">
        <f t="shared" si="648"/>
        <v>275196</v>
      </c>
      <c r="S260" s="517">
        <f t="shared" si="646"/>
        <v>51384</v>
      </c>
      <c r="T260" s="518">
        <f t="shared" ref="T260" si="649">SUM(T255:T259)</f>
        <v>51629</v>
      </c>
      <c r="U260" s="356">
        <f t="shared" ref="U260:V260" si="650">SUM(U255:U259)</f>
        <v>4</v>
      </c>
      <c r="V260" s="343">
        <f t="shared" si="650"/>
        <v>51633</v>
      </c>
      <c r="W260" s="517">
        <f t="shared" si="646"/>
        <v>36917</v>
      </c>
      <c r="X260" s="518">
        <f t="shared" ref="X260" si="651">SUM(X255:X259)</f>
        <v>36917</v>
      </c>
      <c r="Y260" s="356">
        <f t="shared" ref="Y260:Z260" si="652">SUM(Y255:Y259)</f>
        <v>0</v>
      </c>
      <c r="Z260" s="343">
        <f t="shared" si="652"/>
        <v>36917</v>
      </c>
      <c r="AA260" s="517">
        <f t="shared" si="646"/>
        <v>0</v>
      </c>
      <c r="AB260" s="518">
        <f t="shared" ref="AB260" si="653">SUM(AB255:AB259)</f>
        <v>0</v>
      </c>
      <c r="AC260" s="356">
        <f t="shared" ref="AC260:AD260" si="654">SUM(AC255:AC259)</f>
        <v>0</v>
      </c>
      <c r="AD260" s="343">
        <f t="shared" si="654"/>
        <v>0</v>
      </c>
      <c r="AE260" s="517">
        <f t="shared" si="646"/>
        <v>0</v>
      </c>
      <c r="AF260" s="518">
        <f t="shared" ref="AF260" si="655">SUM(AF255:AF259)</f>
        <v>22631</v>
      </c>
      <c r="AG260" s="356">
        <f t="shared" ref="AG260:AH260" si="656">SUM(AG255:AG259)</f>
        <v>0</v>
      </c>
      <c r="AH260" s="343">
        <f t="shared" si="656"/>
        <v>22631</v>
      </c>
      <c r="AI260" s="517">
        <f t="shared" si="646"/>
        <v>4000</v>
      </c>
      <c r="AJ260" s="518">
        <f t="shared" ref="AJ260:AK260" si="657">SUM(AJ255:AJ259)</f>
        <v>4000</v>
      </c>
      <c r="AK260" s="518">
        <f t="shared" si="657"/>
        <v>0</v>
      </c>
      <c r="AL260" s="413">
        <f t="shared" si="646"/>
        <v>4000</v>
      </c>
      <c r="AM260" s="517">
        <f t="shared" si="646"/>
        <v>4000</v>
      </c>
      <c r="AN260" s="518">
        <f t="shared" ref="AN260" si="658">SUM(AN255:AN259)</f>
        <v>4000</v>
      </c>
      <c r="AO260" s="356">
        <f t="shared" ref="AO260:AP260" si="659">SUM(AO255:AO259)</f>
        <v>0</v>
      </c>
      <c r="AP260" s="343">
        <f t="shared" si="659"/>
        <v>4000</v>
      </c>
      <c r="AQ260" s="517">
        <f t="shared" si="646"/>
        <v>0</v>
      </c>
      <c r="AR260" s="518">
        <f t="shared" ref="AR260" si="660">SUM(AR255:AR259)</f>
        <v>0</v>
      </c>
      <c r="AS260" s="356">
        <f t="shared" ref="AS260:AT260" si="661">SUM(AS255:AS259)</f>
        <v>0</v>
      </c>
      <c r="AT260" s="343">
        <f t="shared" si="661"/>
        <v>0</v>
      </c>
      <c r="AU260" s="517">
        <f t="shared" si="646"/>
        <v>0</v>
      </c>
      <c r="AV260" s="518">
        <f t="shared" ref="AV260" si="662">SUM(AV255:AV259)</f>
        <v>0</v>
      </c>
      <c r="AW260" s="356">
        <f t="shared" ref="AW260:AX260" si="663">SUM(AW255:AW259)</f>
        <v>0</v>
      </c>
      <c r="AX260" s="343">
        <f t="shared" si="663"/>
        <v>0</v>
      </c>
      <c r="AY260" s="812"/>
    </row>
    <row r="261" spans="1:54" s="485" customFormat="1">
      <c r="A261" s="532">
        <f>+A259+1</f>
        <v>86</v>
      </c>
      <c r="B261" s="833">
        <v>15</v>
      </c>
      <c r="C261" s="996" t="s">
        <v>667</v>
      </c>
      <c r="D261" s="940" t="s">
        <v>666</v>
      </c>
      <c r="E261" s="995" t="s">
        <v>1238</v>
      </c>
      <c r="F261" s="1001" t="s">
        <v>416</v>
      </c>
      <c r="G261" s="1421">
        <f t="shared" ref="G261:J263" si="664">+K261+AI261</f>
        <v>33600</v>
      </c>
      <c r="H261" s="1422">
        <f t="shared" si="664"/>
        <v>33600</v>
      </c>
      <c r="I261" s="1422">
        <f t="shared" si="664"/>
        <v>0</v>
      </c>
      <c r="J261" s="489">
        <f t="shared" si="664"/>
        <v>33600</v>
      </c>
      <c r="K261" s="1421">
        <f>+O261+S261+W261+AE261</f>
        <v>33600</v>
      </c>
      <c r="L261" s="1422">
        <f>+P261+T261+X261+AF261</f>
        <v>33600</v>
      </c>
      <c r="M261" s="1422">
        <f>+Q261+U261+Y261+AG261</f>
        <v>0</v>
      </c>
      <c r="N261" s="489">
        <f>+R261+V261+Z261+AH261</f>
        <v>33600</v>
      </c>
      <c r="O261" s="1011">
        <v>9229</v>
      </c>
      <c r="P261" s="1012">
        <v>9229</v>
      </c>
      <c r="Q261" s="1015"/>
      <c r="R261" s="1016">
        <f t="shared" ref="R261:R263" si="665">+P261+Q261</f>
        <v>9229</v>
      </c>
      <c r="S261" s="1011">
        <v>1643</v>
      </c>
      <c r="T261" s="1012">
        <v>1643</v>
      </c>
      <c r="U261" s="1015"/>
      <c r="V261" s="1016">
        <f t="shared" ref="V261:V263" si="666">+T261+U261</f>
        <v>1643</v>
      </c>
      <c r="W261" s="1011">
        <v>22728</v>
      </c>
      <c r="X261" s="1012">
        <v>22728</v>
      </c>
      <c r="Y261" s="1015"/>
      <c r="Z261" s="1016">
        <f t="shared" ref="Z261:Z263" si="667">+X261+Y261</f>
        <v>22728</v>
      </c>
      <c r="AA261" s="1011"/>
      <c r="AB261" s="1012"/>
      <c r="AC261" s="1015"/>
      <c r="AD261" s="1016">
        <f t="shared" ref="AD261:AD263" si="668">+AB261+AC261</f>
        <v>0</v>
      </c>
      <c r="AE261" s="1011"/>
      <c r="AF261" s="1012"/>
      <c r="AG261" s="1015"/>
      <c r="AH261" s="1016">
        <f t="shared" ref="AH261:AH263" si="669">+AF261+AG261</f>
        <v>0</v>
      </c>
      <c r="AI261" s="1421">
        <f t="shared" ref="AI261:AL263" si="670">+AM261+AQ261+AU261</f>
        <v>0</v>
      </c>
      <c r="AJ261" s="1422">
        <f t="shared" si="670"/>
        <v>0</v>
      </c>
      <c r="AK261" s="1422">
        <f t="shared" si="670"/>
        <v>0</v>
      </c>
      <c r="AL261" s="489">
        <f t="shared" si="670"/>
        <v>0</v>
      </c>
      <c r="AM261" s="1011"/>
      <c r="AN261" s="1012"/>
      <c r="AO261" s="1015"/>
      <c r="AP261" s="1016">
        <f t="shared" ref="AP261:AP263" si="671">+AN261+AO261</f>
        <v>0</v>
      </c>
      <c r="AQ261" s="1011"/>
      <c r="AR261" s="1012"/>
      <c r="AS261" s="1015"/>
      <c r="AT261" s="1016">
        <f t="shared" ref="AT261:AT263" si="672">+AR261+AS261</f>
        <v>0</v>
      </c>
      <c r="AU261" s="1011"/>
      <c r="AV261" s="1012"/>
      <c r="AW261" s="1015"/>
      <c r="AX261" s="1016">
        <f t="shared" ref="AX261:AX263" si="673">+AV261+AW261</f>
        <v>0</v>
      </c>
      <c r="AY261" s="483"/>
      <c r="AZ261" s="481"/>
      <c r="BA261" s="481"/>
      <c r="BB261" s="481"/>
    </row>
    <row r="262" spans="1:54" s="485" customFormat="1">
      <c r="A262" s="532">
        <f>+A261+1</f>
        <v>87</v>
      </c>
      <c r="B262" s="833">
        <v>16</v>
      </c>
      <c r="C262" s="996" t="s">
        <v>1073</v>
      </c>
      <c r="D262" s="940" t="s">
        <v>732</v>
      </c>
      <c r="E262" s="995" t="s">
        <v>1225</v>
      </c>
      <c r="F262" s="1001" t="s">
        <v>647</v>
      </c>
      <c r="G262" s="1417">
        <f t="shared" si="664"/>
        <v>6648</v>
      </c>
      <c r="H262" s="1418">
        <f t="shared" si="664"/>
        <v>6648</v>
      </c>
      <c r="I262" s="1418">
        <f t="shared" si="664"/>
        <v>0</v>
      </c>
      <c r="J262" s="473">
        <f t="shared" si="664"/>
        <v>6648</v>
      </c>
      <c r="K262" s="1417">
        <f>+O262+S262+W262+AA262+AE262</f>
        <v>6648</v>
      </c>
      <c r="L262" s="1418">
        <f>+P262+T262+X262+AB262+AF262</f>
        <v>6648</v>
      </c>
      <c r="M262" s="1418">
        <f>+Q262+U262+Y262+AC262+AG262</f>
        <v>0</v>
      </c>
      <c r="N262" s="473">
        <f>+R262+V262+Z262+AD262+AH262</f>
        <v>6648</v>
      </c>
      <c r="O262" s="1014">
        <v>5403</v>
      </c>
      <c r="P262" s="1015">
        <v>5403</v>
      </c>
      <c r="Q262" s="1015"/>
      <c r="R262" s="1016">
        <f t="shared" si="665"/>
        <v>5403</v>
      </c>
      <c r="S262" s="1014">
        <v>864</v>
      </c>
      <c r="T262" s="1015">
        <v>864</v>
      </c>
      <c r="U262" s="1015"/>
      <c r="V262" s="1016">
        <f t="shared" si="666"/>
        <v>864</v>
      </c>
      <c r="W262" s="1014">
        <v>381</v>
      </c>
      <c r="X262" s="1015">
        <v>381</v>
      </c>
      <c r="Y262" s="1015"/>
      <c r="Z262" s="1016">
        <f t="shared" si="667"/>
        <v>381</v>
      </c>
      <c r="AA262" s="1014"/>
      <c r="AB262" s="1015"/>
      <c r="AC262" s="1015"/>
      <c r="AD262" s="1016">
        <f t="shared" si="668"/>
        <v>0</v>
      </c>
      <c r="AE262" s="1014"/>
      <c r="AF262" s="1015"/>
      <c r="AG262" s="1015"/>
      <c r="AH262" s="1016">
        <f t="shared" si="669"/>
        <v>0</v>
      </c>
      <c r="AI262" s="1417">
        <f t="shared" si="670"/>
        <v>0</v>
      </c>
      <c r="AJ262" s="1418">
        <f t="shared" si="670"/>
        <v>0</v>
      </c>
      <c r="AK262" s="1418">
        <f t="shared" si="670"/>
        <v>0</v>
      </c>
      <c r="AL262" s="473">
        <f t="shared" si="670"/>
        <v>0</v>
      </c>
      <c r="AM262" s="1014"/>
      <c r="AN262" s="1015"/>
      <c r="AO262" s="1015"/>
      <c r="AP262" s="1016">
        <f t="shared" si="671"/>
        <v>0</v>
      </c>
      <c r="AQ262" s="1014"/>
      <c r="AR262" s="1015"/>
      <c r="AS262" s="1015"/>
      <c r="AT262" s="1016">
        <f t="shared" si="672"/>
        <v>0</v>
      </c>
      <c r="AU262" s="1014"/>
      <c r="AV262" s="1015"/>
      <c r="AW262" s="1015"/>
      <c r="AX262" s="1016">
        <f t="shared" si="673"/>
        <v>0</v>
      </c>
      <c r="AY262" s="818"/>
    </row>
    <row r="263" spans="1:54" s="485" customFormat="1" ht="12.75" thickBot="1">
      <c r="A263" s="532">
        <f>+A262+1</f>
        <v>88</v>
      </c>
      <c r="B263" s="833">
        <v>17</v>
      </c>
      <c r="C263" s="996" t="s">
        <v>734</v>
      </c>
      <c r="D263" s="940" t="s">
        <v>735</v>
      </c>
      <c r="E263" s="995" t="s">
        <v>1225</v>
      </c>
      <c r="F263" s="1001" t="s">
        <v>660</v>
      </c>
      <c r="G263" s="1421">
        <f t="shared" si="664"/>
        <v>0</v>
      </c>
      <c r="H263" s="1422">
        <f t="shared" si="664"/>
        <v>0</v>
      </c>
      <c r="I263" s="1422">
        <f t="shared" si="664"/>
        <v>0</v>
      </c>
      <c r="J263" s="489">
        <f t="shared" si="664"/>
        <v>0</v>
      </c>
      <c r="K263" s="1421">
        <f>+O263+S263+W263+AE263</f>
        <v>0</v>
      </c>
      <c r="L263" s="1422">
        <f>+P263+T263+X263+AF263</f>
        <v>0</v>
      </c>
      <c r="M263" s="1422">
        <f>+Q263+U263+Y263+AG263</f>
        <v>0</v>
      </c>
      <c r="N263" s="489">
        <f>+R263+V263+Z263+AH263</f>
        <v>0</v>
      </c>
      <c r="O263" s="1014"/>
      <c r="P263" s="1015"/>
      <c r="Q263" s="1015"/>
      <c r="R263" s="1016">
        <f t="shared" si="665"/>
        <v>0</v>
      </c>
      <c r="S263" s="1014"/>
      <c r="T263" s="1015"/>
      <c r="U263" s="1015"/>
      <c r="V263" s="1016">
        <f t="shared" si="666"/>
        <v>0</v>
      </c>
      <c r="W263" s="1014"/>
      <c r="X263" s="1015"/>
      <c r="Y263" s="1015"/>
      <c r="Z263" s="1016">
        <f t="shared" si="667"/>
        <v>0</v>
      </c>
      <c r="AA263" s="1014"/>
      <c r="AB263" s="1015"/>
      <c r="AC263" s="1015"/>
      <c r="AD263" s="1016">
        <f t="shared" si="668"/>
        <v>0</v>
      </c>
      <c r="AE263" s="1014"/>
      <c r="AF263" s="1015"/>
      <c r="AG263" s="1015"/>
      <c r="AH263" s="1016">
        <f t="shared" si="669"/>
        <v>0</v>
      </c>
      <c r="AI263" s="1421">
        <f t="shared" si="670"/>
        <v>0</v>
      </c>
      <c r="AJ263" s="1422">
        <f t="shared" si="670"/>
        <v>0</v>
      </c>
      <c r="AK263" s="1422">
        <f t="shared" si="670"/>
        <v>0</v>
      </c>
      <c r="AL263" s="489">
        <f t="shared" si="670"/>
        <v>0</v>
      </c>
      <c r="AM263" s="1014"/>
      <c r="AN263" s="1015"/>
      <c r="AO263" s="1015"/>
      <c r="AP263" s="1016">
        <f t="shared" si="671"/>
        <v>0</v>
      </c>
      <c r="AQ263" s="1014"/>
      <c r="AR263" s="1015"/>
      <c r="AS263" s="1015"/>
      <c r="AT263" s="1016">
        <f t="shared" si="672"/>
        <v>0</v>
      </c>
      <c r="AU263" s="1014"/>
      <c r="AV263" s="1015"/>
      <c r="AW263" s="1015"/>
      <c r="AX263" s="1016">
        <f t="shared" si="673"/>
        <v>0</v>
      </c>
      <c r="AY263" s="483"/>
      <c r="AZ263" s="296"/>
      <c r="BA263" s="296"/>
      <c r="BB263" s="296"/>
    </row>
    <row r="264" spans="1:54" s="493" customFormat="1" ht="12.75" thickBot="1">
      <c r="A264" s="528" t="s">
        <v>632</v>
      </c>
      <c r="B264" s="835"/>
      <c r="C264" s="1540" t="s">
        <v>870</v>
      </c>
      <c r="D264" s="1541"/>
      <c r="E264" s="1541"/>
      <c r="F264" s="1542"/>
      <c r="G264" s="517">
        <f>SUM(G261:G263)</f>
        <v>40248</v>
      </c>
      <c r="H264" s="518">
        <f>SUM(H261:H263)</f>
        <v>40248</v>
      </c>
      <c r="I264" s="518">
        <f>SUM(I261:I263)</f>
        <v>0</v>
      </c>
      <c r="J264" s="413">
        <f>SUM(J261:J263)</f>
        <v>40248</v>
      </c>
      <c r="K264" s="517">
        <f t="shared" ref="K264" si="674">SUM(K261:K263)</f>
        <v>40248</v>
      </c>
      <c r="L264" s="518">
        <f t="shared" ref="L264:M264" si="675">SUM(L261:L263)</f>
        <v>40248</v>
      </c>
      <c r="M264" s="518">
        <f t="shared" si="675"/>
        <v>0</v>
      </c>
      <c r="N264" s="413">
        <f t="shared" ref="N264:AU264" si="676">SUM(N261:N263)</f>
        <v>40248</v>
      </c>
      <c r="O264" s="517">
        <f t="shared" si="676"/>
        <v>14632</v>
      </c>
      <c r="P264" s="518">
        <f t="shared" ref="P264" si="677">SUM(P261:P263)</f>
        <v>14632</v>
      </c>
      <c r="Q264" s="356">
        <f t="shared" ref="Q264:R264" si="678">SUM(Q261:Q263)</f>
        <v>0</v>
      </c>
      <c r="R264" s="343">
        <f t="shared" si="678"/>
        <v>14632</v>
      </c>
      <c r="S264" s="517">
        <f t="shared" si="676"/>
        <v>2507</v>
      </c>
      <c r="T264" s="518">
        <f t="shared" ref="T264" si="679">SUM(T261:T263)</f>
        <v>2507</v>
      </c>
      <c r="U264" s="356">
        <f t="shared" ref="U264:V264" si="680">SUM(U261:U263)</f>
        <v>0</v>
      </c>
      <c r="V264" s="343">
        <f t="shared" si="680"/>
        <v>2507</v>
      </c>
      <c r="W264" s="517">
        <f t="shared" si="676"/>
        <v>23109</v>
      </c>
      <c r="X264" s="518">
        <f t="shared" ref="X264" si="681">SUM(X261:X263)</f>
        <v>23109</v>
      </c>
      <c r="Y264" s="356">
        <f t="shared" ref="Y264:Z264" si="682">SUM(Y261:Y263)</f>
        <v>0</v>
      </c>
      <c r="Z264" s="343">
        <f t="shared" si="682"/>
        <v>23109</v>
      </c>
      <c r="AA264" s="517">
        <f t="shared" si="676"/>
        <v>0</v>
      </c>
      <c r="AB264" s="518">
        <f t="shared" ref="AB264" si="683">SUM(AB261:AB263)</f>
        <v>0</v>
      </c>
      <c r="AC264" s="356">
        <f t="shared" ref="AC264:AD264" si="684">SUM(AC261:AC263)</f>
        <v>0</v>
      </c>
      <c r="AD264" s="343">
        <f t="shared" si="684"/>
        <v>0</v>
      </c>
      <c r="AE264" s="517">
        <f t="shared" si="676"/>
        <v>0</v>
      </c>
      <c r="AF264" s="518">
        <f t="shared" ref="AF264" si="685">SUM(AF261:AF263)</f>
        <v>0</v>
      </c>
      <c r="AG264" s="356">
        <f t="shared" ref="AG264:AH264" si="686">SUM(AG261:AG263)</f>
        <v>0</v>
      </c>
      <c r="AH264" s="343">
        <f t="shared" si="686"/>
        <v>0</v>
      </c>
      <c r="AI264" s="517">
        <f t="shared" si="676"/>
        <v>0</v>
      </c>
      <c r="AJ264" s="518">
        <f t="shared" ref="AJ264:AK264" si="687">SUM(AJ261:AJ263)</f>
        <v>0</v>
      </c>
      <c r="AK264" s="518">
        <f t="shared" si="687"/>
        <v>0</v>
      </c>
      <c r="AL264" s="413">
        <f t="shared" si="676"/>
        <v>0</v>
      </c>
      <c r="AM264" s="517">
        <f t="shared" si="676"/>
        <v>0</v>
      </c>
      <c r="AN264" s="518">
        <f t="shared" ref="AN264" si="688">SUM(AN261:AN263)</f>
        <v>0</v>
      </c>
      <c r="AO264" s="356">
        <f t="shared" ref="AO264:AP264" si="689">SUM(AO261:AO263)</f>
        <v>0</v>
      </c>
      <c r="AP264" s="343">
        <f t="shared" si="689"/>
        <v>0</v>
      </c>
      <c r="AQ264" s="517">
        <f t="shared" si="676"/>
        <v>0</v>
      </c>
      <c r="AR264" s="518">
        <f t="shared" ref="AR264" si="690">SUM(AR261:AR263)</f>
        <v>0</v>
      </c>
      <c r="AS264" s="356">
        <f t="shared" ref="AS264:AT264" si="691">SUM(AS261:AS263)</f>
        <v>0</v>
      </c>
      <c r="AT264" s="343">
        <f t="shared" si="691"/>
        <v>0</v>
      </c>
      <c r="AU264" s="517">
        <f t="shared" si="676"/>
        <v>0</v>
      </c>
      <c r="AV264" s="518">
        <f t="shared" ref="AV264" si="692">SUM(AV261:AV263)</f>
        <v>0</v>
      </c>
      <c r="AW264" s="356">
        <f t="shared" ref="AW264:AX264" si="693">SUM(AW261:AW263)</f>
        <v>0</v>
      </c>
      <c r="AX264" s="343">
        <f t="shared" si="693"/>
        <v>0</v>
      </c>
      <c r="AY264" s="812"/>
      <c r="AZ264" s="481"/>
      <c r="BA264" s="481"/>
      <c r="BB264" s="481"/>
    </row>
    <row r="265" spans="1:54" s="493" customFormat="1">
      <c r="A265" s="532">
        <f>+A263+1</f>
        <v>89</v>
      </c>
      <c r="B265" s="832">
        <v>18</v>
      </c>
      <c r="C265" s="993" t="s">
        <v>741</v>
      </c>
      <c r="D265" s="944" t="s">
        <v>740</v>
      </c>
      <c r="E265" s="994" t="s">
        <v>1225</v>
      </c>
      <c r="F265" s="1007" t="s">
        <v>658</v>
      </c>
      <c r="G265" s="1425">
        <f t="shared" ref="G265:J271" si="694">+K265+AI265</f>
        <v>0</v>
      </c>
      <c r="H265" s="1426">
        <f t="shared" si="694"/>
        <v>0</v>
      </c>
      <c r="I265" s="1426">
        <f t="shared" si="694"/>
        <v>0</v>
      </c>
      <c r="J265" s="472">
        <f t="shared" si="694"/>
        <v>0</v>
      </c>
      <c r="K265" s="1425">
        <f t="shared" ref="K265:N271" si="695">+O265+S265+W265+AA265+AE265</f>
        <v>0</v>
      </c>
      <c r="L265" s="1426">
        <f t="shared" si="695"/>
        <v>0</v>
      </c>
      <c r="M265" s="1426">
        <f t="shared" si="695"/>
        <v>0</v>
      </c>
      <c r="N265" s="472">
        <f t="shared" si="695"/>
        <v>0</v>
      </c>
      <c r="O265" s="1017"/>
      <c r="P265" s="1018"/>
      <c r="Q265" s="1012"/>
      <c r="R265" s="1013">
        <f t="shared" ref="R265:R271" si="696">+P265+Q265</f>
        <v>0</v>
      </c>
      <c r="S265" s="1017"/>
      <c r="T265" s="1018"/>
      <c r="U265" s="1012"/>
      <c r="V265" s="1013">
        <f t="shared" ref="V265:V271" si="697">+T265+U265</f>
        <v>0</v>
      </c>
      <c r="W265" s="1017"/>
      <c r="X265" s="1018"/>
      <c r="Y265" s="1012"/>
      <c r="Z265" s="1013">
        <f t="shared" ref="Z265:Z271" si="698">+X265+Y265</f>
        <v>0</v>
      </c>
      <c r="AA265" s="1017"/>
      <c r="AB265" s="1018"/>
      <c r="AC265" s="1012"/>
      <c r="AD265" s="1013">
        <f t="shared" ref="AD265:AD271" si="699">+AB265+AC265</f>
        <v>0</v>
      </c>
      <c r="AE265" s="1017"/>
      <c r="AF265" s="1018"/>
      <c r="AG265" s="1012"/>
      <c r="AH265" s="1013">
        <f t="shared" ref="AH265:AH271" si="700">+AF265+AG265</f>
        <v>0</v>
      </c>
      <c r="AI265" s="1425">
        <f t="shared" ref="AI265:AL271" si="701">+AM265+AQ265+AU265</f>
        <v>0</v>
      </c>
      <c r="AJ265" s="1426">
        <f t="shared" si="701"/>
        <v>0</v>
      </c>
      <c r="AK265" s="1426">
        <f t="shared" si="701"/>
        <v>0</v>
      </c>
      <c r="AL265" s="472">
        <f t="shared" si="701"/>
        <v>0</v>
      </c>
      <c r="AM265" s="1017"/>
      <c r="AN265" s="1018"/>
      <c r="AO265" s="1012"/>
      <c r="AP265" s="1013">
        <f t="shared" ref="AP265:AP271" si="702">+AN265+AO265</f>
        <v>0</v>
      </c>
      <c r="AQ265" s="1017"/>
      <c r="AR265" s="1018"/>
      <c r="AS265" s="1012"/>
      <c r="AT265" s="1013">
        <f t="shared" ref="AT265:AT271" si="703">+AR265+AS265</f>
        <v>0</v>
      </c>
      <c r="AU265" s="1017"/>
      <c r="AV265" s="1018"/>
      <c r="AW265" s="1012"/>
      <c r="AX265" s="1013">
        <f t="shared" ref="AX265:AX271" si="704">+AV265+AW265</f>
        <v>0</v>
      </c>
      <c r="AY265" s="818"/>
      <c r="AZ265" s="296"/>
      <c r="BA265" s="296"/>
      <c r="BB265" s="296"/>
    </row>
    <row r="266" spans="1:54" s="485" customFormat="1">
      <c r="A266" s="532">
        <f t="shared" ref="A266:A271" si="705">+A265+1</f>
        <v>90</v>
      </c>
      <c r="B266" s="832">
        <v>18</v>
      </c>
      <c r="C266" s="993" t="s">
        <v>741</v>
      </c>
      <c r="D266" s="944" t="s">
        <v>740</v>
      </c>
      <c r="E266" s="994" t="s">
        <v>1225</v>
      </c>
      <c r="F266" s="1007" t="s">
        <v>659</v>
      </c>
      <c r="G266" s="1417">
        <f t="shared" si="694"/>
        <v>0</v>
      </c>
      <c r="H266" s="1418">
        <f t="shared" si="694"/>
        <v>0</v>
      </c>
      <c r="I266" s="1418">
        <f t="shared" si="694"/>
        <v>0</v>
      </c>
      <c r="J266" s="473">
        <f t="shared" si="694"/>
        <v>0</v>
      </c>
      <c r="K266" s="1417">
        <f t="shared" si="695"/>
        <v>0</v>
      </c>
      <c r="L266" s="1418">
        <f t="shared" si="695"/>
        <v>0</v>
      </c>
      <c r="M266" s="1418">
        <f t="shared" si="695"/>
        <v>0</v>
      </c>
      <c r="N266" s="473">
        <f t="shared" si="695"/>
        <v>0</v>
      </c>
      <c r="O266" s="1014"/>
      <c r="P266" s="1015"/>
      <c r="Q266" s="1012"/>
      <c r="R266" s="1013">
        <f t="shared" si="696"/>
        <v>0</v>
      </c>
      <c r="S266" s="1014"/>
      <c r="T266" s="1015"/>
      <c r="U266" s="1012"/>
      <c r="V266" s="1013">
        <f t="shared" si="697"/>
        <v>0</v>
      </c>
      <c r="W266" s="1014"/>
      <c r="X266" s="1015"/>
      <c r="Y266" s="1012"/>
      <c r="Z266" s="1013">
        <f t="shared" si="698"/>
        <v>0</v>
      </c>
      <c r="AA266" s="1014"/>
      <c r="AB266" s="1015"/>
      <c r="AC266" s="1012"/>
      <c r="AD266" s="1013">
        <f t="shared" si="699"/>
        <v>0</v>
      </c>
      <c r="AE266" s="1014"/>
      <c r="AF266" s="1015"/>
      <c r="AG266" s="1012"/>
      <c r="AH266" s="1013">
        <f t="shared" si="700"/>
        <v>0</v>
      </c>
      <c r="AI266" s="1417">
        <f t="shared" si="701"/>
        <v>0</v>
      </c>
      <c r="AJ266" s="1418">
        <f t="shared" si="701"/>
        <v>0</v>
      </c>
      <c r="AK266" s="1418">
        <f t="shared" si="701"/>
        <v>0</v>
      </c>
      <c r="AL266" s="473">
        <f t="shared" si="701"/>
        <v>0</v>
      </c>
      <c r="AM266" s="1014"/>
      <c r="AN266" s="1015"/>
      <c r="AO266" s="1012"/>
      <c r="AP266" s="1013">
        <f t="shared" si="702"/>
        <v>0</v>
      </c>
      <c r="AQ266" s="1014"/>
      <c r="AR266" s="1015"/>
      <c r="AS266" s="1012"/>
      <c r="AT266" s="1013">
        <f t="shared" si="703"/>
        <v>0</v>
      </c>
      <c r="AU266" s="1014"/>
      <c r="AV266" s="1015"/>
      <c r="AW266" s="1012"/>
      <c r="AX266" s="1013">
        <f t="shared" si="704"/>
        <v>0</v>
      </c>
      <c r="AY266" s="818"/>
    </row>
    <row r="267" spans="1:54" s="485" customFormat="1">
      <c r="A267" s="532">
        <f t="shared" si="705"/>
        <v>91</v>
      </c>
      <c r="B267" s="832">
        <v>18</v>
      </c>
      <c r="C267" s="993" t="s">
        <v>741</v>
      </c>
      <c r="D267" s="944" t="s">
        <v>740</v>
      </c>
      <c r="E267" s="994" t="s">
        <v>1225</v>
      </c>
      <c r="F267" s="1007" t="s">
        <v>738</v>
      </c>
      <c r="G267" s="1417">
        <f t="shared" si="694"/>
        <v>0</v>
      </c>
      <c r="H267" s="1418">
        <f t="shared" si="694"/>
        <v>0</v>
      </c>
      <c r="I267" s="1418">
        <f t="shared" si="694"/>
        <v>0</v>
      </c>
      <c r="J267" s="473">
        <f t="shared" si="694"/>
        <v>0</v>
      </c>
      <c r="K267" s="1417">
        <f t="shared" si="695"/>
        <v>0</v>
      </c>
      <c r="L267" s="1418">
        <f t="shared" si="695"/>
        <v>0</v>
      </c>
      <c r="M267" s="1418">
        <f t="shared" si="695"/>
        <v>0</v>
      </c>
      <c r="N267" s="473">
        <f t="shared" si="695"/>
        <v>0</v>
      </c>
      <c r="O267" s="1014"/>
      <c r="P267" s="1015"/>
      <c r="Q267" s="1012"/>
      <c r="R267" s="1013">
        <f t="shared" si="696"/>
        <v>0</v>
      </c>
      <c r="S267" s="1014"/>
      <c r="T267" s="1015"/>
      <c r="U267" s="1012"/>
      <c r="V267" s="1013">
        <f t="shared" si="697"/>
        <v>0</v>
      </c>
      <c r="W267" s="1014"/>
      <c r="X267" s="1015"/>
      <c r="Y267" s="1012"/>
      <c r="Z267" s="1013">
        <f t="shared" si="698"/>
        <v>0</v>
      </c>
      <c r="AA267" s="1014"/>
      <c r="AB267" s="1015"/>
      <c r="AC267" s="1012"/>
      <c r="AD267" s="1013">
        <f t="shared" si="699"/>
        <v>0</v>
      </c>
      <c r="AE267" s="1014"/>
      <c r="AF267" s="1015"/>
      <c r="AG267" s="1012"/>
      <c r="AH267" s="1013">
        <f t="shared" si="700"/>
        <v>0</v>
      </c>
      <c r="AI267" s="1417">
        <f t="shared" si="701"/>
        <v>0</v>
      </c>
      <c r="AJ267" s="1418">
        <f t="shared" si="701"/>
        <v>0</v>
      </c>
      <c r="AK267" s="1418">
        <f t="shared" si="701"/>
        <v>0</v>
      </c>
      <c r="AL267" s="473">
        <f t="shared" si="701"/>
        <v>0</v>
      </c>
      <c r="AM267" s="1014"/>
      <c r="AN267" s="1015"/>
      <c r="AO267" s="1012"/>
      <c r="AP267" s="1013">
        <f t="shared" si="702"/>
        <v>0</v>
      </c>
      <c r="AQ267" s="1014"/>
      <c r="AR267" s="1015"/>
      <c r="AS267" s="1012"/>
      <c r="AT267" s="1013">
        <f t="shared" si="703"/>
        <v>0</v>
      </c>
      <c r="AU267" s="1014"/>
      <c r="AV267" s="1015"/>
      <c r="AW267" s="1012"/>
      <c r="AX267" s="1013">
        <f t="shared" si="704"/>
        <v>0</v>
      </c>
      <c r="AY267" s="818"/>
    </row>
    <row r="268" spans="1:54" s="485" customFormat="1">
      <c r="A268" s="532">
        <f t="shared" si="705"/>
        <v>92</v>
      </c>
      <c r="B268" s="832">
        <v>18</v>
      </c>
      <c r="C268" s="993" t="s">
        <v>741</v>
      </c>
      <c r="D268" s="944" t="s">
        <v>740</v>
      </c>
      <c r="E268" s="994" t="s">
        <v>1225</v>
      </c>
      <c r="F268" s="1007" t="s">
        <v>739</v>
      </c>
      <c r="G268" s="1417">
        <f t="shared" si="694"/>
        <v>0</v>
      </c>
      <c r="H268" s="1418">
        <f t="shared" si="694"/>
        <v>0</v>
      </c>
      <c r="I268" s="1418">
        <f t="shared" si="694"/>
        <v>0</v>
      </c>
      <c r="J268" s="473">
        <f t="shared" si="694"/>
        <v>0</v>
      </c>
      <c r="K268" s="1417">
        <f t="shared" si="695"/>
        <v>0</v>
      </c>
      <c r="L268" s="1418">
        <f t="shared" si="695"/>
        <v>0</v>
      </c>
      <c r="M268" s="1418">
        <f t="shared" si="695"/>
        <v>0</v>
      </c>
      <c r="N268" s="473">
        <f t="shared" si="695"/>
        <v>0</v>
      </c>
      <c r="O268" s="1014"/>
      <c r="P268" s="1015"/>
      <c r="Q268" s="1012"/>
      <c r="R268" s="1013">
        <f t="shared" si="696"/>
        <v>0</v>
      </c>
      <c r="S268" s="1014"/>
      <c r="T268" s="1015"/>
      <c r="U268" s="1012"/>
      <c r="V268" s="1013">
        <f t="shared" si="697"/>
        <v>0</v>
      </c>
      <c r="W268" s="1014"/>
      <c r="X268" s="1015"/>
      <c r="Y268" s="1012"/>
      <c r="Z268" s="1013">
        <f t="shared" si="698"/>
        <v>0</v>
      </c>
      <c r="AA268" s="1014"/>
      <c r="AB268" s="1015"/>
      <c r="AC268" s="1012"/>
      <c r="AD268" s="1013">
        <f t="shared" si="699"/>
        <v>0</v>
      </c>
      <c r="AE268" s="1014"/>
      <c r="AF268" s="1015"/>
      <c r="AG268" s="1012"/>
      <c r="AH268" s="1013">
        <f t="shared" si="700"/>
        <v>0</v>
      </c>
      <c r="AI268" s="1417">
        <f t="shared" si="701"/>
        <v>0</v>
      </c>
      <c r="AJ268" s="1418">
        <f t="shared" si="701"/>
        <v>0</v>
      </c>
      <c r="AK268" s="1418">
        <f t="shared" si="701"/>
        <v>0</v>
      </c>
      <c r="AL268" s="473">
        <f t="shared" si="701"/>
        <v>0</v>
      </c>
      <c r="AM268" s="1014"/>
      <c r="AN268" s="1015"/>
      <c r="AO268" s="1012"/>
      <c r="AP268" s="1013">
        <f t="shared" si="702"/>
        <v>0</v>
      </c>
      <c r="AQ268" s="1014"/>
      <c r="AR268" s="1015"/>
      <c r="AS268" s="1012"/>
      <c r="AT268" s="1013">
        <f t="shared" si="703"/>
        <v>0</v>
      </c>
      <c r="AU268" s="1014"/>
      <c r="AV268" s="1015"/>
      <c r="AW268" s="1012"/>
      <c r="AX268" s="1013">
        <f t="shared" si="704"/>
        <v>0</v>
      </c>
      <c r="AY268" s="818"/>
    </row>
    <row r="269" spans="1:54" s="485" customFormat="1">
      <c r="A269" s="532">
        <f t="shared" si="705"/>
        <v>93</v>
      </c>
      <c r="B269" s="832">
        <v>18</v>
      </c>
      <c r="C269" s="993" t="s">
        <v>673</v>
      </c>
      <c r="D269" s="944" t="s">
        <v>672</v>
      </c>
      <c r="E269" s="994" t="s">
        <v>1225</v>
      </c>
      <c r="F269" s="1007" t="s">
        <v>636</v>
      </c>
      <c r="G269" s="1417">
        <f t="shared" si="694"/>
        <v>0</v>
      </c>
      <c r="H269" s="1418">
        <f t="shared" si="694"/>
        <v>0</v>
      </c>
      <c r="I269" s="1418">
        <f t="shared" si="694"/>
        <v>0</v>
      </c>
      <c r="J269" s="473">
        <f t="shared" si="694"/>
        <v>0</v>
      </c>
      <c r="K269" s="1417">
        <f t="shared" si="695"/>
        <v>0</v>
      </c>
      <c r="L269" s="1418">
        <f t="shared" si="695"/>
        <v>0</v>
      </c>
      <c r="M269" s="1418">
        <f t="shared" si="695"/>
        <v>0</v>
      </c>
      <c r="N269" s="473">
        <f t="shared" si="695"/>
        <v>0</v>
      </c>
      <c r="O269" s="1014"/>
      <c r="P269" s="1015"/>
      <c r="Q269" s="1012"/>
      <c r="R269" s="1013">
        <f t="shared" si="696"/>
        <v>0</v>
      </c>
      <c r="S269" s="1014"/>
      <c r="T269" s="1015"/>
      <c r="U269" s="1012"/>
      <c r="V269" s="1013">
        <f t="shared" si="697"/>
        <v>0</v>
      </c>
      <c r="W269" s="1014"/>
      <c r="X269" s="1015"/>
      <c r="Y269" s="1012"/>
      <c r="Z269" s="1013">
        <f t="shared" si="698"/>
        <v>0</v>
      </c>
      <c r="AA269" s="1014"/>
      <c r="AB269" s="1015"/>
      <c r="AC269" s="1012"/>
      <c r="AD269" s="1013">
        <f t="shared" si="699"/>
        <v>0</v>
      </c>
      <c r="AE269" s="1014"/>
      <c r="AF269" s="1015"/>
      <c r="AG269" s="1012"/>
      <c r="AH269" s="1013">
        <f t="shared" si="700"/>
        <v>0</v>
      </c>
      <c r="AI269" s="1417">
        <f t="shared" si="701"/>
        <v>0</v>
      </c>
      <c r="AJ269" s="1418">
        <f t="shared" si="701"/>
        <v>0</v>
      </c>
      <c r="AK269" s="1418">
        <f t="shared" si="701"/>
        <v>0</v>
      </c>
      <c r="AL269" s="473">
        <f t="shared" si="701"/>
        <v>0</v>
      </c>
      <c r="AM269" s="1014"/>
      <c r="AN269" s="1015"/>
      <c r="AO269" s="1012"/>
      <c r="AP269" s="1013">
        <f t="shared" si="702"/>
        <v>0</v>
      </c>
      <c r="AQ269" s="1014"/>
      <c r="AR269" s="1015"/>
      <c r="AS269" s="1012"/>
      <c r="AT269" s="1013">
        <f t="shared" si="703"/>
        <v>0</v>
      </c>
      <c r="AU269" s="1014"/>
      <c r="AV269" s="1015"/>
      <c r="AW269" s="1012"/>
      <c r="AX269" s="1013">
        <f t="shared" si="704"/>
        <v>0</v>
      </c>
      <c r="AY269" s="818"/>
    </row>
    <row r="270" spans="1:54" s="485" customFormat="1">
      <c r="A270" s="532">
        <f t="shared" si="705"/>
        <v>94</v>
      </c>
      <c r="B270" s="832">
        <v>18</v>
      </c>
      <c r="C270" s="993" t="s">
        <v>996</v>
      </c>
      <c r="D270" s="944" t="s">
        <v>997</v>
      </c>
      <c r="E270" s="994" t="s">
        <v>1225</v>
      </c>
      <c r="F270" s="1007" t="s">
        <v>998</v>
      </c>
      <c r="G270" s="1417">
        <f t="shared" si="694"/>
        <v>0</v>
      </c>
      <c r="H270" s="1418">
        <f t="shared" si="694"/>
        <v>0</v>
      </c>
      <c r="I270" s="1418">
        <f t="shared" si="694"/>
        <v>0</v>
      </c>
      <c r="J270" s="473">
        <f t="shared" si="694"/>
        <v>0</v>
      </c>
      <c r="K270" s="1417">
        <f t="shared" si="695"/>
        <v>0</v>
      </c>
      <c r="L270" s="1418">
        <f t="shared" si="695"/>
        <v>0</v>
      </c>
      <c r="M270" s="1418">
        <f t="shared" si="695"/>
        <v>0</v>
      </c>
      <c r="N270" s="473">
        <f t="shared" si="695"/>
        <v>0</v>
      </c>
      <c r="O270" s="1014"/>
      <c r="P270" s="1015"/>
      <c r="Q270" s="1012"/>
      <c r="R270" s="1013">
        <f t="shared" si="696"/>
        <v>0</v>
      </c>
      <c r="S270" s="1014"/>
      <c r="T270" s="1015"/>
      <c r="U270" s="1012"/>
      <c r="V270" s="1013">
        <f t="shared" si="697"/>
        <v>0</v>
      </c>
      <c r="W270" s="1014"/>
      <c r="X270" s="1015"/>
      <c r="Y270" s="1012"/>
      <c r="Z270" s="1013">
        <f t="shared" si="698"/>
        <v>0</v>
      </c>
      <c r="AA270" s="1014"/>
      <c r="AB270" s="1015"/>
      <c r="AC270" s="1012"/>
      <c r="AD270" s="1013">
        <f t="shared" si="699"/>
        <v>0</v>
      </c>
      <c r="AE270" s="1014"/>
      <c r="AF270" s="1015"/>
      <c r="AG270" s="1012"/>
      <c r="AH270" s="1013">
        <f t="shared" si="700"/>
        <v>0</v>
      </c>
      <c r="AI270" s="1417">
        <f t="shared" si="701"/>
        <v>0</v>
      </c>
      <c r="AJ270" s="1418">
        <f t="shared" si="701"/>
        <v>0</v>
      </c>
      <c r="AK270" s="1418">
        <f t="shared" si="701"/>
        <v>0</v>
      </c>
      <c r="AL270" s="473">
        <f t="shared" si="701"/>
        <v>0</v>
      </c>
      <c r="AM270" s="1014"/>
      <c r="AN270" s="1015"/>
      <c r="AO270" s="1012"/>
      <c r="AP270" s="1013">
        <f t="shared" si="702"/>
        <v>0</v>
      </c>
      <c r="AQ270" s="1014"/>
      <c r="AR270" s="1015"/>
      <c r="AS270" s="1012"/>
      <c r="AT270" s="1013">
        <f t="shared" si="703"/>
        <v>0</v>
      </c>
      <c r="AU270" s="1014"/>
      <c r="AV270" s="1015"/>
      <c r="AW270" s="1012"/>
      <c r="AX270" s="1013">
        <f t="shared" si="704"/>
        <v>0</v>
      </c>
      <c r="AY270" s="818"/>
    </row>
    <row r="271" spans="1:54" s="493" customFormat="1" ht="12.75" thickBot="1">
      <c r="A271" s="532">
        <f t="shared" si="705"/>
        <v>95</v>
      </c>
      <c r="B271" s="832">
        <v>18</v>
      </c>
      <c r="C271" s="993" t="s">
        <v>1006</v>
      </c>
      <c r="D271" s="944" t="s">
        <v>1005</v>
      </c>
      <c r="E271" s="994" t="s">
        <v>1225</v>
      </c>
      <c r="F271" s="1007" t="s">
        <v>998</v>
      </c>
      <c r="G271" s="1423">
        <f t="shared" si="694"/>
        <v>0</v>
      </c>
      <c r="H271" s="1424">
        <f t="shared" si="694"/>
        <v>0</v>
      </c>
      <c r="I271" s="1424">
        <f t="shared" si="694"/>
        <v>0</v>
      </c>
      <c r="J271" s="492">
        <f t="shared" si="694"/>
        <v>0</v>
      </c>
      <c r="K271" s="1423">
        <f t="shared" si="695"/>
        <v>0</v>
      </c>
      <c r="L271" s="1424">
        <f t="shared" si="695"/>
        <v>0</v>
      </c>
      <c r="M271" s="1424">
        <f t="shared" si="695"/>
        <v>0</v>
      </c>
      <c r="N271" s="492">
        <f t="shared" si="695"/>
        <v>0</v>
      </c>
      <c r="O271" s="491"/>
      <c r="P271" s="490"/>
      <c r="Q271" s="1012"/>
      <c r="R271" s="1013">
        <f t="shared" si="696"/>
        <v>0</v>
      </c>
      <c r="S271" s="491"/>
      <c r="T271" s="490"/>
      <c r="U271" s="1012"/>
      <c r="V271" s="1013">
        <f t="shared" si="697"/>
        <v>0</v>
      </c>
      <c r="W271" s="491"/>
      <c r="X271" s="490"/>
      <c r="Y271" s="1012"/>
      <c r="Z271" s="1013">
        <f t="shared" si="698"/>
        <v>0</v>
      </c>
      <c r="AA271" s="491"/>
      <c r="AB271" s="490"/>
      <c r="AC271" s="1012"/>
      <c r="AD271" s="1013">
        <f t="shared" si="699"/>
        <v>0</v>
      </c>
      <c r="AE271" s="491"/>
      <c r="AF271" s="490"/>
      <c r="AG271" s="1012"/>
      <c r="AH271" s="1013">
        <f t="shared" si="700"/>
        <v>0</v>
      </c>
      <c r="AI271" s="1423">
        <f t="shared" si="701"/>
        <v>0</v>
      </c>
      <c r="AJ271" s="1424">
        <f t="shared" si="701"/>
        <v>0</v>
      </c>
      <c r="AK271" s="1424">
        <f t="shared" si="701"/>
        <v>0</v>
      </c>
      <c r="AL271" s="492">
        <f t="shared" si="701"/>
        <v>0</v>
      </c>
      <c r="AM271" s="491"/>
      <c r="AN271" s="490"/>
      <c r="AO271" s="1012"/>
      <c r="AP271" s="1013">
        <f t="shared" si="702"/>
        <v>0</v>
      </c>
      <c r="AQ271" s="491"/>
      <c r="AR271" s="490"/>
      <c r="AS271" s="1012"/>
      <c r="AT271" s="1013">
        <f t="shared" si="703"/>
        <v>0</v>
      </c>
      <c r="AU271" s="491"/>
      <c r="AV271" s="490"/>
      <c r="AW271" s="1012"/>
      <c r="AX271" s="1013">
        <f t="shared" si="704"/>
        <v>0</v>
      </c>
      <c r="AY271" s="818"/>
      <c r="AZ271" s="296"/>
      <c r="BA271" s="296"/>
      <c r="BB271" s="296"/>
    </row>
    <row r="272" spans="1:54" s="493" customFormat="1" ht="12.75" thickBot="1">
      <c r="A272" s="528" t="s">
        <v>746</v>
      </c>
      <c r="B272" s="835"/>
      <c r="C272" s="1540" t="s">
        <v>871</v>
      </c>
      <c r="D272" s="1541"/>
      <c r="E272" s="1541"/>
      <c r="F272" s="1542"/>
      <c r="G272" s="517">
        <f>SUM(G271)</f>
        <v>0</v>
      </c>
      <c r="H272" s="518">
        <f>SUM(H271)</f>
        <v>0</v>
      </c>
      <c r="I272" s="518">
        <f>SUM(I271)</f>
        <v>0</v>
      </c>
      <c r="J272" s="413">
        <f>SUM(J271)</f>
        <v>0</v>
      </c>
      <c r="K272" s="517">
        <f t="shared" ref="K272" si="706">SUM(K271)</f>
        <v>0</v>
      </c>
      <c r="L272" s="518">
        <f t="shared" ref="L272:M272" si="707">SUM(L271)</f>
        <v>0</v>
      </c>
      <c r="M272" s="518">
        <f t="shared" si="707"/>
        <v>0</v>
      </c>
      <c r="N272" s="413">
        <f t="shared" ref="N272:AU272" si="708">SUM(N271)</f>
        <v>0</v>
      </c>
      <c r="O272" s="517">
        <f t="shared" si="708"/>
        <v>0</v>
      </c>
      <c r="P272" s="518">
        <f t="shared" ref="P272" si="709">SUM(P271)</f>
        <v>0</v>
      </c>
      <c r="Q272" s="356">
        <f t="shared" ref="Q272:R272" si="710">SUM(Q265:Q271)</f>
        <v>0</v>
      </c>
      <c r="R272" s="343">
        <f t="shared" si="710"/>
        <v>0</v>
      </c>
      <c r="S272" s="517">
        <f t="shared" si="708"/>
        <v>0</v>
      </c>
      <c r="T272" s="518">
        <f t="shared" ref="T272" si="711">SUM(T271)</f>
        <v>0</v>
      </c>
      <c r="U272" s="356">
        <f t="shared" ref="U272:V272" si="712">SUM(U265:U271)</f>
        <v>0</v>
      </c>
      <c r="V272" s="343">
        <f t="shared" si="712"/>
        <v>0</v>
      </c>
      <c r="W272" s="517">
        <f t="shared" si="708"/>
        <v>0</v>
      </c>
      <c r="X272" s="518">
        <f t="shared" ref="X272" si="713">SUM(X271)</f>
        <v>0</v>
      </c>
      <c r="Y272" s="356">
        <f t="shared" ref="Y272:Z272" si="714">SUM(Y265:Y271)</f>
        <v>0</v>
      </c>
      <c r="Z272" s="343">
        <f t="shared" si="714"/>
        <v>0</v>
      </c>
      <c r="AA272" s="517">
        <f>SUM(AA271)</f>
        <v>0</v>
      </c>
      <c r="AB272" s="518">
        <f>SUM(AB271)</f>
        <v>0</v>
      </c>
      <c r="AC272" s="356">
        <f t="shared" ref="AC272:AD272" si="715">SUM(AC265:AC271)</f>
        <v>0</v>
      </c>
      <c r="AD272" s="343">
        <f t="shared" si="715"/>
        <v>0</v>
      </c>
      <c r="AE272" s="517">
        <f t="shared" ref="AE272" si="716">SUM(AE271)</f>
        <v>0</v>
      </c>
      <c r="AF272" s="518">
        <f t="shared" ref="AF272" si="717">SUM(AF271)</f>
        <v>0</v>
      </c>
      <c r="AG272" s="356">
        <f t="shared" ref="AG272:AH272" si="718">SUM(AG265:AG271)</f>
        <v>0</v>
      </c>
      <c r="AH272" s="343">
        <f t="shared" si="718"/>
        <v>0</v>
      </c>
      <c r="AI272" s="517">
        <f t="shared" si="708"/>
        <v>0</v>
      </c>
      <c r="AJ272" s="518">
        <f t="shared" ref="AJ272:AK272" si="719">SUM(AJ271)</f>
        <v>0</v>
      </c>
      <c r="AK272" s="518">
        <f t="shared" si="719"/>
        <v>0</v>
      </c>
      <c r="AL272" s="413">
        <f t="shared" si="708"/>
        <v>0</v>
      </c>
      <c r="AM272" s="517">
        <f t="shared" si="708"/>
        <v>0</v>
      </c>
      <c r="AN272" s="518">
        <f t="shared" ref="AN272" si="720">SUM(AN271)</f>
        <v>0</v>
      </c>
      <c r="AO272" s="356">
        <f t="shared" ref="AO272:AP272" si="721">SUM(AO265:AO271)</f>
        <v>0</v>
      </c>
      <c r="AP272" s="343">
        <f t="shared" si="721"/>
        <v>0</v>
      </c>
      <c r="AQ272" s="517">
        <f t="shared" si="708"/>
        <v>0</v>
      </c>
      <c r="AR272" s="518">
        <f t="shared" ref="AR272" si="722">SUM(AR271)</f>
        <v>0</v>
      </c>
      <c r="AS272" s="356">
        <f t="shared" ref="AS272:AT272" si="723">SUM(AS265:AS271)</f>
        <v>0</v>
      </c>
      <c r="AT272" s="343">
        <f t="shared" si="723"/>
        <v>0</v>
      </c>
      <c r="AU272" s="517">
        <f t="shared" si="708"/>
        <v>0</v>
      </c>
      <c r="AV272" s="518">
        <f t="shared" ref="AV272" si="724">SUM(AV271)</f>
        <v>0</v>
      </c>
      <c r="AW272" s="356">
        <f t="shared" ref="AW272:AX272" si="725">SUM(AW265:AW271)</f>
        <v>0</v>
      </c>
      <c r="AX272" s="343">
        <f t="shared" si="725"/>
        <v>0</v>
      </c>
      <c r="AY272" s="812"/>
    </row>
    <row r="273" spans="1:54" s="493" customFormat="1" ht="12.75" thickBot="1">
      <c r="A273" s="529" t="s">
        <v>22</v>
      </c>
      <c r="B273" s="836"/>
      <c r="C273" s="1555" t="s">
        <v>872</v>
      </c>
      <c r="D273" s="1556"/>
      <c r="E273" s="1556"/>
      <c r="F273" s="1557"/>
      <c r="G273" s="519">
        <f t="shared" ref="G273" si="726">+G260+G264+G272</f>
        <v>406320</v>
      </c>
      <c r="H273" s="520">
        <f t="shared" ref="H273:I273" si="727">+H260+H264+H272</f>
        <v>430592</v>
      </c>
      <c r="I273" s="520">
        <f t="shared" si="727"/>
        <v>33</v>
      </c>
      <c r="J273" s="521">
        <f t="shared" ref="J273:AU273" si="728">+J260+J264+J272</f>
        <v>430625</v>
      </c>
      <c r="K273" s="519">
        <f t="shared" si="728"/>
        <v>402320</v>
      </c>
      <c r="L273" s="520">
        <f t="shared" ref="L273:M273" si="729">+L260+L264+L272</f>
        <v>426592</v>
      </c>
      <c r="M273" s="520">
        <f t="shared" si="729"/>
        <v>33</v>
      </c>
      <c r="N273" s="521">
        <f t="shared" si="728"/>
        <v>426625</v>
      </c>
      <c r="O273" s="519">
        <f t="shared" si="728"/>
        <v>288403</v>
      </c>
      <c r="P273" s="520">
        <f t="shared" ref="P273:R273" si="730">+P260+P264+P272</f>
        <v>289799</v>
      </c>
      <c r="Q273" s="498">
        <f t="shared" si="730"/>
        <v>29</v>
      </c>
      <c r="R273" s="499">
        <f t="shared" si="730"/>
        <v>289828</v>
      </c>
      <c r="S273" s="519">
        <f t="shared" si="728"/>
        <v>53891</v>
      </c>
      <c r="T273" s="520">
        <f t="shared" ref="T273:V273" si="731">+T260+T264+T272</f>
        <v>54136</v>
      </c>
      <c r="U273" s="498">
        <f t="shared" si="731"/>
        <v>4</v>
      </c>
      <c r="V273" s="499">
        <f t="shared" si="731"/>
        <v>54140</v>
      </c>
      <c r="W273" s="519">
        <f t="shared" si="728"/>
        <v>60026</v>
      </c>
      <c r="X273" s="520">
        <f t="shared" ref="X273:Z273" si="732">+X260+X264+X272</f>
        <v>60026</v>
      </c>
      <c r="Y273" s="498">
        <f t="shared" si="732"/>
        <v>0</v>
      </c>
      <c r="Z273" s="499">
        <f t="shared" si="732"/>
        <v>60026</v>
      </c>
      <c r="AA273" s="519">
        <f t="shared" si="728"/>
        <v>0</v>
      </c>
      <c r="AB273" s="520">
        <f t="shared" ref="AB273:AD273" si="733">+AB260+AB264+AB272</f>
        <v>0</v>
      </c>
      <c r="AC273" s="498">
        <f t="shared" si="733"/>
        <v>0</v>
      </c>
      <c r="AD273" s="499">
        <f t="shared" si="733"/>
        <v>0</v>
      </c>
      <c r="AE273" s="519">
        <f t="shared" si="728"/>
        <v>0</v>
      </c>
      <c r="AF273" s="520">
        <f t="shared" ref="AF273:AH273" si="734">+AF260+AF264+AF272</f>
        <v>22631</v>
      </c>
      <c r="AG273" s="498">
        <f t="shared" si="734"/>
        <v>0</v>
      </c>
      <c r="AH273" s="499">
        <f t="shared" si="734"/>
        <v>22631</v>
      </c>
      <c r="AI273" s="519">
        <f t="shared" si="728"/>
        <v>4000</v>
      </c>
      <c r="AJ273" s="520">
        <f t="shared" ref="AJ273:AK273" si="735">+AJ260+AJ264+AJ272</f>
        <v>4000</v>
      </c>
      <c r="AK273" s="520">
        <f t="shared" si="735"/>
        <v>0</v>
      </c>
      <c r="AL273" s="521">
        <f t="shared" si="728"/>
        <v>4000</v>
      </c>
      <c r="AM273" s="519">
        <f t="shared" si="728"/>
        <v>4000</v>
      </c>
      <c r="AN273" s="520">
        <f t="shared" ref="AN273:AP273" si="736">+AN260+AN264+AN272</f>
        <v>4000</v>
      </c>
      <c r="AO273" s="498">
        <f t="shared" si="736"/>
        <v>0</v>
      </c>
      <c r="AP273" s="499">
        <f t="shared" si="736"/>
        <v>4000</v>
      </c>
      <c r="AQ273" s="519">
        <f t="shared" si="728"/>
        <v>0</v>
      </c>
      <c r="AR273" s="520">
        <f t="shared" ref="AR273:AT273" si="737">+AR260+AR264+AR272</f>
        <v>0</v>
      </c>
      <c r="AS273" s="498">
        <f t="shared" si="737"/>
        <v>0</v>
      </c>
      <c r="AT273" s="499">
        <f t="shared" si="737"/>
        <v>0</v>
      </c>
      <c r="AU273" s="519">
        <f t="shared" si="728"/>
        <v>0</v>
      </c>
      <c r="AV273" s="520">
        <f t="shared" ref="AV273:AX273" si="738">+AV260+AV264+AV272</f>
        <v>0</v>
      </c>
      <c r="AW273" s="498">
        <f t="shared" si="738"/>
        <v>0</v>
      </c>
      <c r="AX273" s="499">
        <f t="shared" si="738"/>
        <v>0</v>
      </c>
      <c r="AY273" s="812"/>
      <c r="AZ273" s="485"/>
      <c r="BA273" s="485"/>
      <c r="BB273" s="485"/>
    </row>
    <row r="274" spans="1:54" s="493" customFormat="1" ht="12.75" thickBot="1">
      <c r="A274" s="528"/>
      <c r="B274" s="839"/>
      <c r="C274" s="925"/>
      <c r="D274" s="527"/>
      <c r="E274" s="920"/>
      <c r="F274" s="494"/>
      <c r="G274" s="517"/>
      <c r="H274" s="518"/>
      <c r="I274" s="518"/>
      <c r="J274" s="413"/>
      <c r="K274" s="517"/>
      <c r="L274" s="518"/>
      <c r="M274" s="518"/>
      <c r="N274" s="413"/>
      <c r="O274" s="495"/>
      <c r="P274" s="356"/>
      <c r="Q274" s="356"/>
      <c r="R274" s="343"/>
      <c r="S274" s="495"/>
      <c r="T274" s="356"/>
      <c r="U274" s="356"/>
      <c r="V274" s="343"/>
      <c r="W274" s="495"/>
      <c r="X274" s="356"/>
      <c r="Y274" s="356"/>
      <c r="Z274" s="343"/>
      <c r="AA274" s="495"/>
      <c r="AB274" s="356"/>
      <c r="AC274" s="356"/>
      <c r="AD274" s="343"/>
      <c r="AE274" s="495"/>
      <c r="AF274" s="356"/>
      <c r="AG274" s="356"/>
      <c r="AH274" s="343"/>
      <c r="AI274" s="517"/>
      <c r="AJ274" s="518"/>
      <c r="AK274" s="518"/>
      <c r="AL274" s="413"/>
      <c r="AM274" s="495"/>
      <c r="AN274" s="356"/>
      <c r="AO274" s="356"/>
      <c r="AP274" s="343"/>
      <c r="AQ274" s="495"/>
      <c r="AR274" s="356"/>
      <c r="AS274" s="356"/>
      <c r="AT274" s="343"/>
      <c r="AU274" s="495"/>
      <c r="AV274" s="356"/>
      <c r="AW274" s="356"/>
      <c r="AX274" s="343"/>
      <c r="AY274" s="484"/>
      <c r="AZ274" s="485"/>
      <c r="BA274" s="485"/>
      <c r="BB274" s="485"/>
    </row>
    <row r="275" spans="1:54">
      <c r="A275" s="532">
        <f>+A271+1</f>
        <v>96</v>
      </c>
      <c r="B275" s="832">
        <v>19</v>
      </c>
      <c r="C275" s="993" t="s">
        <v>1076</v>
      </c>
      <c r="D275" s="944" t="s">
        <v>1077</v>
      </c>
      <c r="E275" s="994" t="s">
        <v>1225</v>
      </c>
      <c r="F275" s="1007" t="s">
        <v>1078</v>
      </c>
      <c r="G275" s="1421">
        <f t="shared" ref="G275:J280" si="739">+K275+AI275</f>
        <v>290740</v>
      </c>
      <c r="H275" s="1422">
        <f t="shared" si="739"/>
        <v>298412</v>
      </c>
      <c r="I275" s="1422">
        <f t="shared" si="739"/>
        <v>20</v>
      </c>
      <c r="J275" s="489">
        <f t="shared" si="739"/>
        <v>298432</v>
      </c>
      <c r="K275" s="1421">
        <f t="shared" ref="K275:N280" si="740">+O275+S275+W275+AA275+AE275</f>
        <v>289640</v>
      </c>
      <c r="L275" s="1422">
        <f t="shared" si="740"/>
        <v>297312</v>
      </c>
      <c r="M275" s="1422">
        <f t="shared" si="740"/>
        <v>20</v>
      </c>
      <c r="N275" s="489">
        <f t="shared" si="740"/>
        <v>297332</v>
      </c>
      <c r="O275" s="1011">
        <v>219940</v>
      </c>
      <c r="P275" s="1012">
        <f>(219940+24)+(6600+18)</f>
        <v>226582</v>
      </c>
      <c r="Q275" s="1012">
        <v>17</v>
      </c>
      <c r="R275" s="1013">
        <f t="shared" ref="R275:R280" si="741">+P275+Q275</f>
        <v>226599</v>
      </c>
      <c r="S275" s="1011">
        <v>43809</v>
      </c>
      <c r="T275" s="1012">
        <f>(43809+4)+(1023+3)</f>
        <v>44839</v>
      </c>
      <c r="U275" s="1012">
        <v>3</v>
      </c>
      <c r="V275" s="1013">
        <f t="shared" ref="V275:V280" si="742">+T275+U275</f>
        <v>44842</v>
      </c>
      <c r="W275" s="1011">
        <v>25891</v>
      </c>
      <c r="X275" s="1012">
        <v>25891</v>
      </c>
      <c r="Y275" s="1012"/>
      <c r="Z275" s="1013">
        <f t="shared" ref="Z275:Z280" si="743">+X275+Y275</f>
        <v>25891</v>
      </c>
      <c r="AA275" s="1011"/>
      <c r="AB275" s="1012"/>
      <c r="AC275" s="1012"/>
      <c r="AD275" s="1013">
        <f t="shared" ref="AD275:AD280" si="744">+AB275+AC275</f>
        <v>0</v>
      </c>
      <c r="AE275" s="1011"/>
      <c r="AF275" s="1012"/>
      <c r="AG275" s="1012"/>
      <c r="AH275" s="1013">
        <f t="shared" ref="AH275:AH280" si="745">+AF275+AG275</f>
        <v>0</v>
      </c>
      <c r="AI275" s="1421">
        <f t="shared" ref="AI275:AL280" si="746">+AM275+AQ275+AU275</f>
        <v>1100</v>
      </c>
      <c r="AJ275" s="1422">
        <f t="shared" si="746"/>
        <v>1100</v>
      </c>
      <c r="AK275" s="1422">
        <f t="shared" si="746"/>
        <v>0</v>
      </c>
      <c r="AL275" s="489">
        <f t="shared" si="746"/>
        <v>1100</v>
      </c>
      <c r="AM275" s="1011">
        <v>1100</v>
      </c>
      <c r="AN275" s="1012">
        <v>1100</v>
      </c>
      <c r="AO275" s="1012"/>
      <c r="AP275" s="1013">
        <f t="shared" ref="AP275:AP280" si="747">+AN275+AO275</f>
        <v>1100</v>
      </c>
      <c r="AQ275" s="1011"/>
      <c r="AR275" s="1012"/>
      <c r="AS275" s="1012"/>
      <c r="AT275" s="1013">
        <f t="shared" ref="AT275:AT280" si="748">+AR275+AS275</f>
        <v>0</v>
      </c>
      <c r="AU275" s="1011"/>
      <c r="AV275" s="1012"/>
      <c r="AW275" s="1012"/>
      <c r="AX275" s="1013">
        <f t="shared" ref="AX275:AX280" si="749">+AV275+AW275</f>
        <v>0</v>
      </c>
      <c r="AY275" s="818"/>
    </row>
    <row r="276" spans="1:54">
      <c r="A276" s="532">
        <f>+A275+1</f>
        <v>97</v>
      </c>
      <c r="B276" s="832">
        <v>20</v>
      </c>
      <c r="C276" s="993" t="s">
        <v>1079</v>
      </c>
      <c r="D276" s="944" t="s">
        <v>1080</v>
      </c>
      <c r="E276" s="994" t="s">
        <v>1239</v>
      </c>
      <c r="F276" s="1007" t="s">
        <v>1085</v>
      </c>
      <c r="G276" s="1421">
        <f t="shared" si="739"/>
        <v>30260</v>
      </c>
      <c r="H276" s="1422">
        <f t="shared" si="739"/>
        <v>30260</v>
      </c>
      <c r="I276" s="1422">
        <f t="shared" si="739"/>
        <v>13320</v>
      </c>
      <c r="J276" s="489">
        <f t="shared" si="739"/>
        <v>43580</v>
      </c>
      <c r="K276" s="1421">
        <f t="shared" si="740"/>
        <v>30260</v>
      </c>
      <c r="L276" s="1422">
        <f t="shared" si="740"/>
        <v>30260</v>
      </c>
      <c r="M276" s="1422">
        <f t="shared" si="740"/>
        <v>13320</v>
      </c>
      <c r="N276" s="489">
        <f t="shared" si="740"/>
        <v>43580</v>
      </c>
      <c r="O276" s="1011"/>
      <c r="P276" s="1012"/>
      <c r="Q276" s="1012"/>
      <c r="R276" s="1013">
        <f t="shared" si="741"/>
        <v>0</v>
      </c>
      <c r="S276" s="1014"/>
      <c r="T276" s="1015"/>
      <c r="U276" s="1012"/>
      <c r="V276" s="1013">
        <f t="shared" si="742"/>
        <v>0</v>
      </c>
      <c r="W276" s="1014">
        <v>30260</v>
      </c>
      <c r="X276" s="1015">
        <v>30260</v>
      </c>
      <c r="Y276" s="1012">
        <f>10488+2832</f>
        <v>13320</v>
      </c>
      <c r="Z276" s="1013">
        <f t="shared" si="743"/>
        <v>43580</v>
      </c>
      <c r="AA276" s="1014"/>
      <c r="AB276" s="1015"/>
      <c r="AC276" s="1012"/>
      <c r="AD276" s="1013">
        <f t="shared" si="744"/>
        <v>0</v>
      </c>
      <c r="AE276" s="1014"/>
      <c r="AF276" s="1015"/>
      <c r="AG276" s="1012"/>
      <c r="AH276" s="1013">
        <f t="shared" si="745"/>
        <v>0</v>
      </c>
      <c r="AI276" s="1421">
        <f t="shared" si="746"/>
        <v>0</v>
      </c>
      <c r="AJ276" s="1422">
        <f t="shared" si="746"/>
        <v>0</v>
      </c>
      <c r="AK276" s="1422">
        <f t="shared" si="746"/>
        <v>0</v>
      </c>
      <c r="AL276" s="489">
        <f t="shared" si="746"/>
        <v>0</v>
      </c>
      <c r="AM276" s="1014"/>
      <c r="AN276" s="1015"/>
      <c r="AO276" s="1012"/>
      <c r="AP276" s="1013">
        <f t="shared" si="747"/>
        <v>0</v>
      </c>
      <c r="AQ276" s="1014"/>
      <c r="AR276" s="1015"/>
      <c r="AS276" s="1012"/>
      <c r="AT276" s="1013">
        <f t="shared" si="748"/>
        <v>0</v>
      </c>
      <c r="AU276" s="1014"/>
      <c r="AV276" s="1015"/>
      <c r="AW276" s="1012"/>
      <c r="AX276" s="1013">
        <f t="shared" si="749"/>
        <v>0</v>
      </c>
      <c r="AY276" s="818"/>
    </row>
    <row r="277" spans="1:54">
      <c r="A277" s="532">
        <f>+A276+1</f>
        <v>98</v>
      </c>
      <c r="B277" s="832">
        <v>20</v>
      </c>
      <c r="C277" s="993" t="s">
        <v>1079</v>
      </c>
      <c r="D277" s="944" t="s">
        <v>1080</v>
      </c>
      <c r="E277" s="994" t="s">
        <v>1240</v>
      </c>
      <c r="F277" s="1007" t="s">
        <v>1086</v>
      </c>
      <c r="G277" s="1421">
        <f t="shared" si="739"/>
        <v>60171</v>
      </c>
      <c r="H277" s="1422">
        <f t="shared" si="739"/>
        <v>60171</v>
      </c>
      <c r="I277" s="1422">
        <f t="shared" si="739"/>
        <v>0</v>
      </c>
      <c r="J277" s="489">
        <f t="shared" si="739"/>
        <v>60171</v>
      </c>
      <c r="K277" s="1421">
        <f t="shared" si="740"/>
        <v>60171</v>
      </c>
      <c r="L277" s="1422">
        <f t="shared" si="740"/>
        <v>60171</v>
      </c>
      <c r="M277" s="1422">
        <f t="shared" si="740"/>
        <v>0</v>
      </c>
      <c r="N277" s="489">
        <f t="shared" si="740"/>
        <v>60171</v>
      </c>
      <c r="O277" s="1011"/>
      <c r="P277" s="1012"/>
      <c r="Q277" s="1012"/>
      <c r="R277" s="1013">
        <f t="shared" si="741"/>
        <v>0</v>
      </c>
      <c r="S277" s="1014"/>
      <c r="T277" s="1015"/>
      <c r="U277" s="1012"/>
      <c r="V277" s="1013">
        <f t="shared" si="742"/>
        <v>0</v>
      </c>
      <c r="W277" s="1014">
        <v>60171</v>
      </c>
      <c r="X277" s="1015">
        <v>60171</v>
      </c>
      <c r="Y277" s="1012"/>
      <c r="Z277" s="1013">
        <f t="shared" si="743"/>
        <v>60171</v>
      </c>
      <c r="AA277" s="1014"/>
      <c r="AB277" s="1015"/>
      <c r="AC277" s="1012"/>
      <c r="AD277" s="1013">
        <f t="shared" si="744"/>
        <v>0</v>
      </c>
      <c r="AE277" s="1014"/>
      <c r="AF277" s="1015"/>
      <c r="AG277" s="1012"/>
      <c r="AH277" s="1013">
        <f t="shared" si="745"/>
        <v>0</v>
      </c>
      <c r="AI277" s="1421">
        <f t="shared" si="746"/>
        <v>0</v>
      </c>
      <c r="AJ277" s="1422">
        <f t="shared" si="746"/>
        <v>0</v>
      </c>
      <c r="AK277" s="1422">
        <f t="shared" si="746"/>
        <v>0</v>
      </c>
      <c r="AL277" s="489">
        <f t="shared" si="746"/>
        <v>0</v>
      </c>
      <c r="AM277" s="1014"/>
      <c r="AN277" s="1015"/>
      <c r="AO277" s="1012"/>
      <c r="AP277" s="1013">
        <f t="shared" si="747"/>
        <v>0</v>
      </c>
      <c r="AQ277" s="1014"/>
      <c r="AR277" s="1015"/>
      <c r="AS277" s="1012"/>
      <c r="AT277" s="1013">
        <f t="shared" si="748"/>
        <v>0</v>
      </c>
      <c r="AU277" s="1014"/>
      <c r="AV277" s="1015"/>
      <c r="AW277" s="1012"/>
      <c r="AX277" s="1013">
        <f t="shared" si="749"/>
        <v>0</v>
      </c>
      <c r="AY277" s="818"/>
    </row>
    <row r="278" spans="1:54" s="493" customFormat="1">
      <c r="A278" s="532">
        <f t="shared" ref="A278:A280" si="750">+A277+1</f>
        <v>99</v>
      </c>
      <c r="B278" s="832">
        <v>21</v>
      </c>
      <c r="C278" s="993" t="s">
        <v>1081</v>
      </c>
      <c r="D278" s="944" t="s">
        <v>1171</v>
      </c>
      <c r="E278" s="994" t="s">
        <v>1241</v>
      </c>
      <c r="F278" s="1007" t="s">
        <v>573</v>
      </c>
      <c r="G278" s="1421">
        <f t="shared" si="739"/>
        <v>44662</v>
      </c>
      <c r="H278" s="1422">
        <f t="shared" si="739"/>
        <v>44662</v>
      </c>
      <c r="I278" s="1422">
        <f t="shared" si="739"/>
        <v>0</v>
      </c>
      <c r="J278" s="489">
        <f t="shared" si="739"/>
        <v>44662</v>
      </c>
      <c r="K278" s="1421">
        <f t="shared" si="740"/>
        <v>44662</v>
      </c>
      <c r="L278" s="1422">
        <f t="shared" si="740"/>
        <v>44662</v>
      </c>
      <c r="M278" s="1422">
        <f t="shared" si="740"/>
        <v>0</v>
      </c>
      <c r="N278" s="489">
        <f t="shared" si="740"/>
        <v>44662</v>
      </c>
      <c r="O278" s="1011">
        <v>33994</v>
      </c>
      <c r="P278" s="1012">
        <v>33994</v>
      </c>
      <c r="Q278" s="1012"/>
      <c r="R278" s="1013">
        <f t="shared" si="741"/>
        <v>33994</v>
      </c>
      <c r="S278" s="1014">
        <v>5975</v>
      </c>
      <c r="T278" s="1015">
        <v>5975</v>
      </c>
      <c r="U278" s="1012"/>
      <c r="V278" s="1013">
        <f t="shared" si="742"/>
        <v>5975</v>
      </c>
      <c r="W278" s="1014">
        <v>4693</v>
      </c>
      <c r="X278" s="1015">
        <v>4693</v>
      </c>
      <c r="Y278" s="1012"/>
      <c r="Z278" s="1013">
        <f t="shared" si="743"/>
        <v>4693</v>
      </c>
      <c r="AA278" s="1014"/>
      <c r="AB278" s="1015"/>
      <c r="AC278" s="1012"/>
      <c r="AD278" s="1013">
        <f t="shared" si="744"/>
        <v>0</v>
      </c>
      <c r="AE278" s="1014"/>
      <c r="AF278" s="1015"/>
      <c r="AG278" s="1012"/>
      <c r="AH278" s="1013">
        <f t="shared" si="745"/>
        <v>0</v>
      </c>
      <c r="AI278" s="1421">
        <f t="shared" si="746"/>
        <v>0</v>
      </c>
      <c r="AJ278" s="1422">
        <f t="shared" si="746"/>
        <v>0</v>
      </c>
      <c r="AK278" s="1422">
        <f t="shared" si="746"/>
        <v>0</v>
      </c>
      <c r="AL278" s="489">
        <f t="shared" si="746"/>
        <v>0</v>
      </c>
      <c r="AM278" s="1014"/>
      <c r="AN278" s="1015"/>
      <c r="AO278" s="1012"/>
      <c r="AP278" s="1013">
        <f t="shared" si="747"/>
        <v>0</v>
      </c>
      <c r="AQ278" s="1014"/>
      <c r="AR278" s="1015"/>
      <c r="AS278" s="1012"/>
      <c r="AT278" s="1013">
        <f t="shared" si="748"/>
        <v>0</v>
      </c>
      <c r="AU278" s="1014"/>
      <c r="AV278" s="1015"/>
      <c r="AW278" s="1012"/>
      <c r="AX278" s="1013">
        <f t="shared" si="749"/>
        <v>0</v>
      </c>
      <c r="AY278" s="818"/>
      <c r="AZ278" s="296"/>
      <c r="BA278" s="296"/>
      <c r="BB278" s="296"/>
    </row>
    <row r="279" spans="1:54">
      <c r="A279" s="532">
        <f t="shared" si="750"/>
        <v>100</v>
      </c>
      <c r="B279" s="832">
        <v>20</v>
      </c>
      <c r="C279" s="993" t="s">
        <v>1082</v>
      </c>
      <c r="D279" s="944" t="s">
        <v>1083</v>
      </c>
      <c r="E279" s="994" t="s">
        <v>1242</v>
      </c>
      <c r="F279" s="1007" t="s">
        <v>1084</v>
      </c>
      <c r="G279" s="1421">
        <f t="shared" si="739"/>
        <v>3484</v>
      </c>
      <c r="H279" s="1422">
        <f t="shared" si="739"/>
        <v>3484</v>
      </c>
      <c r="I279" s="1422">
        <f t="shared" si="739"/>
        <v>0</v>
      </c>
      <c r="J279" s="489">
        <f t="shared" si="739"/>
        <v>3484</v>
      </c>
      <c r="K279" s="1421">
        <f t="shared" si="740"/>
        <v>3484</v>
      </c>
      <c r="L279" s="1422">
        <f t="shared" si="740"/>
        <v>3484</v>
      </c>
      <c r="M279" s="1422">
        <f t="shared" si="740"/>
        <v>0</v>
      </c>
      <c r="N279" s="489">
        <f t="shared" si="740"/>
        <v>3484</v>
      </c>
      <c r="O279" s="1011"/>
      <c r="P279" s="1012"/>
      <c r="Q279" s="1012"/>
      <c r="R279" s="1013">
        <f t="shared" si="741"/>
        <v>0</v>
      </c>
      <c r="S279" s="1014"/>
      <c r="T279" s="1015"/>
      <c r="U279" s="1012"/>
      <c r="V279" s="1013">
        <f t="shared" si="742"/>
        <v>0</v>
      </c>
      <c r="W279" s="1014">
        <v>3484</v>
      </c>
      <c r="X279" s="1015">
        <v>3484</v>
      </c>
      <c r="Y279" s="1012"/>
      <c r="Z279" s="1013">
        <f t="shared" si="743"/>
        <v>3484</v>
      </c>
      <c r="AA279" s="1014"/>
      <c r="AB279" s="1015"/>
      <c r="AC279" s="1012"/>
      <c r="AD279" s="1013">
        <f t="shared" si="744"/>
        <v>0</v>
      </c>
      <c r="AE279" s="1014"/>
      <c r="AF279" s="1015"/>
      <c r="AG279" s="1012"/>
      <c r="AH279" s="1013">
        <f t="shared" si="745"/>
        <v>0</v>
      </c>
      <c r="AI279" s="1421">
        <f t="shared" si="746"/>
        <v>0</v>
      </c>
      <c r="AJ279" s="1422">
        <f t="shared" si="746"/>
        <v>0</v>
      </c>
      <c r="AK279" s="1422">
        <f t="shared" si="746"/>
        <v>0</v>
      </c>
      <c r="AL279" s="489">
        <f t="shared" si="746"/>
        <v>0</v>
      </c>
      <c r="AM279" s="1014"/>
      <c r="AN279" s="1015"/>
      <c r="AO279" s="1012"/>
      <c r="AP279" s="1013">
        <f t="shared" si="747"/>
        <v>0</v>
      </c>
      <c r="AQ279" s="1014"/>
      <c r="AR279" s="1015"/>
      <c r="AS279" s="1012"/>
      <c r="AT279" s="1013">
        <f t="shared" si="748"/>
        <v>0</v>
      </c>
      <c r="AU279" s="1014"/>
      <c r="AV279" s="1015"/>
      <c r="AW279" s="1012"/>
      <c r="AX279" s="1013">
        <f t="shared" si="749"/>
        <v>0</v>
      </c>
      <c r="AY279" s="818"/>
    </row>
    <row r="280" spans="1:54" ht="12.75" thickBot="1">
      <c r="A280" s="532">
        <f t="shared" si="750"/>
        <v>101</v>
      </c>
      <c r="B280" s="832">
        <v>19</v>
      </c>
      <c r="C280" s="993" t="s">
        <v>1002</v>
      </c>
      <c r="D280" s="944" t="s">
        <v>1003</v>
      </c>
      <c r="E280" s="994" t="s">
        <v>1225</v>
      </c>
      <c r="F280" s="1007" t="s">
        <v>1078</v>
      </c>
      <c r="G280" s="1421">
        <f t="shared" si="739"/>
        <v>0</v>
      </c>
      <c r="H280" s="1422">
        <f t="shared" si="739"/>
        <v>110</v>
      </c>
      <c r="I280" s="1422">
        <f t="shared" si="739"/>
        <v>0</v>
      </c>
      <c r="J280" s="489">
        <f t="shared" si="739"/>
        <v>110</v>
      </c>
      <c r="K280" s="1421">
        <f t="shared" si="740"/>
        <v>0</v>
      </c>
      <c r="L280" s="1422">
        <f t="shared" si="740"/>
        <v>110</v>
      </c>
      <c r="M280" s="1422">
        <f t="shared" si="740"/>
        <v>0</v>
      </c>
      <c r="N280" s="489">
        <f t="shared" si="740"/>
        <v>110</v>
      </c>
      <c r="O280" s="1011"/>
      <c r="P280" s="1012"/>
      <c r="Q280" s="1012"/>
      <c r="R280" s="1013">
        <f t="shared" si="741"/>
        <v>0</v>
      </c>
      <c r="S280" s="1014"/>
      <c r="T280" s="1015"/>
      <c r="U280" s="1012"/>
      <c r="V280" s="1013">
        <f t="shared" si="742"/>
        <v>0</v>
      </c>
      <c r="W280" s="1014"/>
      <c r="X280" s="1015"/>
      <c r="Y280" s="1012"/>
      <c r="Z280" s="1013">
        <f t="shared" si="743"/>
        <v>0</v>
      </c>
      <c r="AA280" s="1014"/>
      <c r="AB280" s="1015"/>
      <c r="AC280" s="1012"/>
      <c r="AD280" s="1013">
        <f t="shared" si="744"/>
        <v>0</v>
      </c>
      <c r="AE280" s="1014"/>
      <c r="AF280" s="1015">
        <f>0+110</f>
        <v>110</v>
      </c>
      <c r="AG280" s="1012"/>
      <c r="AH280" s="1013">
        <f t="shared" si="745"/>
        <v>110</v>
      </c>
      <c r="AI280" s="1421">
        <f t="shared" si="746"/>
        <v>0</v>
      </c>
      <c r="AJ280" s="1422">
        <f t="shared" si="746"/>
        <v>0</v>
      </c>
      <c r="AK280" s="1422">
        <f t="shared" si="746"/>
        <v>0</v>
      </c>
      <c r="AL280" s="489">
        <f t="shared" si="746"/>
        <v>0</v>
      </c>
      <c r="AM280" s="1014"/>
      <c r="AN280" s="1015"/>
      <c r="AO280" s="1012"/>
      <c r="AP280" s="1013">
        <f t="shared" si="747"/>
        <v>0</v>
      </c>
      <c r="AQ280" s="1014"/>
      <c r="AR280" s="1015"/>
      <c r="AS280" s="1012"/>
      <c r="AT280" s="1013">
        <f t="shared" si="748"/>
        <v>0</v>
      </c>
      <c r="AU280" s="1014"/>
      <c r="AV280" s="1015"/>
      <c r="AW280" s="1012"/>
      <c r="AX280" s="1013">
        <f t="shared" si="749"/>
        <v>0</v>
      </c>
      <c r="AY280" s="818"/>
    </row>
    <row r="281" spans="1:54" ht="12.75" customHeight="1" thickBot="1">
      <c r="A281" s="528" t="s">
        <v>747</v>
      </c>
      <c r="B281" s="835"/>
      <c r="C281" s="1558" t="s">
        <v>417</v>
      </c>
      <c r="D281" s="1559"/>
      <c r="E281" s="1559"/>
      <c r="F281" s="1560"/>
      <c r="G281" s="517">
        <f>SUM(G275:G280)</f>
        <v>429317</v>
      </c>
      <c r="H281" s="518">
        <f>SUM(H275:H280)</f>
        <v>437099</v>
      </c>
      <c r="I281" s="518">
        <f>SUM(I275:I280)</f>
        <v>13340</v>
      </c>
      <c r="J281" s="413">
        <f>SUM(J275:J280)</f>
        <v>450439</v>
      </c>
      <c r="K281" s="517">
        <f t="shared" ref="K281" si="751">SUM(K275:K280)</f>
        <v>428217</v>
      </c>
      <c r="L281" s="518">
        <f t="shared" ref="L281:M281" si="752">SUM(L275:L280)</f>
        <v>435999</v>
      </c>
      <c r="M281" s="518">
        <f t="shared" si="752"/>
        <v>13340</v>
      </c>
      <c r="N281" s="413">
        <f t="shared" ref="N281:AU281" si="753">SUM(N275:N280)</f>
        <v>449339</v>
      </c>
      <c r="O281" s="495">
        <f t="shared" si="753"/>
        <v>253934</v>
      </c>
      <c r="P281" s="356">
        <f t="shared" ref="P281:R281" si="754">SUM(P275:P280)</f>
        <v>260576</v>
      </c>
      <c r="Q281" s="356">
        <f t="shared" si="754"/>
        <v>17</v>
      </c>
      <c r="R281" s="343">
        <f t="shared" si="754"/>
        <v>260593</v>
      </c>
      <c r="S281" s="495">
        <f t="shared" si="753"/>
        <v>49784</v>
      </c>
      <c r="T281" s="356">
        <f t="shared" ref="T281:V281" si="755">SUM(T275:T280)</f>
        <v>50814</v>
      </c>
      <c r="U281" s="356">
        <f t="shared" si="755"/>
        <v>3</v>
      </c>
      <c r="V281" s="343">
        <f t="shared" si="755"/>
        <v>50817</v>
      </c>
      <c r="W281" s="495">
        <f t="shared" si="753"/>
        <v>124499</v>
      </c>
      <c r="X281" s="356">
        <f t="shared" ref="X281:Z281" si="756">SUM(X275:X280)</f>
        <v>124499</v>
      </c>
      <c r="Y281" s="356">
        <f t="shared" si="756"/>
        <v>13320</v>
      </c>
      <c r="Z281" s="343">
        <f t="shared" si="756"/>
        <v>137819</v>
      </c>
      <c r="AA281" s="495">
        <f t="shared" si="753"/>
        <v>0</v>
      </c>
      <c r="AB281" s="356">
        <f t="shared" ref="AB281:AD281" si="757">SUM(AB275:AB280)</f>
        <v>0</v>
      </c>
      <c r="AC281" s="356">
        <f t="shared" si="757"/>
        <v>0</v>
      </c>
      <c r="AD281" s="343">
        <f t="shared" si="757"/>
        <v>0</v>
      </c>
      <c r="AE281" s="495">
        <f t="shared" si="753"/>
        <v>0</v>
      </c>
      <c r="AF281" s="356">
        <f t="shared" ref="AF281:AH281" si="758">SUM(AF275:AF280)</f>
        <v>110</v>
      </c>
      <c r="AG281" s="356">
        <f t="shared" si="758"/>
        <v>0</v>
      </c>
      <c r="AH281" s="343">
        <f t="shared" si="758"/>
        <v>110</v>
      </c>
      <c r="AI281" s="517">
        <f t="shared" si="753"/>
        <v>1100</v>
      </c>
      <c r="AJ281" s="518">
        <f t="shared" ref="AJ281:AK281" si="759">SUM(AJ275:AJ280)</f>
        <v>1100</v>
      </c>
      <c r="AK281" s="518">
        <f t="shared" si="759"/>
        <v>0</v>
      </c>
      <c r="AL281" s="413">
        <f t="shared" si="753"/>
        <v>1100</v>
      </c>
      <c r="AM281" s="495">
        <f t="shared" si="753"/>
        <v>1100</v>
      </c>
      <c r="AN281" s="356">
        <f t="shared" ref="AN281:AP281" si="760">SUM(AN275:AN280)</f>
        <v>1100</v>
      </c>
      <c r="AO281" s="356">
        <f t="shared" si="760"/>
        <v>0</v>
      </c>
      <c r="AP281" s="343">
        <f t="shared" si="760"/>
        <v>1100</v>
      </c>
      <c r="AQ281" s="495">
        <f t="shared" si="753"/>
        <v>0</v>
      </c>
      <c r="AR281" s="356">
        <f t="shared" ref="AR281:AT281" si="761">SUM(AR275:AR280)</f>
        <v>0</v>
      </c>
      <c r="AS281" s="356">
        <f t="shared" si="761"/>
        <v>0</v>
      </c>
      <c r="AT281" s="343">
        <f t="shared" si="761"/>
        <v>0</v>
      </c>
      <c r="AU281" s="495">
        <f t="shared" si="753"/>
        <v>0</v>
      </c>
      <c r="AV281" s="356">
        <f t="shared" ref="AV281:AX281" si="762">SUM(AV275:AV280)</f>
        <v>0</v>
      </c>
      <c r="AW281" s="356">
        <f t="shared" si="762"/>
        <v>0</v>
      </c>
      <c r="AX281" s="343">
        <f t="shared" si="762"/>
        <v>0</v>
      </c>
      <c r="AY281" s="820"/>
      <c r="AZ281" s="493"/>
      <c r="BA281" s="493"/>
      <c r="BB281" s="493"/>
    </row>
    <row r="282" spans="1:54" ht="12.75" customHeight="1" thickBot="1">
      <c r="A282" s="534">
        <f>+A280+1</f>
        <v>102</v>
      </c>
      <c r="B282" s="840">
        <v>22</v>
      </c>
      <c r="C282" s="926" t="s">
        <v>19</v>
      </c>
      <c r="D282" s="1008" t="s">
        <v>19</v>
      </c>
      <c r="E282" s="921" t="s">
        <v>19</v>
      </c>
      <c r="F282" s="1008" t="s">
        <v>19</v>
      </c>
      <c r="G282" s="1427">
        <f>+K282+AI282</f>
        <v>0</v>
      </c>
      <c r="H282" s="1428">
        <f>+L282+AJ282</f>
        <v>0</v>
      </c>
      <c r="I282" s="1428">
        <f>+M282+AK282</f>
        <v>0</v>
      </c>
      <c r="J282" s="421">
        <f>+N282+AL282</f>
        <v>0</v>
      </c>
      <c r="K282" s="1427">
        <f>+O282+S282+W282+AA282+AE282</f>
        <v>0</v>
      </c>
      <c r="L282" s="1428">
        <f>+P282+T282+X282+AB282+AF282</f>
        <v>0</v>
      </c>
      <c r="M282" s="1428">
        <f>+Q282+U282+Y282+AC282+AG282</f>
        <v>0</v>
      </c>
      <c r="N282" s="421">
        <f>+R282+V282+Z282+AD282+AH282</f>
        <v>0</v>
      </c>
      <c r="O282" s="491"/>
      <c r="P282" s="490"/>
      <c r="Q282" s="490"/>
      <c r="R282" s="440">
        <f t="shared" ref="R282" si="763">+P282+Q282</f>
        <v>0</v>
      </c>
      <c r="S282" s="491"/>
      <c r="T282" s="490"/>
      <c r="U282" s="490"/>
      <c r="V282" s="440">
        <f t="shared" ref="V282" si="764">+T282+U282</f>
        <v>0</v>
      </c>
      <c r="W282" s="491"/>
      <c r="X282" s="490"/>
      <c r="Y282" s="490"/>
      <c r="Z282" s="440">
        <f t="shared" ref="Z282" si="765">+X282+Y282</f>
        <v>0</v>
      </c>
      <c r="AA282" s="491"/>
      <c r="AB282" s="490"/>
      <c r="AC282" s="490"/>
      <c r="AD282" s="440">
        <f t="shared" ref="AD282" si="766">+AB282+AC282</f>
        <v>0</v>
      </c>
      <c r="AE282" s="491"/>
      <c r="AF282" s="490"/>
      <c r="AG282" s="490"/>
      <c r="AH282" s="440">
        <f t="shared" ref="AH282" si="767">+AF282+AG282</f>
        <v>0</v>
      </c>
      <c r="AI282" s="1427">
        <f>+AM282+AQ282+AU282</f>
        <v>0</v>
      </c>
      <c r="AJ282" s="1428">
        <f>+AN282+AR282+AV282</f>
        <v>0</v>
      </c>
      <c r="AK282" s="1428">
        <f>+AO282+AS282+AW282</f>
        <v>0</v>
      </c>
      <c r="AL282" s="421">
        <f>+AP282+AT282+AX282</f>
        <v>0</v>
      </c>
      <c r="AM282" s="491"/>
      <c r="AN282" s="490"/>
      <c r="AO282" s="490"/>
      <c r="AP282" s="440">
        <f t="shared" ref="AP282" si="768">+AN282+AO282</f>
        <v>0</v>
      </c>
      <c r="AQ282" s="491"/>
      <c r="AR282" s="490"/>
      <c r="AS282" s="490"/>
      <c r="AT282" s="440">
        <f t="shared" ref="AT282" si="769">+AR282+AS282</f>
        <v>0</v>
      </c>
      <c r="AU282" s="491"/>
      <c r="AV282" s="490"/>
      <c r="AW282" s="490"/>
      <c r="AX282" s="440">
        <f t="shared" ref="AX282" si="770">+AV282+AW282</f>
        <v>0</v>
      </c>
      <c r="AY282" s="818"/>
      <c r="AZ282" s="493"/>
      <c r="BA282" s="493"/>
      <c r="BB282" s="493"/>
    </row>
    <row r="283" spans="1:54" s="481" customFormat="1" ht="12.75" customHeight="1" thickBot="1">
      <c r="A283" s="863" t="s">
        <v>748</v>
      </c>
      <c r="B283" s="835"/>
      <c r="C283" s="1558" t="s">
        <v>418</v>
      </c>
      <c r="D283" s="1559"/>
      <c r="E283" s="1559"/>
      <c r="F283" s="1560"/>
      <c r="G283" s="517">
        <f>SUM(G282)</f>
        <v>0</v>
      </c>
      <c r="H283" s="518">
        <f>SUM(H282)</f>
        <v>0</v>
      </c>
      <c r="I283" s="518">
        <f>SUM(I282)</f>
        <v>0</v>
      </c>
      <c r="J283" s="413">
        <f>SUM(J282)</f>
        <v>0</v>
      </c>
      <c r="K283" s="517">
        <f t="shared" ref="K283" si="771">SUM(K282)</f>
        <v>0</v>
      </c>
      <c r="L283" s="518">
        <f t="shared" ref="L283:M283" si="772">SUM(L282)</f>
        <v>0</v>
      </c>
      <c r="M283" s="518">
        <f t="shared" si="772"/>
        <v>0</v>
      </c>
      <c r="N283" s="413">
        <f t="shared" ref="N283:AU283" si="773">SUM(N282)</f>
        <v>0</v>
      </c>
      <c r="O283" s="495">
        <f t="shared" si="773"/>
        <v>0</v>
      </c>
      <c r="P283" s="356">
        <f t="shared" ref="P283:R283" si="774">SUM(P282)</f>
        <v>0</v>
      </c>
      <c r="Q283" s="356">
        <f t="shared" si="774"/>
        <v>0</v>
      </c>
      <c r="R283" s="343">
        <f t="shared" si="774"/>
        <v>0</v>
      </c>
      <c r="S283" s="495">
        <f t="shared" si="773"/>
        <v>0</v>
      </c>
      <c r="T283" s="356">
        <f t="shared" ref="T283:V283" si="775">SUM(T282)</f>
        <v>0</v>
      </c>
      <c r="U283" s="356">
        <f t="shared" si="775"/>
        <v>0</v>
      </c>
      <c r="V283" s="343">
        <f t="shared" si="775"/>
        <v>0</v>
      </c>
      <c r="W283" s="495">
        <f t="shared" si="773"/>
        <v>0</v>
      </c>
      <c r="X283" s="356">
        <f t="shared" ref="X283:Z283" si="776">SUM(X282)</f>
        <v>0</v>
      </c>
      <c r="Y283" s="356">
        <f t="shared" si="776"/>
        <v>0</v>
      </c>
      <c r="Z283" s="343">
        <f t="shared" si="776"/>
        <v>0</v>
      </c>
      <c r="AA283" s="495">
        <f t="shared" si="773"/>
        <v>0</v>
      </c>
      <c r="AB283" s="356">
        <f t="shared" ref="AB283:AD283" si="777">SUM(AB282)</f>
        <v>0</v>
      </c>
      <c r="AC283" s="356">
        <f t="shared" si="777"/>
        <v>0</v>
      </c>
      <c r="AD283" s="343">
        <f t="shared" si="777"/>
        <v>0</v>
      </c>
      <c r="AE283" s="495">
        <f t="shared" si="773"/>
        <v>0</v>
      </c>
      <c r="AF283" s="356">
        <f t="shared" ref="AF283:AH283" si="778">SUM(AF282)</f>
        <v>0</v>
      </c>
      <c r="AG283" s="356">
        <f t="shared" si="778"/>
        <v>0</v>
      </c>
      <c r="AH283" s="343">
        <f t="shared" si="778"/>
        <v>0</v>
      </c>
      <c r="AI283" s="517">
        <f t="shared" si="773"/>
        <v>0</v>
      </c>
      <c r="AJ283" s="518">
        <f t="shared" ref="AJ283:AK283" si="779">SUM(AJ282)</f>
        <v>0</v>
      </c>
      <c r="AK283" s="518">
        <f t="shared" si="779"/>
        <v>0</v>
      </c>
      <c r="AL283" s="413">
        <f t="shared" si="773"/>
        <v>0</v>
      </c>
      <c r="AM283" s="495">
        <f t="shared" si="773"/>
        <v>0</v>
      </c>
      <c r="AN283" s="356">
        <f t="shared" ref="AN283:AP283" si="780">SUM(AN282)</f>
        <v>0</v>
      </c>
      <c r="AO283" s="356">
        <f t="shared" si="780"/>
        <v>0</v>
      </c>
      <c r="AP283" s="343">
        <f t="shared" si="780"/>
        <v>0</v>
      </c>
      <c r="AQ283" s="495">
        <f t="shared" si="773"/>
        <v>0</v>
      </c>
      <c r="AR283" s="356">
        <f t="shared" ref="AR283:AT283" si="781">SUM(AR282)</f>
        <v>0</v>
      </c>
      <c r="AS283" s="356">
        <f t="shared" si="781"/>
        <v>0</v>
      </c>
      <c r="AT283" s="343">
        <f t="shared" si="781"/>
        <v>0</v>
      </c>
      <c r="AU283" s="495">
        <f t="shared" si="773"/>
        <v>0</v>
      </c>
      <c r="AV283" s="356">
        <f t="shared" ref="AV283:AX283" si="782">SUM(AV282)</f>
        <v>0</v>
      </c>
      <c r="AW283" s="356">
        <f t="shared" si="782"/>
        <v>0</v>
      </c>
      <c r="AX283" s="343">
        <f t="shared" si="782"/>
        <v>0</v>
      </c>
      <c r="AY283" s="820"/>
      <c r="AZ283" s="493"/>
      <c r="BA283" s="493"/>
      <c r="BB283" s="493"/>
    </row>
    <row r="284" spans="1:54" ht="12.75" customHeight="1" thickBot="1">
      <c r="A284" s="534">
        <f>+A282+1</f>
        <v>103</v>
      </c>
      <c r="B284" s="840">
        <v>23</v>
      </c>
      <c r="C284" s="926" t="s">
        <v>19</v>
      </c>
      <c r="D284" s="1008" t="s">
        <v>19</v>
      </c>
      <c r="E284" s="921" t="s">
        <v>19</v>
      </c>
      <c r="F284" s="1008" t="s">
        <v>19</v>
      </c>
      <c r="G284" s="1427">
        <f>+K284+AI284</f>
        <v>0</v>
      </c>
      <c r="H284" s="1428">
        <f>+L284+AJ284</f>
        <v>0</v>
      </c>
      <c r="I284" s="1428">
        <f>+M284+AK284</f>
        <v>0</v>
      </c>
      <c r="J284" s="421">
        <f>+N284+AL284</f>
        <v>0</v>
      </c>
      <c r="K284" s="1427">
        <f>+O284+S284+W284+AA284+AE284</f>
        <v>0</v>
      </c>
      <c r="L284" s="1428">
        <f>+P284+T284+X284+AB284+AF284</f>
        <v>0</v>
      </c>
      <c r="M284" s="1428">
        <f>+Q284+U284+Y284+AC284+AG284</f>
        <v>0</v>
      </c>
      <c r="N284" s="421">
        <f>+R284+V284+Z284+AD284+AH284</f>
        <v>0</v>
      </c>
      <c r="O284" s="491"/>
      <c r="P284" s="490"/>
      <c r="Q284" s="490"/>
      <c r="R284" s="440">
        <f t="shared" ref="R284" si="783">+P284+Q284</f>
        <v>0</v>
      </c>
      <c r="S284" s="491"/>
      <c r="T284" s="490"/>
      <c r="U284" s="490"/>
      <c r="V284" s="440">
        <f t="shared" ref="V284" si="784">+T284+U284</f>
        <v>0</v>
      </c>
      <c r="W284" s="491"/>
      <c r="X284" s="490"/>
      <c r="Y284" s="490"/>
      <c r="Z284" s="440">
        <f t="shared" ref="Z284" si="785">+X284+Y284</f>
        <v>0</v>
      </c>
      <c r="AA284" s="491"/>
      <c r="AB284" s="490"/>
      <c r="AC284" s="490"/>
      <c r="AD284" s="440">
        <f t="shared" ref="AD284" si="786">+AB284+AC284</f>
        <v>0</v>
      </c>
      <c r="AE284" s="491"/>
      <c r="AF284" s="490"/>
      <c r="AG284" s="490"/>
      <c r="AH284" s="440">
        <f t="shared" ref="AH284" si="787">+AF284+AG284</f>
        <v>0</v>
      </c>
      <c r="AI284" s="1427">
        <f>+AM284+AQ284+AU284</f>
        <v>0</v>
      </c>
      <c r="AJ284" s="1428">
        <f>+AN284+AR284+AV284</f>
        <v>0</v>
      </c>
      <c r="AK284" s="1428">
        <f>+AO284+AS284+AW284</f>
        <v>0</v>
      </c>
      <c r="AL284" s="421">
        <f>+AP284+AT284+AX284</f>
        <v>0</v>
      </c>
      <c r="AM284" s="491"/>
      <c r="AN284" s="490"/>
      <c r="AO284" s="490"/>
      <c r="AP284" s="440">
        <f t="shared" ref="AP284" si="788">+AN284+AO284</f>
        <v>0</v>
      </c>
      <c r="AQ284" s="491"/>
      <c r="AR284" s="490"/>
      <c r="AS284" s="490"/>
      <c r="AT284" s="440">
        <f t="shared" ref="AT284" si="789">+AR284+AS284</f>
        <v>0</v>
      </c>
      <c r="AU284" s="491"/>
      <c r="AV284" s="490"/>
      <c r="AW284" s="490"/>
      <c r="AX284" s="440">
        <f t="shared" ref="AX284" si="790">+AV284+AW284</f>
        <v>0</v>
      </c>
      <c r="AY284" s="818"/>
      <c r="AZ284" s="493"/>
      <c r="BA284" s="493"/>
      <c r="BB284" s="493"/>
    </row>
    <row r="285" spans="1:54" s="481" customFormat="1" ht="12.75" customHeight="1" thickBot="1">
      <c r="A285" s="528" t="s">
        <v>749</v>
      </c>
      <c r="B285" s="835"/>
      <c r="C285" s="1558" t="s">
        <v>766</v>
      </c>
      <c r="D285" s="1559"/>
      <c r="E285" s="1559"/>
      <c r="F285" s="1560"/>
      <c r="G285" s="517">
        <f>SUM(G284)</f>
        <v>0</v>
      </c>
      <c r="H285" s="518">
        <f>SUM(H284)</f>
        <v>0</v>
      </c>
      <c r="I285" s="518">
        <f>SUM(I284)</f>
        <v>0</v>
      </c>
      <c r="J285" s="413">
        <f>SUM(J284)</f>
        <v>0</v>
      </c>
      <c r="K285" s="517">
        <f t="shared" ref="K285" si="791">SUM(K284)</f>
        <v>0</v>
      </c>
      <c r="L285" s="518">
        <f t="shared" ref="L285:M285" si="792">SUM(L284)</f>
        <v>0</v>
      </c>
      <c r="M285" s="518">
        <f t="shared" si="792"/>
        <v>0</v>
      </c>
      <c r="N285" s="413">
        <f t="shared" ref="N285:AU285" si="793">SUM(N284)</f>
        <v>0</v>
      </c>
      <c r="O285" s="495">
        <f t="shared" si="793"/>
        <v>0</v>
      </c>
      <c r="P285" s="356">
        <f t="shared" ref="P285:R285" si="794">SUM(P284)</f>
        <v>0</v>
      </c>
      <c r="Q285" s="356">
        <f t="shared" si="794"/>
        <v>0</v>
      </c>
      <c r="R285" s="343">
        <f t="shared" si="794"/>
        <v>0</v>
      </c>
      <c r="S285" s="495">
        <f t="shared" si="793"/>
        <v>0</v>
      </c>
      <c r="T285" s="356">
        <f t="shared" ref="T285:V285" si="795">SUM(T284)</f>
        <v>0</v>
      </c>
      <c r="U285" s="356">
        <f t="shared" si="795"/>
        <v>0</v>
      </c>
      <c r="V285" s="343">
        <f t="shared" si="795"/>
        <v>0</v>
      </c>
      <c r="W285" s="495">
        <f t="shared" si="793"/>
        <v>0</v>
      </c>
      <c r="X285" s="356">
        <f t="shared" ref="X285:Z285" si="796">SUM(X284)</f>
        <v>0</v>
      </c>
      <c r="Y285" s="356">
        <f t="shared" si="796"/>
        <v>0</v>
      </c>
      <c r="Z285" s="343">
        <f t="shared" si="796"/>
        <v>0</v>
      </c>
      <c r="AA285" s="495">
        <f t="shared" si="793"/>
        <v>0</v>
      </c>
      <c r="AB285" s="356">
        <f t="shared" ref="AB285:AD285" si="797">SUM(AB284)</f>
        <v>0</v>
      </c>
      <c r="AC285" s="356">
        <f t="shared" si="797"/>
        <v>0</v>
      </c>
      <c r="AD285" s="343">
        <f t="shared" si="797"/>
        <v>0</v>
      </c>
      <c r="AE285" s="495">
        <f t="shared" si="793"/>
        <v>0</v>
      </c>
      <c r="AF285" s="356">
        <f t="shared" ref="AF285:AH285" si="798">SUM(AF284)</f>
        <v>0</v>
      </c>
      <c r="AG285" s="356">
        <f t="shared" si="798"/>
        <v>0</v>
      </c>
      <c r="AH285" s="343">
        <f t="shared" si="798"/>
        <v>0</v>
      </c>
      <c r="AI285" s="517">
        <f t="shared" si="793"/>
        <v>0</v>
      </c>
      <c r="AJ285" s="518">
        <f t="shared" ref="AJ285:AK285" si="799">SUM(AJ284)</f>
        <v>0</v>
      </c>
      <c r="AK285" s="518">
        <f t="shared" si="799"/>
        <v>0</v>
      </c>
      <c r="AL285" s="413">
        <f t="shared" si="793"/>
        <v>0</v>
      </c>
      <c r="AM285" s="495">
        <f t="shared" si="793"/>
        <v>0</v>
      </c>
      <c r="AN285" s="356">
        <f t="shared" ref="AN285:AP285" si="800">SUM(AN284)</f>
        <v>0</v>
      </c>
      <c r="AO285" s="356">
        <f t="shared" si="800"/>
        <v>0</v>
      </c>
      <c r="AP285" s="343">
        <f t="shared" si="800"/>
        <v>0</v>
      </c>
      <c r="AQ285" s="495">
        <f t="shared" si="793"/>
        <v>0</v>
      </c>
      <c r="AR285" s="356">
        <f t="shared" ref="AR285:AT285" si="801">SUM(AR284)</f>
        <v>0</v>
      </c>
      <c r="AS285" s="356">
        <f t="shared" si="801"/>
        <v>0</v>
      </c>
      <c r="AT285" s="343">
        <f t="shared" si="801"/>
        <v>0</v>
      </c>
      <c r="AU285" s="495">
        <f t="shared" si="793"/>
        <v>0</v>
      </c>
      <c r="AV285" s="356">
        <f t="shared" ref="AV285:AX285" si="802">SUM(AV284)</f>
        <v>0</v>
      </c>
      <c r="AW285" s="356">
        <f t="shared" si="802"/>
        <v>0</v>
      </c>
      <c r="AX285" s="343">
        <f t="shared" si="802"/>
        <v>0</v>
      </c>
      <c r="AY285" s="820"/>
      <c r="AZ285" s="493"/>
      <c r="BA285" s="493"/>
      <c r="BB285" s="493"/>
    </row>
    <row r="286" spans="1:54" s="481" customFormat="1" ht="12.75" customHeight="1" thickBot="1">
      <c r="A286" s="529" t="s">
        <v>21</v>
      </c>
      <c r="B286" s="836"/>
      <c r="C286" s="1552" t="s">
        <v>419</v>
      </c>
      <c r="D286" s="1553"/>
      <c r="E286" s="1553"/>
      <c r="F286" s="1554"/>
      <c r="G286" s="497">
        <f>+G281+G283+G285</f>
        <v>429317</v>
      </c>
      <c r="H286" s="498">
        <f>+H281+H283+H285</f>
        <v>437099</v>
      </c>
      <c r="I286" s="498">
        <f>+I281+I283+I285</f>
        <v>13340</v>
      </c>
      <c r="J286" s="499">
        <f>+J281+J283+J285</f>
        <v>450439</v>
      </c>
      <c r="K286" s="497">
        <f t="shared" ref="K286" si="803">+K281+K283+K285</f>
        <v>428217</v>
      </c>
      <c r="L286" s="498">
        <f t="shared" ref="L286:M286" si="804">+L281+L283+L285</f>
        <v>435999</v>
      </c>
      <c r="M286" s="498">
        <f t="shared" si="804"/>
        <v>13340</v>
      </c>
      <c r="N286" s="499">
        <f t="shared" ref="N286:AU286" si="805">+N281+N283+N285</f>
        <v>449339</v>
      </c>
      <c r="O286" s="497">
        <f t="shared" si="805"/>
        <v>253934</v>
      </c>
      <c r="P286" s="498">
        <f t="shared" ref="P286:R286" si="806">+P281+P283+P285</f>
        <v>260576</v>
      </c>
      <c r="Q286" s="510">
        <f t="shared" si="806"/>
        <v>17</v>
      </c>
      <c r="R286" s="511">
        <f t="shared" si="806"/>
        <v>260593</v>
      </c>
      <c r="S286" s="497">
        <f t="shared" si="805"/>
        <v>49784</v>
      </c>
      <c r="T286" s="498">
        <f t="shared" ref="T286:V286" si="807">+T281+T283+T285</f>
        <v>50814</v>
      </c>
      <c r="U286" s="510">
        <f t="shared" si="807"/>
        <v>3</v>
      </c>
      <c r="V286" s="511">
        <f t="shared" si="807"/>
        <v>50817</v>
      </c>
      <c r="W286" s="497">
        <f t="shared" si="805"/>
        <v>124499</v>
      </c>
      <c r="X286" s="498">
        <f t="shared" ref="X286:Z286" si="808">+X281+X283+X285</f>
        <v>124499</v>
      </c>
      <c r="Y286" s="510">
        <f t="shared" si="808"/>
        <v>13320</v>
      </c>
      <c r="Z286" s="511">
        <f t="shared" si="808"/>
        <v>137819</v>
      </c>
      <c r="AA286" s="497">
        <f t="shared" si="805"/>
        <v>0</v>
      </c>
      <c r="AB286" s="498">
        <f t="shared" ref="AB286:AD286" si="809">+AB281+AB283+AB285</f>
        <v>0</v>
      </c>
      <c r="AC286" s="510">
        <f t="shared" si="809"/>
        <v>0</v>
      </c>
      <c r="AD286" s="511">
        <f t="shared" si="809"/>
        <v>0</v>
      </c>
      <c r="AE286" s="497">
        <f t="shared" si="805"/>
        <v>0</v>
      </c>
      <c r="AF286" s="498">
        <f t="shared" ref="AF286:AH286" si="810">+AF281+AF283+AF285</f>
        <v>110</v>
      </c>
      <c r="AG286" s="510">
        <f t="shared" si="810"/>
        <v>0</v>
      </c>
      <c r="AH286" s="511">
        <f t="shared" si="810"/>
        <v>110</v>
      </c>
      <c r="AI286" s="497">
        <f t="shared" si="805"/>
        <v>1100</v>
      </c>
      <c r="AJ286" s="498">
        <f t="shared" ref="AJ286:AK286" si="811">+AJ281+AJ283+AJ285</f>
        <v>1100</v>
      </c>
      <c r="AK286" s="498">
        <f t="shared" si="811"/>
        <v>0</v>
      </c>
      <c r="AL286" s="499">
        <f t="shared" si="805"/>
        <v>1100</v>
      </c>
      <c r="AM286" s="497">
        <f t="shared" si="805"/>
        <v>1100</v>
      </c>
      <c r="AN286" s="498">
        <f t="shared" ref="AN286:AP286" si="812">+AN281+AN283+AN285</f>
        <v>1100</v>
      </c>
      <c r="AO286" s="510">
        <f t="shared" si="812"/>
        <v>0</v>
      </c>
      <c r="AP286" s="511">
        <f t="shared" si="812"/>
        <v>1100</v>
      </c>
      <c r="AQ286" s="497">
        <f t="shared" si="805"/>
        <v>0</v>
      </c>
      <c r="AR286" s="498">
        <f t="shared" ref="AR286:AT286" si="813">+AR281+AR283+AR285</f>
        <v>0</v>
      </c>
      <c r="AS286" s="510">
        <f t="shared" si="813"/>
        <v>0</v>
      </c>
      <c r="AT286" s="511">
        <f t="shared" si="813"/>
        <v>0</v>
      </c>
      <c r="AU286" s="497">
        <f t="shared" si="805"/>
        <v>0</v>
      </c>
      <c r="AV286" s="498">
        <f t="shared" ref="AV286:AX286" si="814">+AV281+AV283+AV285</f>
        <v>0</v>
      </c>
      <c r="AW286" s="510">
        <f t="shared" si="814"/>
        <v>0</v>
      </c>
      <c r="AX286" s="511">
        <f t="shared" si="814"/>
        <v>0</v>
      </c>
      <c r="AY286" s="812"/>
      <c r="AZ286" s="493"/>
      <c r="BA286" s="493"/>
      <c r="BB286" s="493"/>
    </row>
    <row r="287" spans="1:54" s="481" customFormat="1" ht="12.75" thickBot="1">
      <c r="A287" s="528"/>
      <c r="B287" s="839"/>
      <c r="C287" s="925"/>
      <c r="D287" s="527"/>
      <c r="E287" s="920"/>
      <c r="F287" s="494"/>
      <c r="G287" s="517"/>
      <c r="H287" s="518"/>
      <c r="I287" s="518"/>
      <c r="J287" s="413"/>
      <c r="K287" s="517"/>
      <c r="L287" s="518"/>
      <c r="M287" s="518"/>
      <c r="N287" s="413"/>
      <c r="O287" s="506"/>
      <c r="P287" s="507"/>
      <c r="Q287" s="356"/>
      <c r="R287" s="343"/>
      <c r="S287" s="506"/>
      <c r="T287" s="507"/>
      <c r="U287" s="356"/>
      <c r="V287" s="343"/>
      <c r="W287" s="506"/>
      <c r="X287" s="507"/>
      <c r="Y287" s="356"/>
      <c r="Z287" s="343"/>
      <c r="AA287" s="506"/>
      <c r="AB287" s="507"/>
      <c r="AC287" s="356"/>
      <c r="AD287" s="343"/>
      <c r="AE287" s="506"/>
      <c r="AF287" s="507"/>
      <c r="AG287" s="356"/>
      <c r="AH287" s="343"/>
      <c r="AI287" s="517"/>
      <c r="AJ287" s="518"/>
      <c r="AK287" s="518"/>
      <c r="AL287" s="413"/>
      <c r="AM287" s="506"/>
      <c r="AN287" s="507"/>
      <c r="AO287" s="356"/>
      <c r="AP287" s="343"/>
      <c r="AQ287" s="506"/>
      <c r="AR287" s="507"/>
      <c r="AS287" s="356"/>
      <c r="AT287" s="343"/>
      <c r="AU287" s="506"/>
      <c r="AV287" s="507"/>
      <c r="AW287" s="356"/>
      <c r="AX287" s="343"/>
      <c r="AY287" s="484"/>
      <c r="AZ287" s="296"/>
      <c r="BA287" s="296"/>
      <c r="BB287" s="296"/>
    </row>
    <row r="288" spans="1:54">
      <c r="A288" s="532">
        <f>+A284+1</f>
        <v>104</v>
      </c>
      <c r="B288" s="832">
        <v>24</v>
      </c>
      <c r="C288" s="993" t="s">
        <v>1087</v>
      </c>
      <c r="D288" s="944" t="s">
        <v>1088</v>
      </c>
      <c r="E288" s="994" t="s">
        <v>1225</v>
      </c>
      <c r="F288" s="1007" t="s">
        <v>1088</v>
      </c>
      <c r="G288" s="1421">
        <f t="shared" ref="G288:J292" si="815">+K288+AI288</f>
        <v>1365</v>
      </c>
      <c r="H288" s="1422">
        <f t="shared" si="815"/>
        <v>1365</v>
      </c>
      <c r="I288" s="1422">
        <f t="shared" si="815"/>
        <v>0</v>
      </c>
      <c r="J288" s="489">
        <f t="shared" si="815"/>
        <v>1365</v>
      </c>
      <c r="K288" s="1421">
        <f t="shared" ref="K288:N292" si="816">+O288+S288+W288+AA288+AE288</f>
        <v>1365</v>
      </c>
      <c r="L288" s="1422">
        <f t="shared" si="816"/>
        <v>1365</v>
      </c>
      <c r="M288" s="1422">
        <f t="shared" si="816"/>
        <v>0</v>
      </c>
      <c r="N288" s="489">
        <f t="shared" si="816"/>
        <v>1365</v>
      </c>
      <c r="O288" s="1011"/>
      <c r="P288" s="1012"/>
      <c r="Q288" s="1012"/>
      <c r="R288" s="1013">
        <f t="shared" ref="R288:R292" si="817">+P288+Q288</f>
        <v>0</v>
      </c>
      <c r="S288" s="1011"/>
      <c r="T288" s="1012"/>
      <c r="U288" s="1012"/>
      <c r="V288" s="1013">
        <f t="shared" ref="V288:V292" si="818">+T288+U288</f>
        <v>0</v>
      </c>
      <c r="W288" s="1011">
        <v>1365</v>
      </c>
      <c r="X288" s="1012">
        <v>1365</v>
      </c>
      <c r="Y288" s="1012"/>
      <c r="Z288" s="1013">
        <f t="shared" ref="Z288:Z292" si="819">+X288+Y288</f>
        <v>1365</v>
      </c>
      <c r="AA288" s="1011"/>
      <c r="AB288" s="1012"/>
      <c r="AC288" s="1012"/>
      <c r="AD288" s="1013">
        <f t="shared" ref="AD288:AD292" si="820">+AB288+AC288</f>
        <v>0</v>
      </c>
      <c r="AE288" s="1011"/>
      <c r="AF288" s="1012"/>
      <c r="AG288" s="1012"/>
      <c r="AH288" s="1013">
        <f t="shared" ref="AH288:AH292" si="821">+AF288+AG288</f>
        <v>0</v>
      </c>
      <c r="AI288" s="1421">
        <f t="shared" ref="AI288:AL292" si="822">+AM288+AQ288+AU288</f>
        <v>0</v>
      </c>
      <c r="AJ288" s="1422">
        <f t="shared" si="822"/>
        <v>0</v>
      </c>
      <c r="AK288" s="1422">
        <f t="shared" si="822"/>
        <v>0</v>
      </c>
      <c r="AL288" s="489">
        <f t="shared" si="822"/>
        <v>0</v>
      </c>
      <c r="AM288" s="1011"/>
      <c r="AN288" s="1012"/>
      <c r="AO288" s="1012"/>
      <c r="AP288" s="1013">
        <f t="shared" ref="AP288:AP292" si="823">+AN288+AO288</f>
        <v>0</v>
      </c>
      <c r="AQ288" s="1011"/>
      <c r="AR288" s="1012"/>
      <c r="AS288" s="1012"/>
      <c r="AT288" s="1013">
        <f t="shared" ref="AT288:AT292" si="824">+AR288+AS288</f>
        <v>0</v>
      </c>
      <c r="AU288" s="1011"/>
      <c r="AV288" s="1012"/>
      <c r="AW288" s="1012"/>
      <c r="AX288" s="1013">
        <f t="shared" ref="AX288:AX292" si="825">+AV288+AW288</f>
        <v>0</v>
      </c>
      <c r="AY288" s="818"/>
    </row>
    <row r="289" spans="1:54">
      <c r="A289" s="532">
        <f>+A288+1</f>
        <v>105</v>
      </c>
      <c r="B289" s="832">
        <v>25</v>
      </c>
      <c r="C289" s="993" t="s">
        <v>1090</v>
      </c>
      <c r="D289" s="944" t="s">
        <v>1089</v>
      </c>
      <c r="E289" s="994" t="s">
        <v>1225</v>
      </c>
      <c r="F289" s="1007" t="s">
        <v>1089</v>
      </c>
      <c r="G289" s="1421">
        <f t="shared" si="815"/>
        <v>17190</v>
      </c>
      <c r="H289" s="1422">
        <f t="shared" si="815"/>
        <v>18695</v>
      </c>
      <c r="I289" s="1422">
        <f t="shared" si="815"/>
        <v>537</v>
      </c>
      <c r="J289" s="489">
        <f t="shared" si="815"/>
        <v>19232</v>
      </c>
      <c r="K289" s="1421">
        <f t="shared" si="816"/>
        <v>16872</v>
      </c>
      <c r="L289" s="1422">
        <f t="shared" si="816"/>
        <v>18377</v>
      </c>
      <c r="M289" s="1422">
        <f t="shared" si="816"/>
        <v>537</v>
      </c>
      <c r="N289" s="489">
        <f t="shared" si="816"/>
        <v>18914</v>
      </c>
      <c r="O289" s="1011">
        <v>10966</v>
      </c>
      <c r="P289" s="1012">
        <f>(10966+(790+29))+(8+459)</f>
        <v>12252</v>
      </c>
      <c r="Q289" s="1012">
        <f>9+456</f>
        <v>465</v>
      </c>
      <c r="R289" s="1013">
        <f t="shared" si="817"/>
        <v>12717</v>
      </c>
      <c r="S289" s="1014">
        <v>1897</v>
      </c>
      <c r="T289" s="1015">
        <f>(1897+(139+5))+(74+1)</f>
        <v>2116</v>
      </c>
      <c r="U289" s="1012">
        <f>1+71</f>
        <v>72</v>
      </c>
      <c r="V289" s="1013">
        <f t="shared" si="818"/>
        <v>2188</v>
      </c>
      <c r="W289" s="1014">
        <v>4009</v>
      </c>
      <c r="X289" s="1015">
        <v>4009</v>
      </c>
      <c r="Y289" s="1012"/>
      <c r="Z289" s="1013">
        <f t="shared" si="819"/>
        <v>4009</v>
      </c>
      <c r="AA289" s="1014"/>
      <c r="AB289" s="1015"/>
      <c r="AC289" s="1012"/>
      <c r="AD289" s="1013">
        <f t="shared" si="820"/>
        <v>0</v>
      </c>
      <c r="AE289" s="1014"/>
      <c r="AF289" s="1015"/>
      <c r="AG289" s="1012"/>
      <c r="AH289" s="1013">
        <f t="shared" si="821"/>
        <v>0</v>
      </c>
      <c r="AI289" s="1421">
        <f t="shared" si="822"/>
        <v>318</v>
      </c>
      <c r="AJ289" s="1422">
        <f t="shared" si="822"/>
        <v>318</v>
      </c>
      <c r="AK289" s="1422">
        <f t="shared" si="822"/>
        <v>0</v>
      </c>
      <c r="AL289" s="489">
        <f t="shared" si="822"/>
        <v>318</v>
      </c>
      <c r="AM289" s="1014">
        <v>318</v>
      </c>
      <c r="AN289" s="1015">
        <v>318</v>
      </c>
      <c r="AO289" s="1012"/>
      <c r="AP289" s="1013">
        <f t="shared" si="823"/>
        <v>318</v>
      </c>
      <c r="AQ289" s="1014"/>
      <c r="AR289" s="1015"/>
      <c r="AS289" s="1012"/>
      <c r="AT289" s="1013">
        <f t="shared" si="824"/>
        <v>0</v>
      </c>
      <c r="AU289" s="1014"/>
      <c r="AV289" s="1015"/>
      <c r="AW289" s="1012"/>
      <c r="AX289" s="1013">
        <f t="shared" si="825"/>
        <v>0</v>
      </c>
      <c r="AY289" s="818"/>
    </row>
    <row r="290" spans="1:54">
      <c r="A290" s="532">
        <f t="shared" ref="A290:A292" si="826">+A289+1</f>
        <v>106</v>
      </c>
      <c r="B290" s="832">
        <v>26</v>
      </c>
      <c r="C290" s="993" t="s">
        <v>1092</v>
      </c>
      <c r="D290" s="944" t="s">
        <v>1091</v>
      </c>
      <c r="E290" s="994" t="s">
        <v>1243</v>
      </c>
      <c r="F290" s="1007" t="s">
        <v>1095</v>
      </c>
      <c r="G290" s="1421">
        <f t="shared" si="815"/>
        <v>8505</v>
      </c>
      <c r="H290" s="1422">
        <f t="shared" si="815"/>
        <v>8505</v>
      </c>
      <c r="I290" s="1422">
        <f t="shared" si="815"/>
        <v>0</v>
      </c>
      <c r="J290" s="489">
        <f t="shared" si="815"/>
        <v>8505</v>
      </c>
      <c r="K290" s="1421">
        <f t="shared" si="816"/>
        <v>6117</v>
      </c>
      <c r="L290" s="1422">
        <f t="shared" si="816"/>
        <v>6117</v>
      </c>
      <c r="M290" s="1422">
        <f t="shared" si="816"/>
        <v>0</v>
      </c>
      <c r="N290" s="489">
        <f t="shared" si="816"/>
        <v>6117</v>
      </c>
      <c r="O290" s="1011">
        <v>3217</v>
      </c>
      <c r="P290" s="1012">
        <v>3217</v>
      </c>
      <c r="Q290" s="1012"/>
      <c r="R290" s="1013">
        <f t="shared" si="817"/>
        <v>3217</v>
      </c>
      <c r="S290" s="1014">
        <v>570</v>
      </c>
      <c r="T290" s="1015">
        <v>570</v>
      </c>
      <c r="U290" s="1012"/>
      <c r="V290" s="1013">
        <f t="shared" si="818"/>
        <v>570</v>
      </c>
      <c r="W290" s="1014">
        <v>2330</v>
      </c>
      <c r="X290" s="1015">
        <v>2330</v>
      </c>
      <c r="Y290" s="1012"/>
      <c r="Z290" s="1013">
        <f t="shared" si="819"/>
        <v>2330</v>
      </c>
      <c r="AA290" s="1014"/>
      <c r="AB290" s="1015"/>
      <c r="AC290" s="1012"/>
      <c r="AD290" s="1013">
        <f t="shared" si="820"/>
        <v>0</v>
      </c>
      <c r="AE290" s="1014"/>
      <c r="AF290" s="1015"/>
      <c r="AG290" s="1012"/>
      <c r="AH290" s="1013">
        <f t="shared" si="821"/>
        <v>0</v>
      </c>
      <c r="AI290" s="1421">
        <f t="shared" si="822"/>
        <v>2388</v>
      </c>
      <c r="AJ290" s="1422">
        <f t="shared" si="822"/>
        <v>2388</v>
      </c>
      <c r="AK290" s="1422">
        <f t="shared" si="822"/>
        <v>0</v>
      </c>
      <c r="AL290" s="489">
        <f t="shared" si="822"/>
        <v>2388</v>
      </c>
      <c r="AM290" s="1014">
        <v>2388</v>
      </c>
      <c r="AN290" s="1015">
        <v>2388</v>
      </c>
      <c r="AO290" s="1012"/>
      <c r="AP290" s="1013">
        <f t="shared" si="823"/>
        <v>2388</v>
      </c>
      <c r="AQ290" s="1014"/>
      <c r="AR290" s="1015"/>
      <c r="AS290" s="1012"/>
      <c r="AT290" s="1013">
        <f t="shared" si="824"/>
        <v>0</v>
      </c>
      <c r="AU290" s="1014"/>
      <c r="AV290" s="1015"/>
      <c r="AW290" s="1012"/>
      <c r="AX290" s="1013">
        <f t="shared" si="825"/>
        <v>0</v>
      </c>
      <c r="AY290" s="818"/>
    </row>
    <row r="291" spans="1:54" s="493" customFormat="1">
      <c r="A291" s="532">
        <f t="shared" si="826"/>
        <v>107</v>
      </c>
      <c r="B291" s="832">
        <v>25</v>
      </c>
      <c r="C291" s="993" t="s">
        <v>1093</v>
      </c>
      <c r="D291" s="944" t="s">
        <v>1094</v>
      </c>
      <c r="E291" s="994" t="s">
        <v>1244</v>
      </c>
      <c r="F291" s="1007" t="s">
        <v>1096</v>
      </c>
      <c r="G291" s="1421">
        <f t="shared" si="815"/>
        <v>33070</v>
      </c>
      <c r="H291" s="1422">
        <f t="shared" si="815"/>
        <v>29070</v>
      </c>
      <c r="I291" s="1422">
        <f t="shared" si="815"/>
        <v>0</v>
      </c>
      <c r="J291" s="489">
        <f t="shared" si="815"/>
        <v>29070</v>
      </c>
      <c r="K291" s="1421">
        <f t="shared" si="816"/>
        <v>25404</v>
      </c>
      <c r="L291" s="1422">
        <f t="shared" si="816"/>
        <v>21404</v>
      </c>
      <c r="M291" s="1422">
        <f t="shared" si="816"/>
        <v>0</v>
      </c>
      <c r="N291" s="489">
        <f t="shared" si="816"/>
        <v>21404</v>
      </c>
      <c r="O291" s="1011">
        <v>11638</v>
      </c>
      <c r="P291" s="1012">
        <v>11638</v>
      </c>
      <c r="Q291" s="1012"/>
      <c r="R291" s="1013">
        <f t="shared" si="817"/>
        <v>11638</v>
      </c>
      <c r="S291" s="1014">
        <v>2067</v>
      </c>
      <c r="T291" s="1015">
        <v>2067</v>
      </c>
      <c r="U291" s="1012"/>
      <c r="V291" s="1013">
        <f t="shared" si="818"/>
        <v>2067</v>
      </c>
      <c r="W291" s="1014">
        <v>11699</v>
      </c>
      <c r="X291" s="1015">
        <f>11699-4000</f>
        <v>7699</v>
      </c>
      <c r="Y291" s="1012"/>
      <c r="Z291" s="1013">
        <f t="shared" si="819"/>
        <v>7699</v>
      </c>
      <c r="AA291" s="1014"/>
      <c r="AB291" s="1015"/>
      <c r="AC291" s="1012"/>
      <c r="AD291" s="1013">
        <f t="shared" si="820"/>
        <v>0</v>
      </c>
      <c r="AE291" s="1014"/>
      <c r="AF291" s="1015"/>
      <c r="AG291" s="1012"/>
      <c r="AH291" s="1013">
        <f t="shared" si="821"/>
        <v>0</v>
      </c>
      <c r="AI291" s="1421">
        <f t="shared" si="822"/>
        <v>7666</v>
      </c>
      <c r="AJ291" s="1422">
        <f t="shared" si="822"/>
        <v>7666</v>
      </c>
      <c r="AK291" s="1422">
        <f t="shared" si="822"/>
        <v>0</v>
      </c>
      <c r="AL291" s="489">
        <f t="shared" si="822"/>
        <v>7666</v>
      </c>
      <c r="AM291" s="1014">
        <v>7666</v>
      </c>
      <c r="AN291" s="1015">
        <v>7666</v>
      </c>
      <c r="AO291" s="1012"/>
      <c r="AP291" s="1013">
        <f t="shared" si="823"/>
        <v>7666</v>
      </c>
      <c r="AQ291" s="1014"/>
      <c r="AR291" s="1015"/>
      <c r="AS291" s="1012"/>
      <c r="AT291" s="1013">
        <f t="shared" si="824"/>
        <v>0</v>
      </c>
      <c r="AU291" s="1014"/>
      <c r="AV291" s="1015"/>
      <c r="AW291" s="1012"/>
      <c r="AX291" s="1013">
        <f t="shared" si="825"/>
        <v>0</v>
      </c>
      <c r="AY291" s="818"/>
      <c r="AZ291" s="296"/>
      <c r="BA291" s="296"/>
      <c r="BB291" s="296"/>
    </row>
    <row r="292" spans="1:54" s="493" customFormat="1" ht="12.75" thickBot="1">
      <c r="A292" s="532">
        <f t="shared" si="826"/>
        <v>108</v>
      </c>
      <c r="B292" s="832">
        <v>25</v>
      </c>
      <c r="C292" s="993" t="s">
        <v>1002</v>
      </c>
      <c r="D292" s="944" t="s">
        <v>1003</v>
      </c>
      <c r="E292" s="994" t="s">
        <v>1225</v>
      </c>
      <c r="F292" s="1007" t="s">
        <v>1089</v>
      </c>
      <c r="G292" s="1421">
        <f t="shared" si="815"/>
        <v>0</v>
      </c>
      <c r="H292" s="1422">
        <f t="shared" si="815"/>
        <v>329</v>
      </c>
      <c r="I292" s="1422">
        <f t="shared" si="815"/>
        <v>0</v>
      </c>
      <c r="J292" s="489">
        <f t="shared" si="815"/>
        <v>329</v>
      </c>
      <c r="K292" s="1421">
        <f t="shared" si="816"/>
        <v>0</v>
      </c>
      <c r="L292" s="1422">
        <f t="shared" si="816"/>
        <v>329</v>
      </c>
      <c r="M292" s="1422">
        <f t="shared" si="816"/>
        <v>0</v>
      </c>
      <c r="N292" s="489">
        <f t="shared" si="816"/>
        <v>329</v>
      </c>
      <c r="O292" s="1011"/>
      <c r="P292" s="1012"/>
      <c r="Q292" s="1012"/>
      <c r="R292" s="1013">
        <f t="shared" si="817"/>
        <v>0</v>
      </c>
      <c r="S292" s="1014"/>
      <c r="T292" s="1015"/>
      <c r="U292" s="1012"/>
      <c r="V292" s="1013">
        <f t="shared" si="818"/>
        <v>0</v>
      </c>
      <c r="W292" s="1014"/>
      <c r="X292" s="1015"/>
      <c r="Y292" s="1012"/>
      <c r="Z292" s="1013">
        <f t="shared" si="819"/>
        <v>0</v>
      </c>
      <c r="AA292" s="1014"/>
      <c r="AB292" s="1015"/>
      <c r="AC292" s="1012"/>
      <c r="AD292" s="1013">
        <f t="shared" si="820"/>
        <v>0</v>
      </c>
      <c r="AE292" s="1014"/>
      <c r="AF292" s="1015">
        <f>0+329</f>
        <v>329</v>
      </c>
      <c r="AG292" s="1012"/>
      <c r="AH292" s="1013">
        <f t="shared" si="821"/>
        <v>329</v>
      </c>
      <c r="AI292" s="1421">
        <f t="shared" si="822"/>
        <v>0</v>
      </c>
      <c r="AJ292" s="1422">
        <f t="shared" si="822"/>
        <v>0</v>
      </c>
      <c r="AK292" s="1422">
        <f t="shared" si="822"/>
        <v>0</v>
      </c>
      <c r="AL292" s="489">
        <f t="shared" si="822"/>
        <v>0</v>
      </c>
      <c r="AM292" s="1014"/>
      <c r="AN292" s="1015"/>
      <c r="AO292" s="1012"/>
      <c r="AP292" s="1013">
        <f t="shared" si="823"/>
        <v>0</v>
      </c>
      <c r="AQ292" s="1014"/>
      <c r="AR292" s="1015"/>
      <c r="AS292" s="1012"/>
      <c r="AT292" s="1013">
        <f t="shared" si="824"/>
        <v>0</v>
      </c>
      <c r="AU292" s="1014"/>
      <c r="AV292" s="1015"/>
      <c r="AW292" s="1012"/>
      <c r="AX292" s="1013">
        <f t="shared" si="825"/>
        <v>0</v>
      </c>
      <c r="AY292" s="818"/>
      <c r="AZ292" s="296"/>
      <c r="BA292" s="296"/>
      <c r="BB292" s="296"/>
    </row>
    <row r="293" spans="1:54" s="481" customFormat="1" ht="12.75" customHeight="1" thickBot="1">
      <c r="A293" s="528" t="s">
        <v>750</v>
      </c>
      <c r="B293" s="835"/>
      <c r="C293" s="1558" t="s">
        <v>420</v>
      </c>
      <c r="D293" s="1559"/>
      <c r="E293" s="1559"/>
      <c r="F293" s="1560"/>
      <c r="G293" s="517">
        <f>SUM(G288:G292)</f>
        <v>60130</v>
      </c>
      <c r="H293" s="518">
        <f>SUM(H288:H292)</f>
        <v>57964</v>
      </c>
      <c r="I293" s="518">
        <f>SUM(I288:I292)</f>
        <v>537</v>
      </c>
      <c r="J293" s="413">
        <f>SUM(J288:J292)</f>
        <v>58501</v>
      </c>
      <c r="K293" s="517">
        <f t="shared" ref="K293" si="827">SUM(K288:K292)</f>
        <v>49758</v>
      </c>
      <c r="L293" s="518">
        <f t="shared" ref="L293:M293" si="828">SUM(L288:L292)</f>
        <v>47592</v>
      </c>
      <c r="M293" s="518">
        <f t="shared" si="828"/>
        <v>537</v>
      </c>
      <c r="N293" s="413">
        <f t="shared" ref="N293:AU293" si="829">SUM(N288:N292)</f>
        <v>48129</v>
      </c>
      <c r="O293" s="495">
        <f t="shared" si="829"/>
        <v>25821</v>
      </c>
      <c r="P293" s="356">
        <f t="shared" ref="P293" si="830">SUM(P288:P292)</f>
        <v>27107</v>
      </c>
      <c r="Q293" s="356">
        <f t="shared" ref="Q293:R293" si="831">SUM(Q288:Q292)</f>
        <v>465</v>
      </c>
      <c r="R293" s="343">
        <f t="shared" si="831"/>
        <v>27572</v>
      </c>
      <c r="S293" s="495">
        <f t="shared" si="829"/>
        <v>4534</v>
      </c>
      <c r="T293" s="356">
        <f t="shared" ref="T293" si="832">SUM(T288:T292)</f>
        <v>4753</v>
      </c>
      <c r="U293" s="356">
        <f t="shared" ref="U293:V293" si="833">SUM(U288:U292)</f>
        <v>72</v>
      </c>
      <c r="V293" s="343">
        <f t="shared" si="833"/>
        <v>4825</v>
      </c>
      <c r="W293" s="495">
        <f t="shared" si="829"/>
        <v>19403</v>
      </c>
      <c r="X293" s="356">
        <f t="shared" ref="X293" si="834">SUM(X288:X292)</f>
        <v>15403</v>
      </c>
      <c r="Y293" s="356">
        <f t="shared" ref="Y293:Z293" si="835">SUM(Y288:Y292)</f>
        <v>0</v>
      </c>
      <c r="Z293" s="343">
        <f t="shared" si="835"/>
        <v>15403</v>
      </c>
      <c r="AA293" s="495">
        <f t="shared" si="829"/>
        <v>0</v>
      </c>
      <c r="AB293" s="356">
        <f t="shared" ref="AB293" si="836">SUM(AB288:AB292)</f>
        <v>0</v>
      </c>
      <c r="AC293" s="356">
        <f t="shared" ref="AC293:AD293" si="837">SUM(AC288:AC292)</f>
        <v>0</v>
      </c>
      <c r="AD293" s="343">
        <f t="shared" si="837"/>
        <v>0</v>
      </c>
      <c r="AE293" s="495">
        <f t="shared" si="829"/>
        <v>0</v>
      </c>
      <c r="AF293" s="356">
        <f t="shared" ref="AF293" si="838">SUM(AF288:AF292)</f>
        <v>329</v>
      </c>
      <c r="AG293" s="356">
        <f t="shared" ref="AG293:AH293" si="839">SUM(AG288:AG292)</f>
        <v>0</v>
      </c>
      <c r="AH293" s="343">
        <f t="shared" si="839"/>
        <v>329</v>
      </c>
      <c r="AI293" s="517">
        <f t="shared" si="829"/>
        <v>10372</v>
      </c>
      <c r="AJ293" s="518">
        <f t="shared" ref="AJ293:AK293" si="840">SUM(AJ288:AJ292)</f>
        <v>10372</v>
      </c>
      <c r="AK293" s="518">
        <f t="shared" si="840"/>
        <v>0</v>
      </c>
      <c r="AL293" s="413">
        <f t="shared" si="829"/>
        <v>10372</v>
      </c>
      <c r="AM293" s="495">
        <f t="shared" si="829"/>
        <v>10372</v>
      </c>
      <c r="AN293" s="356">
        <f t="shared" ref="AN293" si="841">SUM(AN288:AN292)</f>
        <v>10372</v>
      </c>
      <c r="AO293" s="356">
        <f t="shared" ref="AO293:AP293" si="842">SUM(AO288:AO292)</f>
        <v>0</v>
      </c>
      <c r="AP293" s="343">
        <f t="shared" si="842"/>
        <v>10372</v>
      </c>
      <c r="AQ293" s="495">
        <f t="shared" si="829"/>
        <v>0</v>
      </c>
      <c r="AR293" s="356">
        <f t="shared" ref="AR293" si="843">SUM(AR288:AR292)</f>
        <v>0</v>
      </c>
      <c r="AS293" s="356">
        <f t="shared" ref="AS293:AT293" si="844">SUM(AS288:AS292)</f>
        <v>0</v>
      </c>
      <c r="AT293" s="343">
        <f t="shared" si="844"/>
        <v>0</v>
      </c>
      <c r="AU293" s="495">
        <f t="shared" si="829"/>
        <v>0</v>
      </c>
      <c r="AV293" s="356">
        <f t="shared" ref="AV293" si="845">SUM(AV288:AV292)</f>
        <v>0</v>
      </c>
      <c r="AW293" s="356">
        <f t="shared" ref="AW293:AX293" si="846">SUM(AW288:AW292)</f>
        <v>0</v>
      </c>
      <c r="AX293" s="343">
        <f t="shared" si="846"/>
        <v>0</v>
      </c>
      <c r="AY293" s="820"/>
      <c r="AZ293" s="296"/>
      <c r="BA293" s="296"/>
      <c r="BB293" s="296"/>
    </row>
    <row r="294" spans="1:54" ht="12.75" customHeight="1" thickBot="1">
      <c r="A294" s="534">
        <f>A292+1</f>
        <v>109</v>
      </c>
      <c r="B294" s="840">
        <v>27</v>
      </c>
      <c r="C294" s="926" t="s">
        <v>19</v>
      </c>
      <c r="D294" s="525" t="s">
        <v>19</v>
      </c>
      <c r="E294" s="921" t="s">
        <v>19</v>
      </c>
      <c r="F294" s="1009" t="s">
        <v>19</v>
      </c>
      <c r="G294" s="1427">
        <f>+K294+AI294</f>
        <v>0</v>
      </c>
      <c r="H294" s="1428">
        <f>+L294+AJ294</f>
        <v>0</v>
      </c>
      <c r="I294" s="1428">
        <f>+M294+AK294</f>
        <v>0</v>
      </c>
      <c r="J294" s="421">
        <f>+N294+AL294</f>
        <v>0</v>
      </c>
      <c r="K294" s="1427">
        <f>+O294+S294+W294+AA294+AE294</f>
        <v>0</v>
      </c>
      <c r="L294" s="1428">
        <f>+P294+T294+X294+AB294+AF294</f>
        <v>0</v>
      </c>
      <c r="M294" s="1428">
        <f>+Q294+U294+Y294+AC294+AG294</f>
        <v>0</v>
      </c>
      <c r="N294" s="421">
        <f>+R294+V294+Z294+AD294+AH294</f>
        <v>0</v>
      </c>
      <c r="O294" s="491"/>
      <c r="P294" s="490"/>
      <c r="Q294" s="490"/>
      <c r="R294" s="440">
        <f t="shared" ref="R294" si="847">+P294+Q294</f>
        <v>0</v>
      </c>
      <c r="S294" s="491"/>
      <c r="T294" s="490"/>
      <c r="U294" s="490"/>
      <c r="V294" s="440">
        <f t="shared" ref="V294" si="848">+T294+U294</f>
        <v>0</v>
      </c>
      <c r="W294" s="491"/>
      <c r="X294" s="490"/>
      <c r="Y294" s="490"/>
      <c r="Z294" s="440">
        <f t="shared" ref="Z294" si="849">+X294+Y294</f>
        <v>0</v>
      </c>
      <c r="AA294" s="491"/>
      <c r="AB294" s="490"/>
      <c r="AC294" s="490"/>
      <c r="AD294" s="440">
        <f t="shared" ref="AD294" si="850">+AB294+AC294</f>
        <v>0</v>
      </c>
      <c r="AE294" s="491"/>
      <c r="AF294" s="490"/>
      <c r="AG294" s="490"/>
      <c r="AH294" s="440">
        <f t="shared" ref="AH294" si="851">+AF294+AG294</f>
        <v>0</v>
      </c>
      <c r="AI294" s="1427">
        <f>+AM294+AQ294+AU294</f>
        <v>0</v>
      </c>
      <c r="AJ294" s="1428">
        <f>+AN294+AR294+AV294</f>
        <v>0</v>
      </c>
      <c r="AK294" s="1428">
        <f>+AO294+AS294+AW294</f>
        <v>0</v>
      </c>
      <c r="AL294" s="421">
        <f>+AP294+AT294+AX294</f>
        <v>0</v>
      </c>
      <c r="AM294" s="491"/>
      <c r="AN294" s="490"/>
      <c r="AO294" s="490"/>
      <c r="AP294" s="440">
        <f t="shared" ref="AP294" si="852">+AN294+AO294</f>
        <v>0</v>
      </c>
      <c r="AQ294" s="491"/>
      <c r="AR294" s="490"/>
      <c r="AS294" s="490"/>
      <c r="AT294" s="440">
        <f t="shared" ref="AT294" si="853">+AR294+AS294</f>
        <v>0</v>
      </c>
      <c r="AU294" s="491"/>
      <c r="AV294" s="490"/>
      <c r="AW294" s="490"/>
      <c r="AX294" s="440">
        <f t="shared" ref="AX294" si="854">+AV294+AW294</f>
        <v>0</v>
      </c>
      <c r="AY294" s="818"/>
      <c r="AZ294" s="493"/>
      <c r="BA294" s="493"/>
      <c r="BB294" s="493"/>
    </row>
    <row r="295" spans="1:54" s="481" customFormat="1" ht="12.75" customHeight="1" thickBot="1">
      <c r="A295" s="528" t="s">
        <v>633</v>
      </c>
      <c r="B295" s="835"/>
      <c r="C295" s="1558" t="s">
        <v>752</v>
      </c>
      <c r="D295" s="1559"/>
      <c r="E295" s="1559"/>
      <c r="F295" s="1560"/>
      <c r="G295" s="517">
        <f>SUM(G294)</f>
        <v>0</v>
      </c>
      <c r="H295" s="518">
        <f>SUM(H294)</f>
        <v>0</v>
      </c>
      <c r="I295" s="518">
        <f>SUM(I294)</f>
        <v>0</v>
      </c>
      <c r="J295" s="413">
        <f>SUM(J294)</f>
        <v>0</v>
      </c>
      <c r="K295" s="517">
        <f t="shared" ref="K295" si="855">SUM(K294)</f>
        <v>0</v>
      </c>
      <c r="L295" s="518">
        <f t="shared" ref="L295:M295" si="856">SUM(L294)</f>
        <v>0</v>
      </c>
      <c r="M295" s="518">
        <f t="shared" si="856"/>
        <v>0</v>
      </c>
      <c r="N295" s="413">
        <f t="shared" ref="N295:AU297" si="857">SUM(N294)</f>
        <v>0</v>
      </c>
      <c r="O295" s="495">
        <f t="shared" si="857"/>
        <v>0</v>
      </c>
      <c r="P295" s="356">
        <f t="shared" ref="P295:R295" si="858">SUM(P294)</f>
        <v>0</v>
      </c>
      <c r="Q295" s="356">
        <f t="shared" si="858"/>
        <v>0</v>
      </c>
      <c r="R295" s="343">
        <f t="shared" si="858"/>
        <v>0</v>
      </c>
      <c r="S295" s="495">
        <f t="shared" si="857"/>
        <v>0</v>
      </c>
      <c r="T295" s="356">
        <f t="shared" ref="T295:V295" si="859">SUM(T294)</f>
        <v>0</v>
      </c>
      <c r="U295" s="356">
        <f t="shared" si="859"/>
        <v>0</v>
      </c>
      <c r="V295" s="343">
        <f t="shared" si="859"/>
        <v>0</v>
      </c>
      <c r="W295" s="495">
        <f t="shared" si="857"/>
        <v>0</v>
      </c>
      <c r="X295" s="356">
        <f t="shared" ref="X295:Z295" si="860">SUM(X294)</f>
        <v>0</v>
      </c>
      <c r="Y295" s="356">
        <f t="shared" si="860"/>
        <v>0</v>
      </c>
      <c r="Z295" s="343">
        <f t="shared" si="860"/>
        <v>0</v>
      </c>
      <c r="AA295" s="495">
        <f t="shared" si="857"/>
        <v>0</v>
      </c>
      <c r="AB295" s="356">
        <f t="shared" ref="AB295:AD295" si="861">SUM(AB294)</f>
        <v>0</v>
      </c>
      <c r="AC295" s="356">
        <f t="shared" si="861"/>
        <v>0</v>
      </c>
      <c r="AD295" s="343">
        <f t="shared" si="861"/>
        <v>0</v>
      </c>
      <c r="AE295" s="495">
        <f t="shared" si="857"/>
        <v>0</v>
      </c>
      <c r="AF295" s="356">
        <f t="shared" ref="AF295:AH295" si="862">SUM(AF294)</f>
        <v>0</v>
      </c>
      <c r="AG295" s="356">
        <f t="shared" si="862"/>
        <v>0</v>
      </c>
      <c r="AH295" s="343">
        <f t="shared" si="862"/>
        <v>0</v>
      </c>
      <c r="AI295" s="517">
        <f t="shared" si="857"/>
        <v>0</v>
      </c>
      <c r="AJ295" s="518">
        <f t="shared" ref="AJ295:AK295" si="863">SUM(AJ294)</f>
        <v>0</v>
      </c>
      <c r="AK295" s="518">
        <f t="shared" si="863"/>
        <v>0</v>
      </c>
      <c r="AL295" s="413">
        <f t="shared" si="857"/>
        <v>0</v>
      </c>
      <c r="AM295" s="495">
        <f t="shared" si="857"/>
        <v>0</v>
      </c>
      <c r="AN295" s="356">
        <f t="shared" ref="AN295:AP295" si="864">SUM(AN294)</f>
        <v>0</v>
      </c>
      <c r="AO295" s="356">
        <f t="shared" si="864"/>
        <v>0</v>
      </c>
      <c r="AP295" s="343">
        <f t="shared" si="864"/>
        <v>0</v>
      </c>
      <c r="AQ295" s="495">
        <f t="shared" si="857"/>
        <v>0</v>
      </c>
      <c r="AR295" s="356">
        <f t="shared" ref="AR295:AT295" si="865">SUM(AR294)</f>
        <v>0</v>
      </c>
      <c r="AS295" s="356">
        <f t="shared" si="865"/>
        <v>0</v>
      </c>
      <c r="AT295" s="343">
        <f t="shared" si="865"/>
        <v>0</v>
      </c>
      <c r="AU295" s="495">
        <f t="shared" si="857"/>
        <v>0</v>
      </c>
      <c r="AV295" s="356">
        <f t="shared" ref="AV295:AX295" si="866">SUM(AV294)</f>
        <v>0</v>
      </c>
      <c r="AW295" s="356">
        <f t="shared" si="866"/>
        <v>0</v>
      </c>
      <c r="AX295" s="343">
        <f t="shared" si="866"/>
        <v>0</v>
      </c>
      <c r="AY295" s="820"/>
    </row>
    <row r="296" spans="1:54" ht="12.75" customHeight="1" thickBot="1">
      <c r="A296" s="534">
        <f>+A294+1</f>
        <v>110</v>
      </c>
      <c r="B296" s="840">
        <v>28</v>
      </c>
      <c r="C296" s="926" t="s">
        <v>19</v>
      </c>
      <c r="D296" s="525" t="s">
        <v>19</v>
      </c>
      <c r="E296" s="921" t="s">
        <v>19</v>
      </c>
      <c r="F296" s="1009" t="s">
        <v>19</v>
      </c>
      <c r="G296" s="1427">
        <f>+K296+AI296</f>
        <v>0</v>
      </c>
      <c r="H296" s="1428">
        <f>+L296+AJ296</f>
        <v>0</v>
      </c>
      <c r="I296" s="1428">
        <f>+M296+AK296</f>
        <v>0</v>
      </c>
      <c r="J296" s="421">
        <f>+N296+AL296</f>
        <v>0</v>
      </c>
      <c r="K296" s="1427">
        <f>+O296+S296+W296+AA296+AE296</f>
        <v>0</v>
      </c>
      <c r="L296" s="1428">
        <f>+P296+T296+X296+AB296+AF296</f>
        <v>0</v>
      </c>
      <c r="M296" s="1428">
        <f>+Q296+U296+Y296+AC296+AG296</f>
        <v>0</v>
      </c>
      <c r="N296" s="421">
        <f>+R296+V296+Z296+AD296+AH296</f>
        <v>0</v>
      </c>
      <c r="O296" s="491"/>
      <c r="P296" s="490"/>
      <c r="Q296" s="490"/>
      <c r="R296" s="440">
        <f t="shared" ref="R296" si="867">+P296+Q296</f>
        <v>0</v>
      </c>
      <c r="S296" s="491"/>
      <c r="T296" s="490"/>
      <c r="U296" s="490"/>
      <c r="V296" s="440">
        <f t="shared" ref="V296" si="868">+T296+U296</f>
        <v>0</v>
      </c>
      <c r="W296" s="491"/>
      <c r="X296" s="490"/>
      <c r="Y296" s="490"/>
      <c r="Z296" s="440">
        <f t="shared" ref="Z296" si="869">+X296+Y296</f>
        <v>0</v>
      </c>
      <c r="AA296" s="491"/>
      <c r="AB296" s="490"/>
      <c r="AC296" s="490"/>
      <c r="AD296" s="440">
        <f t="shared" ref="AD296" si="870">+AB296+AC296</f>
        <v>0</v>
      </c>
      <c r="AE296" s="491"/>
      <c r="AF296" s="490"/>
      <c r="AG296" s="490"/>
      <c r="AH296" s="440">
        <f t="shared" ref="AH296" si="871">+AF296+AG296</f>
        <v>0</v>
      </c>
      <c r="AI296" s="1427">
        <f>+AM296+AQ296+AU296</f>
        <v>0</v>
      </c>
      <c r="AJ296" s="1428">
        <f>+AN296+AR296+AV296</f>
        <v>0</v>
      </c>
      <c r="AK296" s="1428">
        <f>+AO296+AS296+AW296</f>
        <v>0</v>
      </c>
      <c r="AL296" s="421">
        <f>+AP296+AT296+AX296</f>
        <v>0</v>
      </c>
      <c r="AM296" s="491"/>
      <c r="AN296" s="490"/>
      <c r="AO296" s="490"/>
      <c r="AP296" s="440">
        <f t="shared" ref="AP296" si="872">+AN296+AO296</f>
        <v>0</v>
      </c>
      <c r="AQ296" s="491"/>
      <c r="AR296" s="490"/>
      <c r="AS296" s="490"/>
      <c r="AT296" s="440">
        <f t="shared" ref="AT296" si="873">+AR296+AS296</f>
        <v>0</v>
      </c>
      <c r="AU296" s="491"/>
      <c r="AV296" s="490"/>
      <c r="AW296" s="490"/>
      <c r="AX296" s="440">
        <f t="shared" ref="AX296" si="874">+AV296+AW296</f>
        <v>0</v>
      </c>
      <c r="AY296" s="818"/>
      <c r="AZ296" s="493"/>
      <c r="BA296" s="493"/>
      <c r="BB296" s="493"/>
    </row>
    <row r="297" spans="1:54" s="481" customFormat="1" ht="12.75" customHeight="1" thickBot="1">
      <c r="A297" s="528" t="s">
        <v>751</v>
      </c>
      <c r="B297" s="835"/>
      <c r="C297" s="1558" t="s">
        <v>767</v>
      </c>
      <c r="D297" s="1559"/>
      <c r="E297" s="1559"/>
      <c r="F297" s="1560"/>
      <c r="G297" s="517">
        <f>SUM(G296)</f>
        <v>0</v>
      </c>
      <c r="H297" s="518">
        <f>SUM(H296)</f>
        <v>0</v>
      </c>
      <c r="I297" s="518">
        <f>SUM(I296)</f>
        <v>0</v>
      </c>
      <c r="J297" s="413">
        <f>SUM(J296)</f>
        <v>0</v>
      </c>
      <c r="K297" s="517">
        <f t="shared" ref="K297" si="875">SUM(K296)</f>
        <v>0</v>
      </c>
      <c r="L297" s="518">
        <f t="shared" ref="L297:M297" si="876">SUM(L296)</f>
        <v>0</v>
      </c>
      <c r="M297" s="518">
        <f t="shared" si="876"/>
        <v>0</v>
      </c>
      <c r="N297" s="413">
        <f t="shared" si="857"/>
        <v>0</v>
      </c>
      <c r="O297" s="495">
        <f t="shared" si="857"/>
        <v>0</v>
      </c>
      <c r="P297" s="356">
        <f t="shared" ref="P297:R297" si="877">SUM(P296)</f>
        <v>0</v>
      </c>
      <c r="Q297" s="356">
        <f t="shared" si="877"/>
        <v>0</v>
      </c>
      <c r="R297" s="343">
        <f t="shared" si="877"/>
        <v>0</v>
      </c>
      <c r="S297" s="495">
        <f t="shared" si="857"/>
        <v>0</v>
      </c>
      <c r="T297" s="356">
        <f t="shared" ref="T297:V297" si="878">SUM(T296)</f>
        <v>0</v>
      </c>
      <c r="U297" s="356">
        <f t="shared" si="878"/>
        <v>0</v>
      </c>
      <c r="V297" s="343">
        <f t="shared" si="878"/>
        <v>0</v>
      </c>
      <c r="W297" s="495">
        <f t="shared" si="857"/>
        <v>0</v>
      </c>
      <c r="X297" s="356">
        <f t="shared" ref="X297:Z297" si="879">SUM(X296)</f>
        <v>0</v>
      </c>
      <c r="Y297" s="356">
        <f t="shared" si="879"/>
        <v>0</v>
      </c>
      <c r="Z297" s="343">
        <f t="shared" si="879"/>
        <v>0</v>
      </c>
      <c r="AA297" s="495">
        <f t="shared" si="857"/>
        <v>0</v>
      </c>
      <c r="AB297" s="356">
        <f t="shared" ref="AB297:AD297" si="880">SUM(AB296)</f>
        <v>0</v>
      </c>
      <c r="AC297" s="356">
        <f t="shared" si="880"/>
        <v>0</v>
      </c>
      <c r="AD297" s="343">
        <f t="shared" si="880"/>
        <v>0</v>
      </c>
      <c r="AE297" s="495">
        <f t="shared" si="857"/>
        <v>0</v>
      </c>
      <c r="AF297" s="356">
        <f t="shared" ref="AF297:AH297" si="881">SUM(AF296)</f>
        <v>0</v>
      </c>
      <c r="AG297" s="356">
        <f t="shared" si="881"/>
        <v>0</v>
      </c>
      <c r="AH297" s="343">
        <f t="shared" si="881"/>
        <v>0</v>
      </c>
      <c r="AI297" s="517">
        <f t="shared" si="857"/>
        <v>0</v>
      </c>
      <c r="AJ297" s="518">
        <f t="shared" ref="AJ297:AK297" si="882">SUM(AJ296)</f>
        <v>0</v>
      </c>
      <c r="AK297" s="518">
        <f t="shared" si="882"/>
        <v>0</v>
      </c>
      <c r="AL297" s="413">
        <f t="shared" si="857"/>
        <v>0</v>
      </c>
      <c r="AM297" s="495">
        <f t="shared" si="857"/>
        <v>0</v>
      </c>
      <c r="AN297" s="356">
        <f t="shared" ref="AN297:AP297" si="883">SUM(AN296)</f>
        <v>0</v>
      </c>
      <c r="AO297" s="356">
        <f t="shared" si="883"/>
        <v>0</v>
      </c>
      <c r="AP297" s="343">
        <f t="shared" si="883"/>
        <v>0</v>
      </c>
      <c r="AQ297" s="495">
        <f t="shared" si="857"/>
        <v>0</v>
      </c>
      <c r="AR297" s="356">
        <f t="shared" ref="AR297:AT297" si="884">SUM(AR296)</f>
        <v>0</v>
      </c>
      <c r="AS297" s="356">
        <f t="shared" si="884"/>
        <v>0</v>
      </c>
      <c r="AT297" s="343">
        <f t="shared" si="884"/>
        <v>0</v>
      </c>
      <c r="AU297" s="495">
        <f t="shared" si="857"/>
        <v>0</v>
      </c>
      <c r="AV297" s="356">
        <f t="shared" ref="AV297:AX297" si="885">SUM(AV296)</f>
        <v>0</v>
      </c>
      <c r="AW297" s="356">
        <f t="shared" si="885"/>
        <v>0</v>
      </c>
      <c r="AX297" s="343">
        <f t="shared" si="885"/>
        <v>0</v>
      </c>
      <c r="AY297" s="820"/>
    </row>
    <row r="298" spans="1:54" s="493" customFormat="1" ht="12.75" customHeight="1" thickBot="1">
      <c r="A298" s="529" t="s">
        <v>20</v>
      </c>
      <c r="B298" s="836"/>
      <c r="C298" s="1552" t="s">
        <v>422</v>
      </c>
      <c r="D298" s="1553"/>
      <c r="E298" s="1553"/>
      <c r="F298" s="1554"/>
      <c r="G298" s="497">
        <f>+G293+G295+G297</f>
        <v>60130</v>
      </c>
      <c r="H298" s="498">
        <f>+H293+H295+H297</f>
        <v>57964</v>
      </c>
      <c r="I298" s="498">
        <f>+I293+I295+I297</f>
        <v>537</v>
      </c>
      <c r="J298" s="499">
        <f>+J293+J295+J297</f>
        <v>58501</v>
      </c>
      <c r="K298" s="497">
        <f t="shared" ref="K298" si="886">+K293+K295+K297</f>
        <v>49758</v>
      </c>
      <c r="L298" s="498">
        <f t="shared" ref="L298:M298" si="887">+L293+L295+L297</f>
        <v>47592</v>
      </c>
      <c r="M298" s="498">
        <f t="shared" si="887"/>
        <v>537</v>
      </c>
      <c r="N298" s="499">
        <f t="shared" ref="N298:AU298" si="888">+N293+N295+N297</f>
        <v>48129</v>
      </c>
      <c r="O298" s="497">
        <f t="shared" si="888"/>
        <v>25821</v>
      </c>
      <c r="P298" s="498">
        <f t="shared" ref="P298:R298" si="889">+P293+P295+P297</f>
        <v>27107</v>
      </c>
      <c r="Q298" s="510">
        <f t="shared" si="889"/>
        <v>465</v>
      </c>
      <c r="R298" s="511">
        <f t="shared" si="889"/>
        <v>27572</v>
      </c>
      <c r="S298" s="497">
        <f t="shared" si="888"/>
        <v>4534</v>
      </c>
      <c r="T298" s="498">
        <f t="shared" ref="T298:V298" si="890">+T293+T295+T297</f>
        <v>4753</v>
      </c>
      <c r="U298" s="510">
        <f t="shared" si="890"/>
        <v>72</v>
      </c>
      <c r="V298" s="511">
        <f t="shared" si="890"/>
        <v>4825</v>
      </c>
      <c r="W298" s="497">
        <f t="shared" si="888"/>
        <v>19403</v>
      </c>
      <c r="X298" s="498">
        <f t="shared" ref="X298:Z298" si="891">+X293+X295+X297</f>
        <v>15403</v>
      </c>
      <c r="Y298" s="510">
        <f t="shared" si="891"/>
        <v>0</v>
      </c>
      <c r="Z298" s="511">
        <f t="shared" si="891"/>
        <v>15403</v>
      </c>
      <c r="AA298" s="497">
        <f t="shared" si="888"/>
        <v>0</v>
      </c>
      <c r="AB298" s="498">
        <f t="shared" ref="AB298:AD298" si="892">+AB293+AB295+AB297</f>
        <v>0</v>
      </c>
      <c r="AC298" s="510">
        <f t="shared" si="892"/>
        <v>0</v>
      </c>
      <c r="AD298" s="511">
        <f t="shared" si="892"/>
        <v>0</v>
      </c>
      <c r="AE298" s="497">
        <f t="shared" si="888"/>
        <v>0</v>
      </c>
      <c r="AF298" s="498">
        <f t="shared" ref="AF298:AH298" si="893">+AF293+AF295+AF297</f>
        <v>329</v>
      </c>
      <c r="AG298" s="510">
        <f t="shared" si="893"/>
        <v>0</v>
      </c>
      <c r="AH298" s="511">
        <f t="shared" si="893"/>
        <v>329</v>
      </c>
      <c r="AI298" s="497">
        <f t="shared" si="888"/>
        <v>10372</v>
      </c>
      <c r="AJ298" s="498">
        <f t="shared" ref="AJ298:AK298" si="894">+AJ293+AJ295+AJ297</f>
        <v>10372</v>
      </c>
      <c r="AK298" s="498">
        <f t="shared" si="894"/>
        <v>0</v>
      </c>
      <c r="AL298" s="499">
        <f t="shared" si="888"/>
        <v>10372</v>
      </c>
      <c r="AM298" s="497">
        <f t="shared" si="888"/>
        <v>10372</v>
      </c>
      <c r="AN298" s="498">
        <f t="shared" ref="AN298:AP298" si="895">+AN293+AN295+AN297</f>
        <v>10372</v>
      </c>
      <c r="AO298" s="510">
        <f t="shared" si="895"/>
        <v>0</v>
      </c>
      <c r="AP298" s="511">
        <f t="shared" si="895"/>
        <v>10372</v>
      </c>
      <c r="AQ298" s="497">
        <f t="shared" si="888"/>
        <v>0</v>
      </c>
      <c r="AR298" s="498">
        <f t="shared" ref="AR298:AT298" si="896">+AR293+AR295+AR297</f>
        <v>0</v>
      </c>
      <c r="AS298" s="510">
        <f t="shared" si="896"/>
        <v>0</v>
      </c>
      <c r="AT298" s="511">
        <f t="shared" si="896"/>
        <v>0</v>
      </c>
      <c r="AU298" s="497">
        <f t="shared" si="888"/>
        <v>0</v>
      </c>
      <c r="AV298" s="498">
        <f t="shared" ref="AV298:AX298" si="897">+AV293+AV295+AV297</f>
        <v>0</v>
      </c>
      <c r="AW298" s="510">
        <f t="shared" si="897"/>
        <v>0</v>
      </c>
      <c r="AX298" s="511">
        <f t="shared" si="897"/>
        <v>0</v>
      </c>
      <c r="AY298" s="812"/>
      <c r="AZ298" s="481"/>
      <c r="BA298" s="481"/>
      <c r="BB298" s="481"/>
    </row>
    <row r="299" spans="1:54" ht="12.75" thickBot="1">
      <c r="A299" s="528"/>
      <c r="B299" s="839"/>
      <c r="C299" s="925"/>
      <c r="D299" s="527"/>
      <c r="E299" s="920"/>
      <c r="F299" s="494"/>
      <c r="G299" s="517"/>
      <c r="H299" s="518"/>
      <c r="I299" s="518"/>
      <c r="J299" s="413"/>
      <c r="K299" s="517"/>
      <c r="L299" s="518"/>
      <c r="M299" s="518"/>
      <c r="N299" s="413"/>
      <c r="O299" s="864"/>
      <c r="P299" s="865"/>
      <c r="Q299" s="356"/>
      <c r="R299" s="343"/>
      <c r="S299" s="864"/>
      <c r="T299" s="865"/>
      <c r="U299" s="356"/>
      <c r="V299" s="343"/>
      <c r="W299" s="864"/>
      <c r="X299" s="865"/>
      <c r="Y299" s="356"/>
      <c r="Z299" s="343"/>
      <c r="AA299" s="864"/>
      <c r="AB299" s="865"/>
      <c r="AC299" s="356"/>
      <c r="AD299" s="343"/>
      <c r="AE299" s="864"/>
      <c r="AF299" s="865"/>
      <c r="AG299" s="356"/>
      <c r="AH299" s="343"/>
      <c r="AI299" s="517"/>
      <c r="AJ299" s="518"/>
      <c r="AK299" s="518"/>
      <c r="AL299" s="413"/>
      <c r="AM299" s="864"/>
      <c r="AN299" s="865"/>
      <c r="AO299" s="356"/>
      <c r="AP299" s="343"/>
      <c r="AQ299" s="864"/>
      <c r="AR299" s="865"/>
      <c r="AS299" s="356"/>
      <c r="AT299" s="343"/>
      <c r="AU299" s="864"/>
      <c r="AV299" s="865"/>
      <c r="AW299" s="356"/>
      <c r="AX299" s="343"/>
      <c r="AY299" s="483"/>
      <c r="AZ299" s="481"/>
      <c r="BA299" s="481"/>
      <c r="BB299" s="481"/>
    </row>
    <row r="300" spans="1:54" ht="12.75" customHeight="1" thickBot="1">
      <c r="A300" s="532">
        <f>A296+1</f>
        <v>111</v>
      </c>
      <c r="B300" s="833">
        <v>29</v>
      </c>
      <c r="C300" s="993" t="s">
        <v>19</v>
      </c>
      <c r="D300" s="944" t="s">
        <v>19</v>
      </c>
      <c r="E300" s="994" t="s">
        <v>19</v>
      </c>
      <c r="F300" s="1007" t="s">
        <v>19</v>
      </c>
      <c r="G300" s="1417">
        <f>+K300+AI300</f>
        <v>0</v>
      </c>
      <c r="H300" s="1418">
        <f>+L300+AJ300</f>
        <v>0</v>
      </c>
      <c r="I300" s="1418">
        <f>+M300+AK300</f>
        <v>0</v>
      </c>
      <c r="J300" s="473">
        <f>+N300+AL300</f>
        <v>0</v>
      </c>
      <c r="K300" s="1417">
        <f>+O300+S300+W300+AA300+AE300</f>
        <v>0</v>
      </c>
      <c r="L300" s="1418">
        <f>+P300+T300+X300+AB300+AF300</f>
        <v>0</v>
      </c>
      <c r="M300" s="1418">
        <f>+Q300+U300+Y300+AC300+AG300</f>
        <v>0</v>
      </c>
      <c r="N300" s="473">
        <f>+R300+V300+Z300+AD300+AH300</f>
        <v>0</v>
      </c>
      <c r="O300" s="1011"/>
      <c r="P300" s="1012"/>
      <c r="Q300" s="1012"/>
      <c r="R300" s="1013">
        <f t="shared" ref="R300" si="898">+P300+Q300</f>
        <v>0</v>
      </c>
      <c r="S300" s="1011"/>
      <c r="T300" s="1012"/>
      <c r="U300" s="1012"/>
      <c r="V300" s="1013">
        <f t="shared" ref="V300" si="899">+T300+U300</f>
        <v>0</v>
      </c>
      <c r="W300" s="1011"/>
      <c r="X300" s="1012"/>
      <c r="Y300" s="1012"/>
      <c r="Z300" s="1013">
        <f t="shared" ref="Z300" si="900">+X300+Y300</f>
        <v>0</v>
      </c>
      <c r="AA300" s="1011"/>
      <c r="AB300" s="1012"/>
      <c r="AC300" s="1012"/>
      <c r="AD300" s="1013">
        <f t="shared" ref="AD300" si="901">+AB300+AC300</f>
        <v>0</v>
      </c>
      <c r="AE300" s="1011"/>
      <c r="AF300" s="1012"/>
      <c r="AG300" s="1012"/>
      <c r="AH300" s="1013">
        <f t="shared" ref="AH300" si="902">+AF300+AG300</f>
        <v>0</v>
      </c>
      <c r="AI300" s="1417">
        <f>+AM300+AQ300+AU300</f>
        <v>0</v>
      </c>
      <c r="AJ300" s="1418">
        <f>+AN300+AR300+AV300</f>
        <v>0</v>
      </c>
      <c r="AK300" s="1418">
        <f>+AO300+AS300+AW300</f>
        <v>0</v>
      </c>
      <c r="AL300" s="473">
        <f>+AP300+AT300+AX300</f>
        <v>0</v>
      </c>
      <c r="AM300" s="1011"/>
      <c r="AN300" s="1012"/>
      <c r="AO300" s="1012"/>
      <c r="AP300" s="1013">
        <f t="shared" ref="AP300" si="903">+AN300+AO300</f>
        <v>0</v>
      </c>
      <c r="AQ300" s="1011"/>
      <c r="AR300" s="1012"/>
      <c r="AS300" s="1012"/>
      <c r="AT300" s="1013">
        <f t="shared" ref="AT300" si="904">+AR300+AS300</f>
        <v>0</v>
      </c>
      <c r="AU300" s="1011"/>
      <c r="AV300" s="1012"/>
      <c r="AW300" s="1012"/>
      <c r="AX300" s="1013">
        <f t="shared" ref="AX300" si="905">+AV300+AW300</f>
        <v>0</v>
      </c>
      <c r="AY300" s="818"/>
      <c r="AZ300" s="493"/>
      <c r="BA300" s="493"/>
      <c r="BB300" s="493"/>
    </row>
    <row r="301" spans="1:54" s="481" customFormat="1" ht="12.75" customHeight="1" thickBot="1">
      <c r="A301" s="528" t="s">
        <v>885</v>
      </c>
      <c r="B301" s="835"/>
      <c r="C301" s="1558" t="s">
        <v>860</v>
      </c>
      <c r="D301" s="1559"/>
      <c r="E301" s="1559"/>
      <c r="F301" s="1560"/>
      <c r="G301" s="517">
        <f>SUM(G300)</f>
        <v>0</v>
      </c>
      <c r="H301" s="518">
        <f>SUM(H300)</f>
        <v>0</v>
      </c>
      <c r="I301" s="518">
        <f>SUM(I300)</f>
        <v>0</v>
      </c>
      <c r="J301" s="413">
        <f>SUM(J300)</f>
        <v>0</v>
      </c>
      <c r="K301" s="517">
        <f t="shared" ref="K301" si="906">SUM(K300)</f>
        <v>0</v>
      </c>
      <c r="L301" s="518">
        <f t="shared" ref="L301:M301" si="907">SUM(L300)</f>
        <v>0</v>
      </c>
      <c r="M301" s="518">
        <f t="shared" si="907"/>
        <v>0</v>
      </c>
      <c r="N301" s="413">
        <f t="shared" ref="N301:AU301" si="908">SUM(N300)</f>
        <v>0</v>
      </c>
      <c r="O301" s="495">
        <f t="shared" si="908"/>
        <v>0</v>
      </c>
      <c r="P301" s="356">
        <f t="shared" ref="P301:R301" si="909">SUM(P300)</f>
        <v>0</v>
      </c>
      <c r="Q301" s="356">
        <f t="shared" si="909"/>
        <v>0</v>
      </c>
      <c r="R301" s="343">
        <f t="shared" si="909"/>
        <v>0</v>
      </c>
      <c r="S301" s="495">
        <f t="shared" si="908"/>
        <v>0</v>
      </c>
      <c r="T301" s="356">
        <f t="shared" ref="T301:V301" si="910">SUM(T300)</f>
        <v>0</v>
      </c>
      <c r="U301" s="356">
        <f t="shared" si="910"/>
        <v>0</v>
      </c>
      <c r="V301" s="343">
        <f t="shared" si="910"/>
        <v>0</v>
      </c>
      <c r="W301" s="495">
        <f t="shared" si="908"/>
        <v>0</v>
      </c>
      <c r="X301" s="356">
        <f t="shared" ref="X301:Z301" si="911">SUM(X300)</f>
        <v>0</v>
      </c>
      <c r="Y301" s="356">
        <f t="shared" si="911"/>
        <v>0</v>
      </c>
      <c r="Z301" s="343">
        <f t="shared" si="911"/>
        <v>0</v>
      </c>
      <c r="AA301" s="495">
        <f t="shared" si="908"/>
        <v>0</v>
      </c>
      <c r="AB301" s="356">
        <f t="shared" ref="AB301:AD301" si="912">SUM(AB300)</f>
        <v>0</v>
      </c>
      <c r="AC301" s="356">
        <f t="shared" si="912"/>
        <v>0</v>
      </c>
      <c r="AD301" s="343">
        <f t="shared" si="912"/>
        <v>0</v>
      </c>
      <c r="AE301" s="495">
        <f t="shared" si="908"/>
        <v>0</v>
      </c>
      <c r="AF301" s="356">
        <f t="shared" ref="AF301:AH301" si="913">SUM(AF300)</f>
        <v>0</v>
      </c>
      <c r="AG301" s="356">
        <f t="shared" si="913"/>
        <v>0</v>
      </c>
      <c r="AH301" s="343">
        <f t="shared" si="913"/>
        <v>0</v>
      </c>
      <c r="AI301" s="517">
        <f t="shared" si="908"/>
        <v>0</v>
      </c>
      <c r="AJ301" s="518">
        <f t="shared" ref="AJ301:AK301" si="914">SUM(AJ300)</f>
        <v>0</v>
      </c>
      <c r="AK301" s="518">
        <f t="shared" si="914"/>
        <v>0</v>
      </c>
      <c r="AL301" s="413">
        <f t="shared" si="908"/>
        <v>0</v>
      </c>
      <c r="AM301" s="495">
        <f t="shared" si="908"/>
        <v>0</v>
      </c>
      <c r="AN301" s="356">
        <f t="shared" ref="AN301:AP301" si="915">SUM(AN300)</f>
        <v>0</v>
      </c>
      <c r="AO301" s="356">
        <f t="shared" si="915"/>
        <v>0</v>
      </c>
      <c r="AP301" s="343">
        <f t="shared" si="915"/>
        <v>0</v>
      </c>
      <c r="AQ301" s="495">
        <f t="shared" si="908"/>
        <v>0</v>
      </c>
      <c r="AR301" s="356">
        <f t="shared" ref="AR301:AT301" si="916">SUM(AR300)</f>
        <v>0</v>
      </c>
      <c r="AS301" s="356">
        <f t="shared" si="916"/>
        <v>0</v>
      </c>
      <c r="AT301" s="343">
        <f t="shared" si="916"/>
        <v>0</v>
      </c>
      <c r="AU301" s="495">
        <f t="shared" si="908"/>
        <v>0</v>
      </c>
      <c r="AV301" s="356">
        <f t="shared" ref="AV301:AX301" si="917">SUM(AV300)</f>
        <v>0</v>
      </c>
      <c r="AW301" s="356">
        <f t="shared" si="917"/>
        <v>0</v>
      </c>
      <c r="AX301" s="343">
        <f t="shared" si="917"/>
        <v>0</v>
      </c>
      <c r="AY301" s="820"/>
      <c r="AZ301" s="296"/>
      <c r="BA301" s="296"/>
      <c r="BB301" s="296"/>
    </row>
    <row r="302" spans="1:54" ht="12.75" customHeight="1">
      <c r="A302" s="886">
        <f>A300+1</f>
        <v>112</v>
      </c>
      <c r="B302" s="838">
        <v>30</v>
      </c>
      <c r="C302" s="1004" t="s">
        <v>1073</v>
      </c>
      <c r="D302" s="948" t="s">
        <v>1074</v>
      </c>
      <c r="E302" s="1005" t="s">
        <v>1225</v>
      </c>
      <c r="F302" s="1010" t="s">
        <v>1074</v>
      </c>
      <c r="G302" s="1425">
        <f t="shared" ref="G302:J303" si="918">+K302+AI302</f>
        <v>12779</v>
      </c>
      <c r="H302" s="1426">
        <f t="shared" si="918"/>
        <v>11779</v>
      </c>
      <c r="I302" s="1426">
        <f t="shared" si="918"/>
        <v>0</v>
      </c>
      <c r="J302" s="472">
        <f t="shared" si="918"/>
        <v>11779</v>
      </c>
      <c r="K302" s="1425">
        <f t="shared" ref="K302:N303" si="919">+O302+S302+W302+AA302+AE302</f>
        <v>11779</v>
      </c>
      <c r="L302" s="1426">
        <f t="shared" si="919"/>
        <v>11779</v>
      </c>
      <c r="M302" s="1426">
        <f t="shared" si="919"/>
        <v>0</v>
      </c>
      <c r="N302" s="472">
        <f t="shared" si="919"/>
        <v>11779</v>
      </c>
      <c r="O302" s="1017">
        <v>9352</v>
      </c>
      <c r="P302" s="1018">
        <v>9352</v>
      </c>
      <c r="Q302" s="1018"/>
      <c r="R302" s="1019">
        <f t="shared" ref="R302:R303" si="920">+P302+Q302</f>
        <v>9352</v>
      </c>
      <c r="S302" s="1017">
        <v>1371</v>
      </c>
      <c r="T302" s="1018">
        <v>1371</v>
      </c>
      <c r="U302" s="1018"/>
      <c r="V302" s="1019">
        <f t="shared" ref="V302:V303" si="921">+T302+U302</f>
        <v>1371</v>
      </c>
      <c r="W302" s="1017">
        <v>1056</v>
      </c>
      <c r="X302" s="1018">
        <v>1056</v>
      </c>
      <c r="Y302" s="1018"/>
      <c r="Z302" s="1019">
        <f t="shared" ref="Z302:Z303" si="922">+X302+Y302</f>
        <v>1056</v>
      </c>
      <c r="AA302" s="1017"/>
      <c r="AB302" s="1018"/>
      <c r="AC302" s="1018"/>
      <c r="AD302" s="1019">
        <f t="shared" ref="AD302:AD303" si="923">+AB302+AC302</f>
        <v>0</v>
      </c>
      <c r="AE302" s="1017"/>
      <c r="AF302" s="1018"/>
      <c r="AG302" s="1018"/>
      <c r="AH302" s="1019">
        <f t="shared" ref="AH302:AH303" si="924">+AF302+AG302</f>
        <v>0</v>
      </c>
      <c r="AI302" s="1425">
        <f t="shared" ref="AI302:AL303" si="925">+AM302+AQ302+AU302</f>
        <v>1000</v>
      </c>
      <c r="AJ302" s="1426">
        <f t="shared" si="925"/>
        <v>0</v>
      </c>
      <c r="AK302" s="1426">
        <f t="shared" si="925"/>
        <v>0</v>
      </c>
      <c r="AL302" s="472">
        <f t="shared" si="925"/>
        <v>0</v>
      </c>
      <c r="AM302" s="1017">
        <v>1000</v>
      </c>
      <c r="AN302" s="1018">
        <f>1000-1000</f>
        <v>0</v>
      </c>
      <c r="AO302" s="1018"/>
      <c r="AP302" s="1019">
        <f t="shared" ref="AP302:AP303" si="926">+AN302+AO302</f>
        <v>0</v>
      </c>
      <c r="AQ302" s="1017"/>
      <c r="AR302" s="1018"/>
      <c r="AS302" s="1018"/>
      <c r="AT302" s="1019">
        <f t="shared" ref="AT302:AT303" si="927">+AR302+AS302</f>
        <v>0</v>
      </c>
      <c r="AU302" s="1017"/>
      <c r="AV302" s="1018"/>
      <c r="AW302" s="1018"/>
      <c r="AX302" s="1019">
        <f t="shared" ref="AX302:AX303" si="928">+AV302+AW302</f>
        <v>0</v>
      </c>
      <c r="AY302" s="818"/>
      <c r="AZ302" s="493"/>
      <c r="BA302" s="493"/>
      <c r="BB302" s="493"/>
    </row>
    <row r="303" spans="1:54" ht="12.75" customHeight="1" thickBot="1">
      <c r="A303" s="534">
        <f>A302+1</f>
        <v>113</v>
      </c>
      <c r="B303" s="840">
        <v>30</v>
      </c>
      <c r="C303" s="993" t="s">
        <v>1002</v>
      </c>
      <c r="D303" s="525" t="s">
        <v>1003</v>
      </c>
      <c r="E303" s="921" t="s">
        <v>1225</v>
      </c>
      <c r="F303" s="1009" t="s">
        <v>1074</v>
      </c>
      <c r="G303" s="1427">
        <f t="shared" si="918"/>
        <v>8014</v>
      </c>
      <c r="H303" s="1428">
        <f t="shared" si="918"/>
        <v>9038</v>
      </c>
      <c r="I303" s="1428">
        <f t="shared" si="918"/>
        <v>0</v>
      </c>
      <c r="J303" s="421">
        <f t="shared" si="918"/>
        <v>9038</v>
      </c>
      <c r="K303" s="1427">
        <f t="shared" si="919"/>
        <v>8014</v>
      </c>
      <c r="L303" s="1428">
        <f t="shared" si="919"/>
        <v>9038</v>
      </c>
      <c r="M303" s="1428">
        <f t="shared" si="919"/>
        <v>0</v>
      </c>
      <c r="N303" s="421">
        <f t="shared" si="919"/>
        <v>9038</v>
      </c>
      <c r="O303" s="491"/>
      <c r="P303" s="490"/>
      <c r="Q303" s="490"/>
      <c r="R303" s="440">
        <f t="shared" si="920"/>
        <v>0</v>
      </c>
      <c r="S303" s="491"/>
      <c r="T303" s="490"/>
      <c r="U303" s="490"/>
      <c r="V303" s="440">
        <f t="shared" si="921"/>
        <v>0</v>
      </c>
      <c r="W303" s="491"/>
      <c r="X303" s="490"/>
      <c r="Y303" s="490"/>
      <c r="Z303" s="440">
        <f t="shared" si="922"/>
        <v>0</v>
      </c>
      <c r="AA303" s="491"/>
      <c r="AB303" s="490"/>
      <c r="AC303" s="490"/>
      <c r="AD303" s="440">
        <f t="shared" si="923"/>
        <v>0</v>
      </c>
      <c r="AE303" s="491">
        <v>8014</v>
      </c>
      <c r="AF303" s="490">
        <f>8014+1000+24</f>
        <v>9038</v>
      </c>
      <c r="AG303" s="490"/>
      <c r="AH303" s="440">
        <f t="shared" si="924"/>
        <v>9038</v>
      </c>
      <c r="AI303" s="1427">
        <f t="shared" si="925"/>
        <v>0</v>
      </c>
      <c r="AJ303" s="1428">
        <f t="shared" si="925"/>
        <v>0</v>
      </c>
      <c r="AK303" s="1428">
        <f t="shared" si="925"/>
        <v>0</v>
      </c>
      <c r="AL303" s="421">
        <f t="shared" si="925"/>
        <v>0</v>
      </c>
      <c r="AM303" s="491"/>
      <c r="AN303" s="490"/>
      <c r="AO303" s="490"/>
      <c r="AP303" s="440">
        <f t="shared" si="926"/>
        <v>0</v>
      </c>
      <c r="AQ303" s="491"/>
      <c r="AR303" s="490"/>
      <c r="AS303" s="490"/>
      <c r="AT303" s="440">
        <f t="shared" si="927"/>
        <v>0</v>
      </c>
      <c r="AU303" s="491"/>
      <c r="AV303" s="490"/>
      <c r="AW303" s="490"/>
      <c r="AX303" s="440">
        <f t="shared" si="928"/>
        <v>0</v>
      </c>
      <c r="AY303" s="818"/>
      <c r="AZ303" s="493"/>
      <c r="BA303" s="493"/>
      <c r="BB303" s="493"/>
    </row>
    <row r="304" spans="1:54" s="481" customFormat="1" ht="12.75" customHeight="1" thickBot="1">
      <c r="A304" s="528" t="s">
        <v>886</v>
      </c>
      <c r="B304" s="835"/>
      <c r="C304" s="1558" t="s">
        <v>861</v>
      </c>
      <c r="D304" s="1559"/>
      <c r="E304" s="1559"/>
      <c r="F304" s="1560"/>
      <c r="G304" s="517">
        <f>SUM(G302:G303)</f>
        <v>20793</v>
      </c>
      <c r="H304" s="518">
        <f>SUM(H302:H303)</f>
        <v>20817</v>
      </c>
      <c r="I304" s="518">
        <f>SUM(I302:I303)</f>
        <v>0</v>
      </c>
      <c r="J304" s="413">
        <f>SUM(J302:J303)</f>
        <v>20817</v>
      </c>
      <c r="K304" s="517">
        <f t="shared" ref="K304" si="929">SUM(K302:K303)</f>
        <v>19793</v>
      </c>
      <c r="L304" s="518">
        <f t="shared" ref="L304:M304" si="930">SUM(L302:L303)</f>
        <v>20817</v>
      </c>
      <c r="M304" s="518">
        <f t="shared" si="930"/>
        <v>0</v>
      </c>
      <c r="N304" s="413">
        <f t="shared" ref="N304:AU304" si="931">SUM(N302:N303)</f>
        <v>20817</v>
      </c>
      <c r="O304" s="495">
        <f t="shared" si="931"/>
        <v>9352</v>
      </c>
      <c r="P304" s="356">
        <f t="shared" ref="P304" si="932">SUM(P302:P303)</f>
        <v>9352</v>
      </c>
      <c r="Q304" s="356">
        <f t="shared" ref="Q304:R304" si="933">SUM(Q302:Q303)</f>
        <v>0</v>
      </c>
      <c r="R304" s="343">
        <f t="shared" si="933"/>
        <v>9352</v>
      </c>
      <c r="S304" s="495">
        <f t="shared" si="931"/>
        <v>1371</v>
      </c>
      <c r="T304" s="356">
        <f t="shared" ref="T304" si="934">SUM(T302:T303)</f>
        <v>1371</v>
      </c>
      <c r="U304" s="356">
        <f t="shared" ref="U304:V304" si="935">SUM(U302:U303)</f>
        <v>0</v>
      </c>
      <c r="V304" s="343">
        <f t="shared" si="935"/>
        <v>1371</v>
      </c>
      <c r="W304" s="495">
        <f t="shared" si="931"/>
        <v>1056</v>
      </c>
      <c r="X304" s="356">
        <f t="shared" ref="X304" si="936">SUM(X302:X303)</f>
        <v>1056</v>
      </c>
      <c r="Y304" s="356">
        <f t="shared" ref="Y304:Z304" si="937">SUM(Y302:Y303)</f>
        <v>0</v>
      </c>
      <c r="Z304" s="343">
        <f t="shared" si="937"/>
        <v>1056</v>
      </c>
      <c r="AA304" s="495">
        <f t="shared" si="931"/>
        <v>0</v>
      </c>
      <c r="AB304" s="356">
        <f t="shared" ref="AB304" si="938">SUM(AB302:AB303)</f>
        <v>0</v>
      </c>
      <c r="AC304" s="356">
        <f t="shared" ref="AC304:AD304" si="939">SUM(AC302:AC303)</f>
        <v>0</v>
      </c>
      <c r="AD304" s="343">
        <f t="shared" si="939"/>
        <v>0</v>
      </c>
      <c r="AE304" s="495">
        <f t="shared" si="931"/>
        <v>8014</v>
      </c>
      <c r="AF304" s="356">
        <f t="shared" ref="AF304" si="940">SUM(AF302:AF303)</f>
        <v>9038</v>
      </c>
      <c r="AG304" s="356">
        <f t="shared" ref="AG304:AH304" si="941">SUM(AG302:AG303)</f>
        <v>0</v>
      </c>
      <c r="AH304" s="343">
        <f t="shared" si="941"/>
        <v>9038</v>
      </c>
      <c r="AI304" s="517">
        <f t="shared" si="931"/>
        <v>1000</v>
      </c>
      <c r="AJ304" s="518">
        <f t="shared" ref="AJ304:AK304" si="942">SUM(AJ302:AJ303)</f>
        <v>0</v>
      </c>
      <c r="AK304" s="518">
        <f t="shared" si="942"/>
        <v>0</v>
      </c>
      <c r="AL304" s="413">
        <f t="shared" si="931"/>
        <v>0</v>
      </c>
      <c r="AM304" s="495">
        <f t="shared" si="931"/>
        <v>1000</v>
      </c>
      <c r="AN304" s="356">
        <f t="shared" ref="AN304" si="943">SUM(AN302:AN303)</f>
        <v>0</v>
      </c>
      <c r="AO304" s="356">
        <f t="shared" ref="AO304:AP304" si="944">SUM(AO302:AO303)</f>
        <v>0</v>
      </c>
      <c r="AP304" s="343">
        <f t="shared" si="944"/>
        <v>0</v>
      </c>
      <c r="AQ304" s="495">
        <f t="shared" si="931"/>
        <v>0</v>
      </c>
      <c r="AR304" s="356">
        <f t="shared" ref="AR304" si="945">SUM(AR302:AR303)</f>
        <v>0</v>
      </c>
      <c r="AS304" s="356">
        <f t="shared" ref="AS304:AT304" si="946">SUM(AS302:AS303)</f>
        <v>0</v>
      </c>
      <c r="AT304" s="343">
        <f t="shared" si="946"/>
        <v>0</v>
      </c>
      <c r="AU304" s="495">
        <f t="shared" si="931"/>
        <v>0</v>
      </c>
      <c r="AV304" s="356">
        <f t="shared" ref="AV304" si="947">SUM(AV302:AV303)</f>
        <v>0</v>
      </c>
      <c r="AW304" s="356">
        <f t="shared" ref="AW304:AX304" si="948">SUM(AW302:AW303)</f>
        <v>0</v>
      </c>
      <c r="AX304" s="343">
        <f t="shared" si="948"/>
        <v>0</v>
      </c>
      <c r="AY304" s="820"/>
    </row>
    <row r="305" spans="1:54" ht="12.75" customHeight="1" thickBot="1">
      <c r="A305" s="534">
        <f>+A303+1</f>
        <v>114</v>
      </c>
      <c r="B305" s="840">
        <v>31</v>
      </c>
      <c r="C305" s="926" t="s">
        <v>19</v>
      </c>
      <c r="D305" s="525" t="s">
        <v>19</v>
      </c>
      <c r="E305" s="921" t="s">
        <v>19</v>
      </c>
      <c r="F305" s="1009" t="s">
        <v>19</v>
      </c>
      <c r="G305" s="1427">
        <f>+K305+AI305</f>
        <v>0</v>
      </c>
      <c r="H305" s="1428">
        <f>+L305+AJ305</f>
        <v>0</v>
      </c>
      <c r="I305" s="1428">
        <f>+M305+AK305</f>
        <v>0</v>
      </c>
      <c r="J305" s="421">
        <f>+N305+AL305</f>
        <v>0</v>
      </c>
      <c r="K305" s="1427">
        <f>+O305+S305+W305+AA305+AE305</f>
        <v>0</v>
      </c>
      <c r="L305" s="1428">
        <f>+P305+T305+X305+AB305+AF305</f>
        <v>0</v>
      </c>
      <c r="M305" s="1428">
        <f>+Q305+U305+Y305+AC305+AG305</f>
        <v>0</v>
      </c>
      <c r="N305" s="421">
        <f>+R305+V305+Z305+AD305+AH305</f>
        <v>0</v>
      </c>
      <c r="O305" s="491"/>
      <c r="P305" s="490"/>
      <c r="Q305" s="490"/>
      <c r="R305" s="1013">
        <f t="shared" ref="R305" si="949">+P305+Q305</f>
        <v>0</v>
      </c>
      <c r="S305" s="491"/>
      <c r="T305" s="490"/>
      <c r="U305" s="490"/>
      <c r="V305" s="1013">
        <f t="shared" ref="V305" si="950">+T305+U305</f>
        <v>0</v>
      </c>
      <c r="W305" s="491"/>
      <c r="X305" s="490"/>
      <c r="Y305" s="490"/>
      <c r="Z305" s="1013">
        <f t="shared" ref="Z305" si="951">+X305+Y305</f>
        <v>0</v>
      </c>
      <c r="AA305" s="491"/>
      <c r="AB305" s="490"/>
      <c r="AC305" s="490"/>
      <c r="AD305" s="1013">
        <f t="shared" ref="AD305" si="952">+AB305+AC305</f>
        <v>0</v>
      </c>
      <c r="AE305" s="491"/>
      <c r="AF305" s="490"/>
      <c r="AG305" s="490"/>
      <c r="AH305" s="1013">
        <f t="shared" ref="AH305" si="953">+AF305+AG305</f>
        <v>0</v>
      </c>
      <c r="AI305" s="1427">
        <f>+AM305+AQ305+AU305</f>
        <v>0</v>
      </c>
      <c r="AJ305" s="1428">
        <f>+AN305+AR305+AV305</f>
        <v>0</v>
      </c>
      <c r="AK305" s="1428">
        <f>+AO305+AS305+AW305</f>
        <v>0</v>
      </c>
      <c r="AL305" s="421">
        <f>+AP305+AT305+AX305</f>
        <v>0</v>
      </c>
      <c r="AM305" s="491"/>
      <c r="AN305" s="490"/>
      <c r="AO305" s="490"/>
      <c r="AP305" s="1013">
        <f t="shared" ref="AP305" si="954">+AN305+AO305</f>
        <v>0</v>
      </c>
      <c r="AQ305" s="491"/>
      <c r="AR305" s="490"/>
      <c r="AS305" s="490"/>
      <c r="AT305" s="1013">
        <f t="shared" ref="AT305" si="955">+AR305+AS305</f>
        <v>0</v>
      </c>
      <c r="AU305" s="491"/>
      <c r="AV305" s="490"/>
      <c r="AW305" s="490"/>
      <c r="AX305" s="1013">
        <f t="shared" ref="AX305" si="956">+AV305+AW305</f>
        <v>0</v>
      </c>
      <c r="AY305" s="818"/>
      <c r="AZ305" s="493"/>
      <c r="BA305" s="493"/>
      <c r="BB305" s="493"/>
    </row>
    <row r="306" spans="1:54" s="481" customFormat="1" ht="12.75" customHeight="1" thickBot="1">
      <c r="A306" s="528" t="s">
        <v>887</v>
      </c>
      <c r="B306" s="835"/>
      <c r="C306" s="1558" t="s">
        <v>888</v>
      </c>
      <c r="D306" s="1559"/>
      <c r="E306" s="1559"/>
      <c r="F306" s="1560"/>
      <c r="G306" s="517">
        <f>SUM(G305)</f>
        <v>0</v>
      </c>
      <c r="H306" s="518">
        <f>SUM(H305)</f>
        <v>0</v>
      </c>
      <c r="I306" s="518">
        <f>SUM(I305)</f>
        <v>0</v>
      </c>
      <c r="J306" s="413">
        <f>SUM(J305)</f>
        <v>0</v>
      </c>
      <c r="K306" s="517">
        <f t="shared" ref="K306" si="957">SUM(K305)</f>
        <v>0</v>
      </c>
      <c r="L306" s="518">
        <f t="shared" ref="L306:M306" si="958">SUM(L305)</f>
        <v>0</v>
      </c>
      <c r="M306" s="518">
        <f t="shared" si="958"/>
        <v>0</v>
      </c>
      <c r="N306" s="413">
        <f t="shared" ref="N306:AU306" si="959">SUM(N305)</f>
        <v>0</v>
      </c>
      <c r="O306" s="495">
        <f t="shared" si="959"/>
        <v>0</v>
      </c>
      <c r="P306" s="356">
        <f t="shared" ref="P306:R306" si="960">SUM(P305)</f>
        <v>0</v>
      </c>
      <c r="Q306" s="356">
        <f t="shared" si="960"/>
        <v>0</v>
      </c>
      <c r="R306" s="343">
        <f t="shared" si="960"/>
        <v>0</v>
      </c>
      <c r="S306" s="495">
        <f t="shared" si="959"/>
        <v>0</v>
      </c>
      <c r="T306" s="356">
        <f t="shared" ref="T306:V306" si="961">SUM(T305)</f>
        <v>0</v>
      </c>
      <c r="U306" s="356">
        <f t="shared" si="961"/>
        <v>0</v>
      </c>
      <c r="V306" s="343">
        <f t="shared" si="961"/>
        <v>0</v>
      </c>
      <c r="W306" s="495">
        <f t="shared" si="959"/>
        <v>0</v>
      </c>
      <c r="X306" s="356">
        <f t="shared" ref="X306:Z306" si="962">SUM(X305)</f>
        <v>0</v>
      </c>
      <c r="Y306" s="356">
        <f t="shared" si="962"/>
        <v>0</v>
      </c>
      <c r="Z306" s="343">
        <f t="shared" si="962"/>
        <v>0</v>
      </c>
      <c r="AA306" s="495">
        <f t="shared" si="959"/>
        <v>0</v>
      </c>
      <c r="AB306" s="356">
        <f t="shared" ref="AB306:AD306" si="963">SUM(AB305)</f>
        <v>0</v>
      </c>
      <c r="AC306" s="356">
        <f t="shared" si="963"/>
        <v>0</v>
      </c>
      <c r="AD306" s="343">
        <f t="shared" si="963"/>
        <v>0</v>
      </c>
      <c r="AE306" s="495">
        <f t="shared" si="959"/>
        <v>0</v>
      </c>
      <c r="AF306" s="356">
        <f t="shared" ref="AF306:AH306" si="964">SUM(AF305)</f>
        <v>0</v>
      </c>
      <c r="AG306" s="356">
        <f t="shared" si="964"/>
        <v>0</v>
      </c>
      <c r="AH306" s="343">
        <f t="shared" si="964"/>
        <v>0</v>
      </c>
      <c r="AI306" s="517">
        <f t="shared" si="959"/>
        <v>0</v>
      </c>
      <c r="AJ306" s="518">
        <f t="shared" ref="AJ306:AK306" si="965">SUM(AJ305)</f>
        <v>0</v>
      </c>
      <c r="AK306" s="518">
        <f t="shared" si="965"/>
        <v>0</v>
      </c>
      <c r="AL306" s="413">
        <f t="shared" si="959"/>
        <v>0</v>
      </c>
      <c r="AM306" s="495">
        <f t="shared" si="959"/>
        <v>0</v>
      </c>
      <c r="AN306" s="356">
        <f t="shared" ref="AN306:AP306" si="966">SUM(AN305)</f>
        <v>0</v>
      </c>
      <c r="AO306" s="356">
        <f t="shared" si="966"/>
        <v>0</v>
      </c>
      <c r="AP306" s="343">
        <f t="shared" si="966"/>
        <v>0</v>
      </c>
      <c r="AQ306" s="495">
        <f t="shared" si="959"/>
        <v>0</v>
      </c>
      <c r="AR306" s="356">
        <f t="shared" ref="AR306:AT306" si="967">SUM(AR305)</f>
        <v>0</v>
      </c>
      <c r="AS306" s="356">
        <f t="shared" si="967"/>
        <v>0</v>
      </c>
      <c r="AT306" s="343">
        <f t="shared" si="967"/>
        <v>0</v>
      </c>
      <c r="AU306" s="495">
        <f t="shared" si="959"/>
        <v>0</v>
      </c>
      <c r="AV306" s="356">
        <f t="shared" ref="AV306:AX306" si="968">SUM(AV305)</f>
        <v>0</v>
      </c>
      <c r="AW306" s="356">
        <f t="shared" si="968"/>
        <v>0</v>
      </c>
      <c r="AX306" s="343">
        <f t="shared" si="968"/>
        <v>0</v>
      </c>
      <c r="AY306" s="820"/>
    </row>
    <row r="307" spans="1:54" s="493" customFormat="1" ht="12.75" customHeight="1" thickBot="1">
      <c r="A307" s="529" t="s">
        <v>552</v>
      </c>
      <c r="B307" s="836"/>
      <c r="C307" s="1552" t="s">
        <v>862</v>
      </c>
      <c r="D307" s="1553"/>
      <c r="E307" s="1553"/>
      <c r="F307" s="1554"/>
      <c r="G307" s="497">
        <f>+G301+G304+G306</f>
        <v>20793</v>
      </c>
      <c r="H307" s="498">
        <f>+H301+H304+H306</f>
        <v>20817</v>
      </c>
      <c r="I307" s="498">
        <f>+I301+I304+I306</f>
        <v>0</v>
      </c>
      <c r="J307" s="499">
        <f>+J301+J304+J306</f>
        <v>20817</v>
      </c>
      <c r="K307" s="497">
        <f t="shared" ref="K307" si="969">+K301+K304+K306</f>
        <v>19793</v>
      </c>
      <c r="L307" s="498">
        <f t="shared" ref="L307:M307" si="970">+L301+L304+L306</f>
        <v>20817</v>
      </c>
      <c r="M307" s="498">
        <f t="shared" si="970"/>
        <v>0</v>
      </c>
      <c r="N307" s="499">
        <f t="shared" ref="N307:AU307" si="971">+N301+N304+N306</f>
        <v>20817</v>
      </c>
      <c r="O307" s="497">
        <f t="shared" si="971"/>
        <v>9352</v>
      </c>
      <c r="P307" s="498">
        <f t="shared" ref="P307:R307" si="972">+P301+P304+P306</f>
        <v>9352</v>
      </c>
      <c r="Q307" s="510">
        <f t="shared" si="972"/>
        <v>0</v>
      </c>
      <c r="R307" s="511">
        <f t="shared" si="972"/>
        <v>9352</v>
      </c>
      <c r="S307" s="497">
        <f t="shared" si="971"/>
        <v>1371</v>
      </c>
      <c r="T307" s="498">
        <f t="shared" ref="T307:V307" si="973">+T301+T304+T306</f>
        <v>1371</v>
      </c>
      <c r="U307" s="510">
        <f t="shared" si="973"/>
        <v>0</v>
      </c>
      <c r="V307" s="511">
        <f t="shared" si="973"/>
        <v>1371</v>
      </c>
      <c r="W307" s="497">
        <f t="shared" si="971"/>
        <v>1056</v>
      </c>
      <c r="X307" s="498">
        <f t="shared" ref="X307:Z307" si="974">+X301+X304+X306</f>
        <v>1056</v>
      </c>
      <c r="Y307" s="510">
        <f t="shared" si="974"/>
        <v>0</v>
      </c>
      <c r="Z307" s="511">
        <f t="shared" si="974"/>
        <v>1056</v>
      </c>
      <c r="AA307" s="497">
        <f t="shared" si="971"/>
        <v>0</v>
      </c>
      <c r="AB307" s="498">
        <f t="shared" ref="AB307:AD307" si="975">+AB301+AB304+AB306</f>
        <v>0</v>
      </c>
      <c r="AC307" s="510">
        <f t="shared" si="975"/>
        <v>0</v>
      </c>
      <c r="AD307" s="511">
        <f t="shared" si="975"/>
        <v>0</v>
      </c>
      <c r="AE307" s="497">
        <f t="shared" si="971"/>
        <v>8014</v>
      </c>
      <c r="AF307" s="498">
        <f t="shared" ref="AF307:AH307" si="976">+AF301+AF304+AF306</f>
        <v>9038</v>
      </c>
      <c r="AG307" s="510">
        <f t="shared" si="976"/>
        <v>0</v>
      </c>
      <c r="AH307" s="511">
        <f t="shared" si="976"/>
        <v>9038</v>
      </c>
      <c r="AI307" s="497">
        <f t="shared" si="971"/>
        <v>1000</v>
      </c>
      <c r="AJ307" s="498">
        <f t="shared" ref="AJ307:AK307" si="977">+AJ301+AJ304+AJ306</f>
        <v>0</v>
      </c>
      <c r="AK307" s="498">
        <f t="shared" si="977"/>
        <v>0</v>
      </c>
      <c r="AL307" s="499">
        <f t="shared" si="971"/>
        <v>0</v>
      </c>
      <c r="AM307" s="497">
        <f t="shared" si="971"/>
        <v>1000</v>
      </c>
      <c r="AN307" s="498">
        <f t="shared" ref="AN307:AP307" si="978">+AN301+AN304+AN306</f>
        <v>0</v>
      </c>
      <c r="AO307" s="510">
        <f t="shared" si="978"/>
        <v>0</v>
      </c>
      <c r="AP307" s="511">
        <f t="shared" si="978"/>
        <v>0</v>
      </c>
      <c r="AQ307" s="497">
        <f t="shared" si="971"/>
        <v>0</v>
      </c>
      <c r="AR307" s="498">
        <f t="shared" ref="AR307:AT307" si="979">+AR301+AR304+AR306</f>
        <v>0</v>
      </c>
      <c r="AS307" s="510">
        <f t="shared" si="979"/>
        <v>0</v>
      </c>
      <c r="AT307" s="511">
        <f t="shared" si="979"/>
        <v>0</v>
      </c>
      <c r="AU307" s="497">
        <f t="shared" si="971"/>
        <v>0</v>
      </c>
      <c r="AV307" s="498">
        <f t="shared" ref="AV307:AX307" si="980">+AV301+AV304+AV306</f>
        <v>0</v>
      </c>
      <c r="AW307" s="510">
        <f t="shared" si="980"/>
        <v>0</v>
      </c>
      <c r="AX307" s="511">
        <f t="shared" si="980"/>
        <v>0</v>
      </c>
      <c r="AY307" s="812"/>
      <c r="AZ307" s="481"/>
      <c r="BA307" s="481"/>
      <c r="BB307" s="481"/>
    </row>
    <row r="308" spans="1:54" s="481" customFormat="1" ht="12.75" thickBot="1">
      <c r="A308" s="528"/>
      <c r="B308" s="839"/>
      <c r="C308" s="925"/>
      <c r="D308" s="527"/>
      <c r="E308" s="920"/>
      <c r="F308" s="494"/>
      <c r="G308" s="517"/>
      <c r="H308" s="518"/>
      <c r="I308" s="518"/>
      <c r="J308" s="413"/>
      <c r="K308" s="517"/>
      <c r="L308" s="518"/>
      <c r="M308" s="518"/>
      <c r="N308" s="413"/>
      <c r="O308" s="506"/>
      <c r="P308" s="507"/>
      <c r="Q308" s="356"/>
      <c r="R308" s="343"/>
      <c r="S308" s="506"/>
      <c r="T308" s="507"/>
      <c r="U308" s="356"/>
      <c r="V308" s="343"/>
      <c r="W308" s="506"/>
      <c r="X308" s="507"/>
      <c r="Y308" s="356"/>
      <c r="Z308" s="343"/>
      <c r="AA308" s="506"/>
      <c r="AB308" s="507"/>
      <c r="AC308" s="356"/>
      <c r="AD308" s="343"/>
      <c r="AE308" s="506"/>
      <c r="AF308" s="507"/>
      <c r="AG308" s="356"/>
      <c r="AH308" s="343"/>
      <c r="AI308" s="517"/>
      <c r="AJ308" s="518"/>
      <c r="AK308" s="518"/>
      <c r="AL308" s="413"/>
      <c r="AM308" s="506"/>
      <c r="AN308" s="507"/>
      <c r="AO308" s="356"/>
      <c r="AP308" s="343"/>
      <c r="AQ308" s="506"/>
      <c r="AR308" s="507"/>
      <c r="AS308" s="356"/>
      <c r="AT308" s="343"/>
      <c r="AU308" s="506"/>
      <c r="AV308" s="507"/>
      <c r="AW308" s="356"/>
      <c r="AX308" s="343"/>
      <c r="AY308" s="484"/>
      <c r="AZ308" s="296"/>
      <c r="BA308" s="296"/>
      <c r="BB308" s="296"/>
    </row>
    <row r="309" spans="1:54">
      <c r="A309" s="532">
        <f>+A305+1</f>
        <v>115</v>
      </c>
      <c r="B309" s="832">
        <v>32</v>
      </c>
      <c r="C309" s="993" t="s">
        <v>1023</v>
      </c>
      <c r="D309" s="944" t="s">
        <v>1024</v>
      </c>
      <c r="E309" s="994" t="s">
        <v>1245</v>
      </c>
      <c r="F309" s="1007" t="s">
        <v>1025</v>
      </c>
      <c r="G309" s="1421">
        <f t="shared" ref="G309:J313" si="981">+K309+AI309</f>
        <v>0</v>
      </c>
      <c r="H309" s="1422">
        <f t="shared" si="981"/>
        <v>0</v>
      </c>
      <c r="I309" s="1422">
        <f t="shared" si="981"/>
        <v>0</v>
      </c>
      <c r="J309" s="489">
        <f t="shared" si="981"/>
        <v>0</v>
      </c>
      <c r="K309" s="1421">
        <f t="shared" ref="K309:N313" si="982">+O309+S309+W309+AA309+AE309</f>
        <v>0</v>
      </c>
      <c r="L309" s="1422">
        <f t="shared" si="982"/>
        <v>0</v>
      </c>
      <c r="M309" s="1422">
        <f t="shared" si="982"/>
        <v>0</v>
      </c>
      <c r="N309" s="489">
        <f t="shared" si="982"/>
        <v>0</v>
      </c>
      <c r="O309" s="1011"/>
      <c r="P309" s="1012"/>
      <c r="Q309" s="1012"/>
      <c r="R309" s="1013">
        <f t="shared" ref="R309:R313" si="983">+P309+Q309</f>
        <v>0</v>
      </c>
      <c r="S309" s="1011"/>
      <c r="T309" s="1012"/>
      <c r="U309" s="1012"/>
      <c r="V309" s="1013">
        <f t="shared" ref="V309:V313" si="984">+T309+U309</f>
        <v>0</v>
      </c>
      <c r="W309" s="1011"/>
      <c r="X309" s="1012"/>
      <c r="Y309" s="1012"/>
      <c r="Z309" s="1013">
        <f t="shared" ref="Z309:Z313" si="985">+X309+Y309</f>
        <v>0</v>
      </c>
      <c r="AA309" s="1011"/>
      <c r="AB309" s="1012"/>
      <c r="AC309" s="1012"/>
      <c r="AD309" s="1013">
        <f t="shared" ref="AD309:AD313" si="986">+AB309+AC309</f>
        <v>0</v>
      </c>
      <c r="AE309" s="1011"/>
      <c r="AF309" s="1012"/>
      <c r="AG309" s="1012"/>
      <c r="AH309" s="1013">
        <f t="shared" ref="AH309:AH313" si="987">+AF309+AG309</f>
        <v>0</v>
      </c>
      <c r="AI309" s="1421">
        <f t="shared" ref="AI309:AL313" si="988">+AM309+AQ309+AU309</f>
        <v>0</v>
      </c>
      <c r="AJ309" s="1422">
        <f t="shared" si="988"/>
        <v>0</v>
      </c>
      <c r="AK309" s="1422">
        <f t="shared" si="988"/>
        <v>0</v>
      </c>
      <c r="AL309" s="489">
        <f t="shared" si="988"/>
        <v>0</v>
      </c>
      <c r="AM309" s="1011"/>
      <c r="AN309" s="1012"/>
      <c r="AO309" s="1012"/>
      <c r="AP309" s="1013">
        <f t="shared" ref="AP309:AP313" si="989">+AN309+AO309</f>
        <v>0</v>
      </c>
      <c r="AQ309" s="1011"/>
      <c r="AR309" s="1012"/>
      <c r="AS309" s="1012"/>
      <c r="AT309" s="1013">
        <f t="shared" ref="AT309:AT313" si="990">+AR309+AS309</f>
        <v>0</v>
      </c>
      <c r="AU309" s="1011"/>
      <c r="AV309" s="1012"/>
      <c r="AW309" s="1012"/>
      <c r="AX309" s="1013">
        <f t="shared" ref="AX309:AX313" si="991">+AV309+AW309</f>
        <v>0</v>
      </c>
      <c r="AY309" s="818"/>
    </row>
    <row r="310" spans="1:54">
      <c r="A310" s="532">
        <f>+A309+1</f>
        <v>116</v>
      </c>
      <c r="B310" s="832">
        <v>32</v>
      </c>
      <c r="C310" s="993" t="s">
        <v>1023</v>
      </c>
      <c r="D310" s="944" t="s">
        <v>1024</v>
      </c>
      <c r="E310" s="994" t="s">
        <v>1246</v>
      </c>
      <c r="F310" s="1007" t="s">
        <v>1026</v>
      </c>
      <c r="G310" s="1421">
        <f t="shared" si="981"/>
        <v>44718</v>
      </c>
      <c r="H310" s="1422">
        <f t="shared" si="981"/>
        <v>56799</v>
      </c>
      <c r="I310" s="1422">
        <f t="shared" si="981"/>
        <v>17663</v>
      </c>
      <c r="J310" s="489">
        <f t="shared" si="981"/>
        <v>74462</v>
      </c>
      <c r="K310" s="1421">
        <f t="shared" si="982"/>
        <v>44718</v>
      </c>
      <c r="L310" s="1422">
        <f t="shared" si="982"/>
        <v>56799</v>
      </c>
      <c r="M310" s="1422">
        <f t="shared" si="982"/>
        <v>5065</v>
      </c>
      <c r="N310" s="489">
        <f t="shared" si="982"/>
        <v>61864</v>
      </c>
      <c r="O310" s="1011">
        <v>35576</v>
      </c>
      <c r="P310" s="1012">
        <f>(35576+(5905+77))+(4320+31)</f>
        <v>45909</v>
      </c>
      <c r="Q310" s="1012">
        <f>31+4354</f>
        <v>4385</v>
      </c>
      <c r="R310" s="1013">
        <f t="shared" si="983"/>
        <v>50294</v>
      </c>
      <c r="S310" s="1014">
        <v>6230</v>
      </c>
      <c r="T310" s="1015">
        <f>(6230+(1033+13))+(697+5)</f>
        <v>7978</v>
      </c>
      <c r="U310" s="1012">
        <f>5+675</f>
        <v>680</v>
      </c>
      <c r="V310" s="1013">
        <f t="shared" si="984"/>
        <v>8658</v>
      </c>
      <c r="W310" s="1014">
        <v>2912</v>
      </c>
      <c r="X310" s="1015">
        <v>2912</v>
      </c>
      <c r="Y310" s="1012"/>
      <c r="Z310" s="1013">
        <f t="shared" si="985"/>
        <v>2912</v>
      </c>
      <c r="AA310" s="1014"/>
      <c r="AB310" s="1015"/>
      <c r="AC310" s="1012"/>
      <c r="AD310" s="1013">
        <f t="shared" si="986"/>
        <v>0</v>
      </c>
      <c r="AE310" s="1014"/>
      <c r="AF310" s="1015"/>
      <c r="AG310" s="1012"/>
      <c r="AH310" s="1013">
        <f t="shared" si="987"/>
        <v>0</v>
      </c>
      <c r="AI310" s="1421">
        <f t="shared" si="988"/>
        <v>0</v>
      </c>
      <c r="AJ310" s="1422">
        <f t="shared" si="988"/>
        <v>0</v>
      </c>
      <c r="AK310" s="1422">
        <f t="shared" si="988"/>
        <v>12598</v>
      </c>
      <c r="AL310" s="489">
        <f t="shared" si="988"/>
        <v>12598</v>
      </c>
      <c r="AM310" s="1014"/>
      <c r="AN310" s="1015"/>
      <c r="AO310" s="1012">
        <v>12598</v>
      </c>
      <c r="AP310" s="1013">
        <f t="shared" si="989"/>
        <v>12598</v>
      </c>
      <c r="AQ310" s="1014"/>
      <c r="AR310" s="1015"/>
      <c r="AS310" s="1012"/>
      <c r="AT310" s="1013">
        <f t="shared" si="990"/>
        <v>0</v>
      </c>
      <c r="AU310" s="1014"/>
      <c r="AV310" s="1015"/>
      <c r="AW310" s="1012"/>
      <c r="AX310" s="1013">
        <f t="shared" si="991"/>
        <v>0</v>
      </c>
      <c r="AY310" s="818"/>
    </row>
    <row r="311" spans="1:54">
      <c r="A311" s="532">
        <f>+A310+1</f>
        <v>117</v>
      </c>
      <c r="B311" s="832">
        <v>32</v>
      </c>
      <c r="C311" s="993" t="s">
        <v>1028</v>
      </c>
      <c r="D311" s="944" t="s">
        <v>1027</v>
      </c>
      <c r="E311" s="994" t="s">
        <v>1245</v>
      </c>
      <c r="F311" s="1007" t="s">
        <v>1025</v>
      </c>
      <c r="G311" s="1421">
        <f t="shared" si="981"/>
        <v>38882</v>
      </c>
      <c r="H311" s="1422">
        <f t="shared" si="981"/>
        <v>38882</v>
      </c>
      <c r="I311" s="1422">
        <f t="shared" si="981"/>
        <v>0</v>
      </c>
      <c r="J311" s="489">
        <f t="shared" si="981"/>
        <v>38882</v>
      </c>
      <c r="K311" s="1421">
        <f t="shared" si="982"/>
        <v>38882</v>
      </c>
      <c r="L311" s="1422">
        <f t="shared" si="982"/>
        <v>38882</v>
      </c>
      <c r="M311" s="1422">
        <f t="shared" si="982"/>
        <v>0</v>
      </c>
      <c r="N311" s="489">
        <f t="shared" si="982"/>
        <v>38882</v>
      </c>
      <c r="O311" s="1011">
        <v>25963</v>
      </c>
      <c r="P311" s="1012">
        <v>25963</v>
      </c>
      <c r="Q311" s="1012"/>
      <c r="R311" s="1013">
        <f t="shared" si="983"/>
        <v>25963</v>
      </c>
      <c r="S311" s="1014">
        <v>4593</v>
      </c>
      <c r="T311" s="1015">
        <v>4593</v>
      </c>
      <c r="U311" s="1012"/>
      <c r="V311" s="1013">
        <f t="shared" si="984"/>
        <v>4593</v>
      </c>
      <c r="W311" s="1014">
        <v>8326</v>
      </c>
      <c r="X311" s="1015">
        <v>8326</v>
      </c>
      <c r="Y311" s="1012"/>
      <c r="Z311" s="1013">
        <f t="shared" si="985"/>
        <v>8326</v>
      </c>
      <c r="AA311" s="1014"/>
      <c r="AB311" s="1015"/>
      <c r="AC311" s="1012"/>
      <c r="AD311" s="1013">
        <f t="shared" si="986"/>
        <v>0</v>
      </c>
      <c r="AE311" s="1014"/>
      <c r="AF311" s="1015"/>
      <c r="AG311" s="1012"/>
      <c r="AH311" s="1013">
        <f t="shared" si="987"/>
        <v>0</v>
      </c>
      <c r="AI311" s="1421">
        <f t="shared" si="988"/>
        <v>0</v>
      </c>
      <c r="AJ311" s="1422">
        <f t="shared" si="988"/>
        <v>0</v>
      </c>
      <c r="AK311" s="1422">
        <f t="shared" si="988"/>
        <v>0</v>
      </c>
      <c r="AL311" s="489">
        <f t="shared" si="988"/>
        <v>0</v>
      </c>
      <c r="AM311" s="1014"/>
      <c r="AN311" s="1015"/>
      <c r="AO311" s="1012"/>
      <c r="AP311" s="1013">
        <f t="shared" si="989"/>
        <v>0</v>
      </c>
      <c r="AQ311" s="1014"/>
      <c r="AR311" s="1015"/>
      <c r="AS311" s="1012"/>
      <c r="AT311" s="1013">
        <f t="shared" si="990"/>
        <v>0</v>
      </c>
      <c r="AU311" s="1014"/>
      <c r="AV311" s="1015"/>
      <c r="AW311" s="1012"/>
      <c r="AX311" s="1013">
        <f t="shared" si="991"/>
        <v>0</v>
      </c>
      <c r="AY311" s="818"/>
    </row>
    <row r="312" spans="1:54" s="493" customFormat="1">
      <c r="A312" s="532">
        <f t="shared" ref="A312:A313" si="992">+A311+1</f>
        <v>118</v>
      </c>
      <c r="B312" s="832">
        <v>32</v>
      </c>
      <c r="C312" s="993" t="s">
        <v>1028</v>
      </c>
      <c r="D312" s="944" t="s">
        <v>1027</v>
      </c>
      <c r="E312" s="994" t="s">
        <v>1246</v>
      </c>
      <c r="F312" s="1007" t="s">
        <v>1026</v>
      </c>
      <c r="G312" s="1421">
        <f t="shared" si="981"/>
        <v>0</v>
      </c>
      <c r="H312" s="1422">
        <f t="shared" si="981"/>
        <v>0</v>
      </c>
      <c r="I312" s="1422">
        <f t="shared" si="981"/>
        <v>0</v>
      </c>
      <c r="J312" s="489">
        <f t="shared" si="981"/>
        <v>0</v>
      </c>
      <c r="K312" s="1421">
        <f t="shared" si="982"/>
        <v>0</v>
      </c>
      <c r="L312" s="1422">
        <f t="shared" si="982"/>
        <v>0</v>
      </c>
      <c r="M312" s="1422">
        <f t="shared" si="982"/>
        <v>0</v>
      </c>
      <c r="N312" s="489">
        <f t="shared" si="982"/>
        <v>0</v>
      </c>
      <c r="O312" s="1011"/>
      <c r="P312" s="1012"/>
      <c r="Q312" s="1012"/>
      <c r="R312" s="1013">
        <f t="shared" si="983"/>
        <v>0</v>
      </c>
      <c r="S312" s="1014"/>
      <c r="T312" s="1015"/>
      <c r="U312" s="1012"/>
      <c r="V312" s="1013">
        <f t="shared" si="984"/>
        <v>0</v>
      </c>
      <c r="W312" s="1014"/>
      <c r="X312" s="1015"/>
      <c r="Y312" s="1012"/>
      <c r="Z312" s="1013">
        <f t="shared" si="985"/>
        <v>0</v>
      </c>
      <c r="AA312" s="1014"/>
      <c r="AB312" s="1015"/>
      <c r="AC312" s="1012"/>
      <c r="AD312" s="1013">
        <f t="shared" si="986"/>
        <v>0</v>
      </c>
      <c r="AE312" s="1014"/>
      <c r="AF312" s="1015"/>
      <c r="AG312" s="1012"/>
      <c r="AH312" s="1013">
        <f t="shared" si="987"/>
        <v>0</v>
      </c>
      <c r="AI312" s="1421">
        <f t="shared" si="988"/>
        <v>0</v>
      </c>
      <c r="AJ312" s="1422">
        <f t="shared" si="988"/>
        <v>0</v>
      </c>
      <c r="AK312" s="1422">
        <f t="shared" si="988"/>
        <v>0</v>
      </c>
      <c r="AL312" s="489">
        <f t="shared" si="988"/>
        <v>0</v>
      </c>
      <c r="AM312" s="1014"/>
      <c r="AN312" s="1015"/>
      <c r="AO312" s="1012"/>
      <c r="AP312" s="1013">
        <f t="shared" si="989"/>
        <v>0</v>
      </c>
      <c r="AQ312" s="1014"/>
      <c r="AR312" s="1015"/>
      <c r="AS312" s="1012"/>
      <c r="AT312" s="1013">
        <f t="shared" si="990"/>
        <v>0</v>
      </c>
      <c r="AU312" s="1014"/>
      <c r="AV312" s="1015"/>
      <c r="AW312" s="1012"/>
      <c r="AX312" s="1013">
        <f t="shared" si="991"/>
        <v>0</v>
      </c>
      <c r="AY312" s="818"/>
      <c r="AZ312" s="296"/>
      <c r="BA312" s="296"/>
      <c r="BB312" s="296"/>
    </row>
    <row r="313" spans="1:54" s="493" customFormat="1" ht="12.75" thickBot="1">
      <c r="A313" s="532">
        <f t="shared" si="992"/>
        <v>119</v>
      </c>
      <c r="B313" s="832">
        <v>32</v>
      </c>
      <c r="C313" s="993" t="s">
        <v>1002</v>
      </c>
      <c r="D313" s="944" t="s">
        <v>1003</v>
      </c>
      <c r="E313" s="994" t="s">
        <v>1245</v>
      </c>
      <c r="F313" s="1007" t="s">
        <v>1025</v>
      </c>
      <c r="G313" s="1421">
        <f t="shared" si="981"/>
        <v>0</v>
      </c>
      <c r="H313" s="1422">
        <f t="shared" si="981"/>
        <v>40</v>
      </c>
      <c r="I313" s="1422">
        <f t="shared" si="981"/>
        <v>0</v>
      </c>
      <c r="J313" s="489">
        <f t="shared" si="981"/>
        <v>40</v>
      </c>
      <c r="K313" s="1421">
        <f t="shared" si="982"/>
        <v>0</v>
      </c>
      <c r="L313" s="1422">
        <f t="shared" si="982"/>
        <v>40</v>
      </c>
      <c r="M313" s="1422">
        <f t="shared" si="982"/>
        <v>0</v>
      </c>
      <c r="N313" s="489">
        <f t="shared" si="982"/>
        <v>40</v>
      </c>
      <c r="O313" s="1011"/>
      <c r="P313" s="1012"/>
      <c r="Q313" s="1012"/>
      <c r="R313" s="1013">
        <f t="shared" si="983"/>
        <v>0</v>
      </c>
      <c r="S313" s="1014"/>
      <c r="T313" s="1015"/>
      <c r="U313" s="1012"/>
      <c r="V313" s="1013">
        <f t="shared" si="984"/>
        <v>0</v>
      </c>
      <c r="W313" s="1014"/>
      <c r="X313" s="1015"/>
      <c r="Y313" s="1012"/>
      <c r="Z313" s="1013">
        <f t="shared" si="985"/>
        <v>0</v>
      </c>
      <c r="AA313" s="1014"/>
      <c r="AB313" s="1015"/>
      <c r="AC313" s="1012"/>
      <c r="AD313" s="1013">
        <f t="shared" si="986"/>
        <v>0</v>
      </c>
      <c r="AE313" s="1014"/>
      <c r="AF313" s="1015">
        <f>0+40</f>
        <v>40</v>
      </c>
      <c r="AG313" s="1012"/>
      <c r="AH313" s="1013">
        <f t="shared" si="987"/>
        <v>40</v>
      </c>
      <c r="AI313" s="1421">
        <f t="shared" si="988"/>
        <v>0</v>
      </c>
      <c r="AJ313" s="1422">
        <f t="shared" si="988"/>
        <v>0</v>
      </c>
      <c r="AK313" s="1422">
        <f t="shared" si="988"/>
        <v>0</v>
      </c>
      <c r="AL313" s="489">
        <f t="shared" si="988"/>
        <v>0</v>
      </c>
      <c r="AM313" s="1014"/>
      <c r="AN313" s="1015"/>
      <c r="AO313" s="1012"/>
      <c r="AP313" s="1013">
        <f t="shared" si="989"/>
        <v>0</v>
      </c>
      <c r="AQ313" s="1014"/>
      <c r="AR313" s="1015"/>
      <c r="AS313" s="1012"/>
      <c r="AT313" s="1013">
        <f t="shared" si="990"/>
        <v>0</v>
      </c>
      <c r="AU313" s="1014"/>
      <c r="AV313" s="1015"/>
      <c r="AW313" s="1012"/>
      <c r="AX313" s="1013">
        <f t="shared" si="991"/>
        <v>0</v>
      </c>
      <c r="AY313" s="818"/>
      <c r="AZ313" s="296"/>
      <c r="BA313" s="296"/>
      <c r="BB313" s="296"/>
    </row>
    <row r="314" spans="1:54" s="481" customFormat="1" ht="12.75" customHeight="1" thickBot="1">
      <c r="A314" s="528" t="s">
        <v>1141</v>
      </c>
      <c r="B314" s="835"/>
      <c r="C314" s="1558" t="s">
        <v>1098</v>
      </c>
      <c r="D314" s="1559"/>
      <c r="E314" s="1559"/>
      <c r="F314" s="1560"/>
      <c r="G314" s="517">
        <f t="shared" ref="G314" si="993">SUM(G309:G313)</f>
        <v>83600</v>
      </c>
      <c r="H314" s="518">
        <f t="shared" ref="H314:I314" si="994">SUM(H309:H313)</f>
        <v>95721</v>
      </c>
      <c r="I314" s="518">
        <f t="shared" si="994"/>
        <v>17663</v>
      </c>
      <c r="J314" s="413">
        <f t="shared" ref="J314:AU314" si="995">SUM(J309:J313)</f>
        <v>113384</v>
      </c>
      <c r="K314" s="517">
        <f t="shared" si="995"/>
        <v>83600</v>
      </c>
      <c r="L314" s="518">
        <f t="shared" ref="L314:M314" si="996">SUM(L309:L313)</f>
        <v>95721</v>
      </c>
      <c r="M314" s="518">
        <f t="shared" si="996"/>
        <v>5065</v>
      </c>
      <c r="N314" s="413">
        <f t="shared" si="995"/>
        <v>100786</v>
      </c>
      <c r="O314" s="495">
        <f t="shared" si="995"/>
        <v>61539</v>
      </c>
      <c r="P314" s="356">
        <f t="shared" ref="P314" si="997">SUM(P309:P313)</f>
        <v>71872</v>
      </c>
      <c r="Q314" s="356">
        <f t="shared" ref="Q314:R314" si="998">SUM(Q309:Q313)</f>
        <v>4385</v>
      </c>
      <c r="R314" s="343">
        <f t="shared" si="998"/>
        <v>76257</v>
      </c>
      <c r="S314" s="495">
        <f t="shared" si="995"/>
        <v>10823</v>
      </c>
      <c r="T314" s="356">
        <f t="shared" ref="T314" si="999">SUM(T309:T313)</f>
        <v>12571</v>
      </c>
      <c r="U314" s="356">
        <f t="shared" ref="U314:V314" si="1000">SUM(U309:U313)</f>
        <v>680</v>
      </c>
      <c r="V314" s="343">
        <f t="shared" si="1000"/>
        <v>13251</v>
      </c>
      <c r="W314" s="495">
        <f t="shared" si="995"/>
        <v>11238</v>
      </c>
      <c r="X314" s="356">
        <f t="shared" ref="X314" si="1001">SUM(X309:X313)</f>
        <v>11238</v>
      </c>
      <c r="Y314" s="356">
        <f t="shared" ref="Y314:Z314" si="1002">SUM(Y309:Y313)</f>
        <v>0</v>
      </c>
      <c r="Z314" s="343">
        <f t="shared" si="1002"/>
        <v>11238</v>
      </c>
      <c r="AA314" s="495">
        <f t="shared" si="995"/>
        <v>0</v>
      </c>
      <c r="AB314" s="356">
        <f t="shared" ref="AB314" si="1003">SUM(AB309:AB313)</f>
        <v>0</v>
      </c>
      <c r="AC314" s="356">
        <f t="shared" ref="AC314:AD314" si="1004">SUM(AC309:AC313)</f>
        <v>0</v>
      </c>
      <c r="AD314" s="343">
        <f t="shared" si="1004"/>
        <v>0</v>
      </c>
      <c r="AE314" s="495">
        <f t="shared" si="995"/>
        <v>0</v>
      </c>
      <c r="AF314" s="356">
        <f t="shared" ref="AF314" si="1005">SUM(AF309:AF313)</f>
        <v>40</v>
      </c>
      <c r="AG314" s="356">
        <f t="shared" ref="AG314:AH314" si="1006">SUM(AG309:AG313)</f>
        <v>0</v>
      </c>
      <c r="AH314" s="343">
        <f t="shared" si="1006"/>
        <v>40</v>
      </c>
      <c r="AI314" s="517">
        <f t="shared" si="995"/>
        <v>0</v>
      </c>
      <c r="AJ314" s="518">
        <f t="shared" ref="AJ314:AK314" si="1007">SUM(AJ309:AJ313)</f>
        <v>0</v>
      </c>
      <c r="AK314" s="518">
        <f t="shared" si="1007"/>
        <v>12598</v>
      </c>
      <c r="AL314" s="413">
        <f t="shared" si="995"/>
        <v>12598</v>
      </c>
      <c r="AM314" s="495">
        <f t="shared" si="995"/>
        <v>0</v>
      </c>
      <c r="AN314" s="356">
        <f t="shared" ref="AN314" si="1008">SUM(AN309:AN313)</f>
        <v>0</v>
      </c>
      <c r="AO314" s="356">
        <f t="shared" ref="AO314:AP314" si="1009">SUM(AO309:AO313)</f>
        <v>12598</v>
      </c>
      <c r="AP314" s="343">
        <f t="shared" si="1009"/>
        <v>12598</v>
      </c>
      <c r="AQ314" s="495">
        <f t="shared" si="995"/>
        <v>0</v>
      </c>
      <c r="AR314" s="356">
        <f t="shared" ref="AR314" si="1010">SUM(AR309:AR313)</f>
        <v>0</v>
      </c>
      <c r="AS314" s="356">
        <f t="shared" ref="AS314:AT314" si="1011">SUM(AS309:AS313)</f>
        <v>0</v>
      </c>
      <c r="AT314" s="343">
        <f t="shared" si="1011"/>
        <v>0</v>
      </c>
      <c r="AU314" s="495">
        <f t="shared" si="995"/>
        <v>0</v>
      </c>
      <c r="AV314" s="356">
        <f t="shared" ref="AV314" si="1012">SUM(AV309:AV313)</f>
        <v>0</v>
      </c>
      <c r="AW314" s="356">
        <f t="shared" ref="AW314:AX314" si="1013">SUM(AW309:AW313)</f>
        <v>0</v>
      </c>
      <c r="AX314" s="343">
        <f t="shared" si="1013"/>
        <v>0</v>
      </c>
      <c r="AY314" s="820"/>
      <c r="AZ314" s="296"/>
      <c r="BA314" s="296"/>
      <c r="BB314" s="296"/>
    </row>
    <row r="315" spans="1:54" ht="12.75" customHeight="1" thickBot="1">
      <c r="A315" s="534">
        <f>A313+1</f>
        <v>120</v>
      </c>
      <c r="B315" s="840">
        <v>33</v>
      </c>
      <c r="C315" s="926" t="s">
        <v>19</v>
      </c>
      <c r="D315" s="525" t="s">
        <v>19</v>
      </c>
      <c r="E315" s="921" t="s">
        <v>19</v>
      </c>
      <c r="F315" s="1009" t="s">
        <v>19</v>
      </c>
      <c r="G315" s="1427">
        <f>+K315+AI315</f>
        <v>0</v>
      </c>
      <c r="H315" s="1428">
        <f>+L315+AJ315</f>
        <v>0</v>
      </c>
      <c r="I315" s="1428">
        <f>+M315+AK315</f>
        <v>0</v>
      </c>
      <c r="J315" s="421">
        <f>+N315+AL315</f>
        <v>0</v>
      </c>
      <c r="K315" s="1427">
        <f>+O315+S315+W315+AA315+AE315</f>
        <v>0</v>
      </c>
      <c r="L315" s="1428">
        <f>+P315+T315+X315+AB315+AF315</f>
        <v>0</v>
      </c>
      <c r="M315" s="1428">
        <f>+Q315+U315+Y315+AC315+AG315</f>
        <v>0</v>
      </c>
      <c r="N315" s="421">
        <f>+R315+V315+Z315+AD315+AH315</f>
        <v>0</v>
      </c>
      <c r="O315" s="491"/>
      <c r="P315" s="490"/>
      <c r="Q315" s="490"/>
      <c r="R315" s="440">
        <f t="shared" ref="R315" si="1014">+P315+Q315</f>
        <v>0</v>
      </c>
      <c r="S315" s="491"/>
      <c r="T315" s="490"/>
      <c r="U315" s="490"/>
      <c r="V315" s="440">
        <f t="shared" ref="V315" si="1015">+T315+U315</f>
        <v>0</v>
      </c>
      <c r="W315" s="491"/>
      <c r="X315" s="490"/>
      <c r="Y315" s="490"/>
      <c r="Z315" s="440">
        <f t="shared" ref="Z315" si="1016">+X315+Y315</f>
        <v>0</v>
      </c>
      <c r="AA315" s="491"/>
      <c r="AB315" s="490"/>
      <c r="AC315" s="490"/>
      <c r="AD315" s="440">
        <f t="shared" ref="AD315" si="1017">+AB315+AC315</f>
        <v>0</v>
      </c>
      <c r="AE315" s="491"/>
      <c r="AF315" s="490"/>
      <c r="AG315" s="490"/>
      <c r="AH315" s="440">
        <f t="shared" ref="AH315" si="1018">+AF315+AG315</f>
        <v>0</v>
      </c>
      <c r="AI315" s="1427">
        <f>+AM315+AQ315+AU315</f>
        <v>0</v>
      </c>
      <c r="AJ315" s="1428">
        <f>+AN315+AR315+AV315</f>
        <v>0</v>
      </c>
      <c r="AK315" s="1428">
        <f>+AO315+AS315+AW315</f>
        <v>0</v>
      </c>
      <c r="AL315" s="421">
        <f>+AP315+AT315+AX315</f>
        <v>0</v>
      </c>
      <c r="AM315" s="491"/>
      <c r="AN315" s="490"/>
      <c r="AO315" s="490"/>
      <c r="AP315" s="440">
        <f t="shared" ref="AP315" si="1019">+AN315+AO315</f>
        <v>0</v>
      </c>
      <c r="AQ315" s="491"/>
      <c r="AR315" s="490"/>
      <c r="AS315" s="490"/>
      <c r="AT315" s="440">
        <f t="shared" ref="AT315" si="1020">+AR315+AS315</f>
        <v>0</v>
      </c>
      <c r="AU315" s="491"/>
      <c r="AV315" s="490"/>
      <c r="AW315" s="490"/>
      <c r="AX315" s="440">
        <f t="shared" ref="AX315" si="1021">+AV315+AW315</f>
        <v>0</v>
      </c>
      <c r="AY315" s="818"/>
      <c r="AZ315" s="493"/>
      <c r="BA315" s="493"/>
      <c r="BB315" s="493"/>
    </row>
    <row r="316" spans="1:54" s="481" customFormat="1" ht="12.75" customHeight="1" thickBot="1">
      <c r="A316" s="528" t="s">
        <v>1142</v>
      </c>
      <c r="B316" s="835"/>
      <c r="C316" s="1558" t="s">
        <v>1099</v>
      </c>
      <c r="D316" s="1559"/>
      <c r="E316" s="1559"/>
      <c r="F316" s="1560"/>
      <c r="G316" s="517">
        <f>SUM(G315)</f>
        <v>0</v>
      </c>
      <c r="H316" s="518">
        <f>SUM(H315)</f>
        <v>0</v>
      </c>
      <c r="I316" s="518">
        <f>SUM(I315)</f>
        <v>0</v>
      </c>
      <c r="J316" s="413">
        <f>SUM(J315)</f>
        <v>0</v>
      </c>
      <c r="K316" s="517">
        <f t="shared" ref="K316" si="1022">SUM(K315)</f>
        <v>0</v>
      </c>
      <c r="L316" s="518">
        <f t="shared" ref="L316:M316" si="1023">SUM(L315)</f>
        <v>0</v>
      </c>
      <c r="M316" s="518">
        <f t="shared" si="1023"/>
        <v>0</v>
      </c>
      <c r="N316" s="413">
        <f t="shared" ref="N316:AU316" si="1024">SUM(N315)</f>
        <v>0</v>
      </c>
      <c r="O316" s="495">
        <f t="shared" si="1024"/>
        <v>0</v>
      </c>
      <c r="P316" s="356">
        <f t="shared" ref="P316:R316" si="1025">SUM(P315)</f>
        <v>0</v>
      </c>
      <c r="Q316" s="356">
        <f t="shared" si="1025"/>
        <v>0</v>
      </c>
      <c r="R316" s="343">
        <f t="shared" si="1025"/>
        <v>0</v>
      </c>
      <c r="S316" s="495">
        <f t="shared" si="1024"/>
        <v>0</v>
      </c>
      <c r="T316" s="356">
        <f t="shared" ref="T316:V316" si="1026">SUM(T315)</f>
        <v>0</v>
      </c>
      <c r="U316" s="356">
        <f t="shared" si="1026"/>
        <v>0</v>
      </c>
      <c r="V316" s="343">
        <f t="shared" si="1026"/>
        <v>0</v>
      </c>
      <c r="W316" s="495">
        <f t="shared" si="1024"/>
        <v>0</v>
      </c>
      <c r="X316" s="356">
        <f t="shared" ref="X316:Z316" si="1027">SUM(X315)</f>
        <v>0</v>
      </c>
      <c r="Y316" s="356">
        <f t="shared" si="1027"/>
        <v>0</v>
      </c>
      <c r="Z316" s="343">
        <f t="shared" si="1027"/>
        <v>0</v>
      </c>
      <c r="AA316" s="495">
        <f t="shared" si="1024"/>
        <v>0</v>
      </c>
      <c r="AB316" s="356">
        <f t="shared" ref="AB316:AD316" si="1028">SUM(AB315)</f>
        <v>0</v>
      </c>
      <c r="AC316" s="356">
        <f t="shared" si="1028"/>
        <v>0</v>
      </c>
      <c r="AD316" s="343">
        <f t="shared" si="1028"/>
        <v>0</v>
      </c>
      <c r="AE316" s="495">
        <f t="shared" si="1024"/>
        <v>0</v>
      </c>
      <c r="AF316" s="356">
        <f t="shared" ref="AF316:AH316" si="1029">SUM(AF315)</f>
        <v>0</v>
      </c>
      <c r="AG316" s="356">
        <f t="shared" si="1029"/>
        <v>0</v>
      </c>
      <c r="AH316" s="343">
        <f t="shared" si="1029"/>
        <v>0</v>
      </c>
      <c r="AI316" s="517">
        <f t="shared" si="1024"/>
        <v>0</v>
      </c>
      <c r="AJ316" s="518">
        <f t="shared" ref="AJ316:AK316" si="1030">SUM(AJ315)</f>
        <v>0</v>
      </c>
      <c r="AK316" s="518">
        <f t="shared" si="1030"/>
        <v>0</v>
      </c>
      <c r="AL316" s="413">
        <f t="shared" si="1024"/>
        <v>0</v>
      </c>
      <c r="AM316" s="495">
        <f t="shared" si="1024"/>
        <v>0</v>
      </c>
      <c r="AN316" s="356">
        <f t="shared" ref="AN316:AP316" si="1031">SUM(AN315)</f>
        <v>0</v>
      </c>
      <c r="AO316" s="356">
        <f t="shared" si="1031"/>
        <v>0</v>
      </c>
      <c r="AP316" s="343">
        <f t="shared" si="1031"/>
        <v>0</v>
      </c>
      <c r="AQ316" s="495">
        <f t="shared" si="1024"/>
        <v>0</v>
      </c>
      <c r="AR316" s="356">
        <f t="shared" ref="AR316:AT316" si="1032">SUM(AR315)</f>
        <v>0</v>
      </c>
      <c r="AS316" s="356">
        <f t="shared" si="1032"/>
        <v>0</v>
      </c>
      <c r="AT316" s="343">
        <f t="shared" si="1032"/>
        <v>0</v>
      </c>
      <c r="AU316" s="495">
        <f t="shared" si="1024"/>
        <v>0</v>
      </c>
      <c r="AV316" s="356">
        <f t="shared" ref="AV316:AX316" si="1033">SUM(AV315)</f>
        <v>0</v>
      </c>
      <c r="AW316" s="356">
        <f t="shared" si="1033"/>
        <v>0</v>
      </c>
      <c r="AX316" s="343">
        <f t="shared" si="1033"/>
        <v>0</v>
      </c>
      <c r="AY316" s="820"/>
    </row>
    <row r="317" spans="1:54" ht="12.75" customHeight="1" thickBot="1">
      <c r="A317" s="534">
        <f>+A315+1</f>
        <v>121</v>
      </c>
      <c r="B317" s="840">
        <v>34</v>
      </c>
      <c r="C317" s="926" t="s">
        <v>19</v>
      </c>
      <c r="D317" s="525" t="s">
        <v>19</v>
      </c>
      <c r="E317" s="921" t="s">
        <v>19</v>
      </c>
      <c r="F317" s="1009" t="s">
        <v>19</v>
      </c>
      <c r="G317" s="1427">
        <f>+K317+AI317</f>
        <v>0</v>
      </c>
      <c r="H317" s="1428">
        <f>+L317+AJ317</f>
        <v>0</v>
      </c>
      <c r="I317" s="1428">
        <f>+M317+AK317</f>
        <v>0</v>
      </c>
      <c r="J317" s="421">
        <f>+N317+AL317</f>
        <v>0</v>
      </c>
      <c r="K317" s="1427">
        <f>+O317+S317+W317+AA317+AE317</f>
        <v>0</v>
      </c>
      <c r="L317" s="1428">
        <f>+P317+T317+X317+AB317+AF317</f>
        <v>0</v>
      </c>
      <c r="M317" s="1428">
        <f>+Q317+U317+Y317+AC317+AG317</f>
        <v>0</v>
      </c>
      <c r="N317" s="421">
        <f>+R317+V317+Z317+AD317+AH317</f>
        <v>0</v>
      </c>
      <c r="O317" s="491"/>
      <c r="P317" s="490"/>
      <c r="Q317" s="490"/>
      <c r="R317" s="440">
        <f t="shared" ref="R317" si="1034">+P317+Q317</f>
        <v>0</v>
      </c>
      <c r="S317" s="491"/>
      <c r="T317" s="490"/>
      <c r="U317" s="490"/>
      <c r="V317" s="440">
        <f t="shared" ref="V317" si="1035">+T317+U317</f>
        <v>0</v>
      </c>
      <c r="W317" s="491"/>
      <c r="X317" s="490"/>
      <c r="Y317" s="490"/>
      <c r="Z317" s="440">
        <f t="shared" ref="Z317" si="1036">+X317+Y317</f>
        <v>0</v>
      </c>
      <c r="AA317" s="491"/>
      <c r="AB317" s="490"/>
      <c r="AC317" s="490"/>
      <c r="AD317" s="440">
        <f t="shared" ref="AD317" si="1037">+AB317+AC317</f>
        <v>0</v>
      </c>
      <c r="AE317" s="491"/>
      <c r="AF317" s="490"/>
      <c r="AG317" s="490"/>
      <c r="AH317" s="440">
        <f t="shared" ref="AH317" si="1038">+AF317+AG317</f>
        <v>0</v>
      </c>
      <c r="AI317" s="1427">
        <f>+AM317+AQ317+AU317</f>
        <v>0</v>
      </c>
      <c r="AJ317" s="1428">
        <f>+AN317+AR317+AV317</f>
        <v>0</v>
      </c>
      <c r="AK317" s="1428">
        <f>+AO317+AS317+AW317</f>
        <v>0</v>
      </c>
      <c r="AL317" s="421">
        <f>+AP317+AT317+AX317</f>
        <v>0</v>
      </c>
      <c r="AM317" s="491"/>
      <c r="AN317" s="490"/>
      <c r="AO317" s="490"/>
      <c r="AP317" s="440">
        <f t="shared" ref="AP317" si="1039">+AN317+AO317</f>
        <v>0</v>
      </c>
      <c r="AQ317" s="491"/>
      <c r="AR317" s="490"/>
      <c r="AS317" s="490"/>
      <c r="AT317" s="440">
        <f t="shared" ref="AT317" si="1040">+AR317+AS317</f>
        <v>0</v>
      </c>
      <c r="AU317" s="491"/>
      <c r="AV317" s="490"/>
      <c r="AW317" s="490"/>
      <c r="AX317" s="440">
        <f t="shared" ref="AX317" si="1041">+AV317+AW317</f>
        <v>0</v>
      </c>
      <c r="AY317" s="818"/>
      <c r="AZ317" s="493"/>
      <c r="BA317" s="493"/>
      <c r="BB317" s="493"/>
    </row>
    <row r="318" spans="1:54" s="481" customFormat="1" ht="12.75" customHeight="1" thickBot="1">
      <c r="A318" s="528" t="s">
        <v>1143</v>
      </c>
      <c r="B318" s="835"/>
      <c r="C318" s="1558" t="s">
        <v>1100</v>
      </c>
      <c r="D318" s="1559"/>
      <c r="E318" s="1559"/>
      <c r="F318" s="1560"/>
      <c r="G318" s="517">
        <f>SUM(G317)</f>
        <v>0</v>
      </c>
      <c r="H318" s="518">
        <f>SUM(H317)</f>
        <v>0</v>
      </c>
      <c r="I318" s="518">
        <f>SUM(I317)</f>
        <v>0</v>
      </c>
      <c r="J318" s="413">
        <f>SUM(J317)</f>
        <v>0</v>
      </c>
      <c r="K318" s="517">
        <f t="shared" ref="K318" si="1042">SUM(K317)</f>
        <v>0</v>
      </c>
      <c r="L318" s="518">
        <f t="shared" ref="L318:M318" si="1043">SUM(L317)</f>
        <v>0</v>
      </c>
      <c r="M318" s="518">
        <f t="shared" si="1043"/>
        <v>0</v>
      </c>
      <c r="N318" s="413">
        <f t="shared" ref="N318:AU318" si="1044">SUM(N317)</f>
        <v>0</v>
      </c>
      <c r="O318" s="495">
        <f t="shared" si="1044"/>
        <v>0</v>
      </c>
      <c r="P318" s="356">
        <f t="shared" ref="P318:R318" si="1045">SUM(P317)</f>
        <v>0</v>
      </c>
      <c r="Q318" s="356">
        <f t="shared" si="1045"/>
        <v>0</v>
      </c>
      <c r="R318" s="343">
        <f t="shared" si="1045"/>
        <v>0</v>
      </c>
      <c r="S318" s="495">
        <f t="shared" si="1044"/>
        <v>0</v>
      </c>
      <c r="T318" s="356">
        <f t="shared" ref="T318:V318" si="1046">SUM(T317)</f>
        <v>0</v>
      </c>
      <c r="U318" s="356">
        <f t="shared" si="1046"/>
        <v>0</v>
      </c>
      <c r="V318" s="343">
        <f t="shared" si="1046"/>
        <v>0</v>
      </c>
      <c r="W318" s="495">
        <f t="shared" si="1044"/>
        <v>0</v>
      </c>
      <c r="X318" s="356">
        <f t="shared" ref="X318:Z318" si="1047">SUM(X317)</f>
        <v>0</v>
      </c>
      <c r="Y318" s="356">
        <f t="shared" si="1047"/>
        <v>0</v>
      </c>
      <c r="Z318" s="343">
        <f t="shared" si="1047"/>
        <v>0</v>
      </c>
      <c r="AA318" s="495">
        <f t="shared" si="1044"/>
        <v>0</v>
      </c>
      <c r="AB318" s="356">
        <f t="shared" ref="AB318:AD318" si="1048">SUM(AB317)</f>
        <v>0</v>
      </c>
      <c r="AC318" s="356">
        <f t="shared" si="1048"/>
        <v>0</v>
      </c>
      <c r="AD318" s="343">
        <f t="shared" si="1048"/>
        <v>0</v>
      </c>
      <c r="AE318" s="495">
        <f t="shared" si="1044"/>
        <v>0</v>
      </c>
      <c r="AF318" s="356">
        <f t="shared" ref="AF318:AH318" si="1049">SUM(AF317)</f>
        <v>0</v>
      </c>
      <c r="AG318" s="356">
        <f t="shared" si="1049"/>
        <v>0</v>
      </c>
      <c r="AH318" s="343">
        <f t="shared" si="1049"/>
        <v>0</v>
      </c>
      <c r="AI318" s="517">
        <f t="shared" si="1044"/>
        <v>0</v>
      </c>
      <c r="AJ318" s="518">
        <f t="shared" ref="AJ318:AK318" si="1050">SUM(AJ317)</f>
        <v>0</v>
      </c>
      <c r="AK318" s="518">
        <f t="shared" si="1050"/>
        <v>0</v>
      </c>
      <c r="AL318" s="413">
        <f t="shared" si="1044"/>
        <v>0</v>
      </c>
      <c r="AM318" s="495">
        <f t="shared" si="1044"/>
        <v>0</v>
      </c>
      <c r="AN318" s="356">
        <f t="shared" ref="AN318:AP318" si="1051">SUM(AN317)</f>
        <v>0</v>
      </c>
      <c r="AO318" s="356">
        <f t="shared" si="1051"/>
        <v>0</v>
      </c>
      <c r="AP318" s="343">
        <f t="shared" si="1051"/>
        <v>0</v>
      </c>
      <c r="AQ318" s="495">
        <f t="shared" si="1044"/>
        <v>0</v>
      </c>
      <c r="AR318" s="356">
        <f t="shared" ref="AR318:AT318" si="1052">SUM(AR317)</f>
        <v>0</v>
      </c>
      <c r="AS318" s="356">
        <f t="shared" si="1052"/>
        <v>0</v>
      </c>
      <c r="AT318" s="343">
        <f t="shared" si="1052"/>
        <v>0</v>
      </c>
      <c r="AU318" s="495">
        <f t="shared" si="1044"/>
        <v>0</v>
      </c>
      <c r="AV318" s="356">
        <f t="shared" ref="AV318:AX318" si="1053">SUM(AV317)</f>
        <v>0</v>
      </c>
      <c r="AW318" s="356">
        <f t="shared" si="1053"/>
        <v>0</v>
      </c>
      <c r="AX318" s="343">
        <f t="shared" si="1053"/>
        <v>0</v>
      </c>
      <c r="AY318" s="820"/>
    </row>
    <row r="319" spans="1:54" s="493" customFormat="1" ht="12.75" customHeight="1" thickBot="1">
      <c r="A319" s="529" t="s">
        <v>42</v>
      </c>
      <c r="B319" s="836"/>
      <c r="C319" s="1552" t="s">
        <v>1101</v>
      </c>
      <c r="D319" s="1553"/>
      <c r="E319" s="1553"/>
      <c r="F319" s="1554"/>
      <c r="G319" s="497">
        <f t="shared" ref="G319" si="1054">+G314+G316+G318</f>
        <v>83600</v>
      </c>
      <c r="H319" s="498">
        <f t="shared" ref="H319:I319" si="1055">+H314+H316+H318</f>
        <v>95721</v>
      </c>
      <c r="I319" s="498">
        <f t="shared" si="1055"/>
        <v>17663</v>
      </c>
      <c r="J319" s="499">
        <f t="shared" ref="J319:AU319" si="1056">+J314+J316+J318</f>
        <v>113384</v>
      </c>
      <c r="K319" s="497">
        <f t="shared" si="1056"/>
        <v>83600</v>
      </c>
      <c r="L319" s="498">
        <f t="shared" ref="L319:M319" si="1057">+L314+L316+L318</f>
        <v>95721</v>
      </c>
      <c r="M319" s="498">
        <f t="shared" si="1057"/>
        <v>5065</v>
      </c>
      <c r="N319" s="499">
        <f t="shared" si="1056"/>
        <v>100786</v>
      </c>
      <c r="O319" s="497">
        <f t="shared" si="1056"/>
        <v>61539</v>
      </c>
      <c r="P319" s="498">
        <f t="shared" ref="P319:R319" si="1058">+P314+P316+P318</f>
        <v>71872</v>
      </c>
      <c r="Q319" s="510">
        <f t="shared" si="1058"/>
        <v>4385</v>
      </c>
      <c r="R319" s="511">
        <f t="shared" si="1058"/>
        <v>76257</v>
      </c>
      <c r="S319" s="497">
        <f t="shared" si="1056"/>
        <v>10823</v>
      </c>
      <c r="T319" s="498">
        <f t="shared" ref="T319:V319" si="1059">+T314+T316+T318</f>
        <v>12571</v>
      </c>
      <c r="U319" s="510">
        <f t="shared" si="1059"/>
        <v>680</v>
      </c>
      <c r="V319" s="511">
        <f t="shared" si="1059"/>
        <v>13251</v>
      </c>
      <c r="W319" s="497">
        <f t="shared" si="1056"/>
        <v>11238</v>
      </c>
      <c r="X319" s="498">
        <f t="shared" ref="X319:Z319" si="1060">+X314+X316+X318</f>
        <v>11238</v>
      </c>
      <c r="Y319" s="510">
        <f t="shared" si="1060"/>
        <v>0</v>
      </c>
      <c r="Z319" s="511">
        <f t="shared" si="1060"/>
        <v>11238</v>
      </c>
      <c r="AA319" s="497">
        <f t="shared" si="1056"/>
        <v>0</v>
      </c>
      <c r="AB319" s="498">
        <f t="shared" ref="AB319:AD319" si="1061">+AB314+AB316+AB318</f>
        <v>0</v>
      </c>
      <c r="AC319" s="510">
        <f t="shared" si="1061"/>
        <v>0</v>
      </c>
      <c r="AD319" s="511">
        <f t="shared" si="1061"/>
        <v>0</v>
      </c>
      <c r="AE319" s="497">
        <f t="shared" si="1056"/>
        <v>0</v>
      </c>
      <c r="AF319" s="498">
        <f t="shared" ref="AF319:AH319" si="1062">+AF314+AF316+AF318</f>
        <v>40</v>
      </c>
      <c r="AG319" s="510">
        <f t="shared" si="1062"/>
        <v>0</v>
      </c>
      <c r="AH319" s="511">
        <f t="shared" si="1062"/>
        <v>40</v>
      </c>
      <c r="AI319" s="497">
        <f t="shared" si="1056"/>
        <v>0</v>
      </c>
      <c r="AJ319" s="498">
        <f t="shared" ref="AJ319:AK319" si="1063">+AJ314+AJ316+AJ318</f>
        <v>0</v>
      </c>
      <c r="AK319" s="498">
        <f t="shared" si="1063"/>
        <v>12598</v>
      </c>
      <c r="AL319" s="499">
        <f t="shared" si="1056"/>
        <v>12598</v>
      </c>
      <c r="AM319" s="497">
        <f t="shared" si="1056"/>
        <v>0</v>
      </c>
      <c r="AN319" s="498">
        <f t="shared" ref="AN319:AP319" si="1064">+AN314+AN316+AN318</f>
        <v>0</v>
      </c>
      <c r="AO319" s="510">
        <f t="shared" si="1064"/>
        <v>12598</v>
      </c>
      <c r="AP319" s="511">
        <f t="shared" si="1064"/>
        <v>12598</v>
      </c>
      <c r="AQ319" s="497">
        <f t="shared" si="1056"/>
        <v>0</v>
      </c>
      <c r="AR319" s="498">
        <f t="shared" ref="AR319:AT319" si="1065">+AR314+AR316+AR318</f>
        <v>0</v>
      </c>
      <c r="AS319" s="510">
        <f t="shared" si="1065"/>
        <v>0</v>
      </c>
      <c r="AT319" s="511">
        <f t="shared" si="1065"/>
        <v>0</v>
      </c>
      <c r="AU319" s="497">
        <f t="shared" si="1056"/>
        <v>0</v>
      </c>
      <c r="AV319" s="498">
        <f t="shared" ref="AV319:AX319" si="1066">+AV314+AV316+AV318</f>
        <v>0</v>
      </c>
      <c r="AW319" s="510">
        <f t="shared" si="1066"/>
        <v>0</v>
      </c>
      <c r="AX319" s="511">
        <f t="shared" si="1066"/>
        <v>0</v>
      </c>
      <c r="AY319" s="812"/>
      <c r="AZ319" s="481"/>
      <c r="BA319" s="481"/>
      <c r="BB319" s="481"/>
    </row>
    <row r="320" spans="1:54" ht="12.75" thickBot="1">
      <c r="A320" s="534"/>
      <c r="B320" s="840"/>
      <c r="C320" s="926"/>
      <c r="D320" s="525"/>
      <c r="E320" s="921"/>
      <c r="F320" s="512"/>
      <c r="G320" s="1427"/>
      <c r="H320" s="1428"/>
      <c r="I320" s="1428"/>
      <c r="J320" s="421"/>
      <c r="K320" s="1427"/>
      <c r="L320" s="1428"/>
      <c r="M320" s="1428"/>
      <c r="N320" s="421"/>
      <c r="O320" s="491"/>
      <c r="P320" s="490"/>
      <c r="Q320" s="490"/>
      <c r="R320" s="440"/>
      <c r="S320" s="491"/>
      <c r="T320" s="490"/>
      <c r="U320" s="490"/>
      <c r="V320" s="440"/>
      <c r="W320" s="491"/>
      <c r="X320" s="490"/>
      <c r="Y320" s="490"/>
      <c r="Z320" s="440"/>
      <c r="AA320" s="491"/>
      <c r="AB320" s="490"/>
      <c r="AC320" s="490"/>
      <c r="AD320" s="440"/>
      <c r="AE320" s="491"/>
      <c r="AF320" s="490"/>
      <c r="AG320" s="490"/>
      <c r="AH320" s="440"/>
      <c r="AI320" s="1427"/>
      <c r="AJ320" s="1428"/>
      <c r="AK320" s="1428"/>
      <c r="AL320" s="421"/>
      <c r="AM320" s="491"/>
      <c r="AN320" s="490"/>
      <c r="AO320" s="490"/>
      <c r="AP320" s="440"/>
      <c r="AQ320" s="491"/>
      <c r="AR320" s="490"/>
      <c r="AS320" s="490"/>
      <c r="AT320" s="440"/>
      <c r="AU320" s="491"/>
      <c r="AV320" s="490"/>
      <c r="AW320" s="490"/>
      <c r="AX320" s="440"/>
      <c r="AY320" s="483"/>
      <c r="AZ320" s="481"/>
      <c r="BA320" s="481"/>
      <c r="BB320" s="481"/>
    </row>
    <row r="321" spans="1:51" s="481" customFormat="1" ht="12.75" customHeight="1" thickBot="1">
      <c r="A321" s="529" t="s">
        <v>41</v>
      </c>
      <c r="B321" s="836"/>
      <c r="C321" s="1552" t="s">
        <v>893</v>
      </c>
      <c r="D321" s="1553"/>
      <c r="E321" s="1553"/>
      <c r="F321" s="1554"/>
      <c r="G321" s="514">
        <f>+G253+G273+G286+G298+G307+G319</f>
        <v>4522728</v>
      </c>
      <c r="H321" s="515">
        <f>+H253+H273+H286+H298+H307+H319</f>
        <v>5150290</v>
      </c>
      <c r="I321" s="515">
        <f>+I253+I273+I286+I298+I307+I319</f>
        <v>20604</v>
      </c>
      <c r="J321" s="513">
        <f>+J253+J273+J286+J298+J307+J319</f>
        <v>5170894</v>
      </c>
      <c r="K321" s="514">
        <f t="shared" ref="K321" si="1067">+K253+K273+K286+K298+K307+K319</f>
        <v>4018748</v>
      </c>
      <c r="L321" s="515">
        <f t="shared" ref="L321:M321" si="1068">+L253+L273+L286+L298+L307+L319</f>
        <v>4625310</v>
      </c>
      <c r="M321" s="515">
        <f t="shared" si="1068"/>
        <v>-15096</v>
      </c>
      <c r="N321" s="513">
        <f t="shared" ref="N321:AU321" si="1069">+N253+N273+N286+N298+N307+N319</f>
        <v>4610214</v>
      </c>
      <c r="O321" s="514">
        <f t="shared" si="1069"/>
        <v>715534</v>
      </c>
      <c r="P321" s="515">
        <f t="shared" ref="P321:R321" si="1070">+P253+P273+P286+P298+P307+P319</f>
        <v>821897</v>
      </c>
      <c r="Q321" s="515">
        <f t="shared" si="1070"/>
        <v>5506</v>
      </c>
      <c r="R321" s="513">
        <f t="shared" si="1070"/>
        <v>827403</v>
      </c>
      <c r="S321" s="514">
        <f t="shared" si="1069"/>
        <v>130817</v>
      </c>
      <c r="T321" s="515">
        <f t="shared" ref="T321:V321" si="1071">+T253+T273+T286+T298+T307+T319</f>
        <v>142723</v>
      </c>
      <c r="U321" s="515">
        <f t="shared" si="1071"/>
        <v>818</v>
      </c>
      <c r="V321" s="513">
        <f t="shared" si="1071"/>
        <v>143541</v>
      </c>
      <c r="W321" s="514">
        <f t="shared" si="1069"/>
        <v>401997</v>
      </c>
      <c r="X321" s="515">
        <f t="shared" ref="X321:Z321" si="1072">+X253+X273+X286+X298+X307+X319</f>
        <v>394387</v>
      </c>
      <c r="Y321" s="515">
        <f t="shared" si="1072"/>
        <v>13320</v>
      </c>
      <c r="Z321" s="513">
        <f t="shared" si="1072"/>
        <v>407707</v>
      </c>
      <c r="AA321" s="514">
        <f t="shared" si="1069"/>
        <v>52779</v>
      </c>
      <c r="AB321" s="515">
        <f t="shared" ref="AB321:AD321" si="1073">+AB253+AB273+AB286+AB298+AB307+AB319</f>
        <v>52779</v>
      </c>
      <c r="AC321" s="515">
        <f t="shared" si="1073"/>
        <v>0</v>
      </c>
      <c r="AD321" s="513">
        <f t="shared" si="1073"/>
        <v>52779</v>
      </c>
      <c r="AE321" s="514">
        <f t="shared" si="1069"/>
        <v>2717621</v>
      </c>
      <c r="AF321" s="515">
        <f t="shared" ref="AF321:AH321" si="1074">+AF253+AF273+AF286+AF298+AF307+AF319</f>
        <v>3213524</v>
      </c>
      <c r="AG321" s="515">
        <f t="shared" si="1074"/>
        <v>-34740</v>
      </c>
      <c r="AH321" s="513">
        <f t="shared" si="1074"/>
        <v>3178784</v>
      </c>
      <c r="AI321" s="514">
        <f t="shared" si="1069"/>
        <v>503980</v>
      </c>
      <c r="AJ321" s="515">
        <f t="shared" ref="AJ321:AK321" si="1075">+AJ253+AJ273+AJ286+AJ298+AJ307+AJ319</f>
        <v>524980</v>
      </c>
      <c r="AK321" s="515">
        <f t="shared" si="1075"/>
        <v>35700</v>
      </c>
      <c r="AL321" s="513">
        <f t="shared" si="1069"/>
        <v>560680</v>
      </c>
      <c r="AM321" s="514">
        <f t="shared" si="1069"/>
        <v>436722</v>
      </c>
      <c r="AN321" s="515">
        <f t="shared" ref="AN321:AP321" si="1076">+AN253+AN273+AN286+AN298+AN307+AN319</f>
        <v>463722</v>
      </c>
      <c r="AO321" s="515">
        <f t="shared" si="1076"/>
        <v>16538</v>
      </c>
      <c r="AP321" s="513">
        <f t="shared" si="1076"/>
        <v>480260</v>
      </c>
      <c r="AQ321" s="514">
        <f t="shared" si="1069"/>
        <v>67258</v>
      </c>
      <c r="AR321" s="515">
        <f t="shared" ref="AR321:AT321" si="1077">+AR253+AR273+AR286+AR298+AR307+AR319</f>
        <v>61258</v>
      </c>
      <c r="AS321" s="515">
        <f t="shared" si="1077"/>
        <v>0</v>
      </c>
      <c r="AT321" s="513">
        <f t="shared" si="1077"/>
        <v>61258</v>
      </c>
      <c r="AU321" s="514">
        <f t="shared" si="1069"/>
        <v>0</v>
      </c>
      <c r="AV321" s="515">
        <f t="shared" ref="AV321:AX321" si="1078">+AV253+AV273+AV286+AV298+AV307+AV319</f>
        <v>0</v>
      </c>
      <c r="AW321" s="515">
        <f t="shared" si="1078"/>
        <v>19162</v>
      </c>
      <c r="AX321" s="513">
        <f t="shared" si="1078"/>
        <v>19162</v>
      </c>
      <c r="AY321" s="822"/>
    </row>
    <row r="323" spans="1:51" hidden="1">
      <c r="A323" s="296"/>
      <c r="B323" s="828"/>
      <c r="C323" s="918"/>
      <c r="D323" s="296"/>
      <c r="G323" s="296"/>
      <c r="H323" s="296"/>
      <c r="I323" s="296"/>
      <c r="J323" s="296"/>
      <c r="K323" s="296"/>
      <c r="L323" s="296"/>
      <c r="M323" s="296"/>
      <c r="N323" s="296"/>
      <c r="O323" s="296">
        <f>+'1.mell._Össz_Mérleg2020'!C11</f>
        <v>992226</v>
      </c>
      <c r="P323" s="296">
        <f>+'1.mell._Össz_Mérleg2020'!D11</f>
        <v>1185285</v>
      </c>
      <c r="Q323" s="296">
        <f>+'1.mell._Össz_Mérleg2020'!E11</f>
        <v>20604</v>
      </c>
      <c r="R323" s="296">
        <f>+'1.mell._Össz_Mérleg2020'!F11</f>
        <v>1205889</v>
      </c>
      <c r="S323" s="296">
        <f>+'1.mell._Össz_Mérleg2020'!C25</f>
        <v>414105</v>
      </c>
      <c r="T323" s="296">
        <f>+'1.mell._Össz_Mérleg2020'!D25</f>
        <v>365505</v>
      </c>
      <c r="U323" s="296">
        <f>+'1.mell._Össz_Mérleg2020'!E25</f>
        <v>0</v>
      </c>
      <c r="V323" s="296">
        <f>+'1.mell._Össz_Mérleg2020'!F25</f>
        <v>365505</v>
      </c>
      <c r="W323" s="296">
        <f>+'1.mell._Össz_Mérleg2020'!C32</f>
        <v>186868</v>
      </c>
      <c r="X323" s="296">
        <f>+'1.mell._Össz_Mérleg2020'!D32</f>
        <v>186868</v>
      </c>
      <c r="Y323" s="296">
        <f>+'1.mell._Össz_Mérleg2020'!E32</f>
        <v>0</v>
      </c>
      <c r="Z323" s="296">
        <f>+'1.mell._Össz_Mérleg2020'!F32</f>
        <v>186868</v>
      </c>
      <c r="AA323" s="296">
        <f>+'1.mell._Össz_Mérleg2020'!C44</f>
        <v>0</v>
      </c>
      <c r="AB323" s="296">
        <f>+'1.mell._Össz_Mérleg2020'!D44</f>
        <v>5490</v>
      </c>
      <c r="AC323" s="296">
        <f>+'1.mell._Össz_Mérleg2020'!E44</f>
        <v>0</v>
      </c>
      <c r="AD323" s="296">
        <f>+'1.mell._Össz_Mérleg2020'!F44</f>
        <v>5490</v>
      </c>
      <c r="AI323" s="296">
        <f>+'1.mell._Össz_Mérleg2020'!C51</f>
        <v>32276</v>
      </c>
      <c r="AJ323" s="296">
        <f>+'1.mell._Össz_Mérleg2020'!D51</f>
        <v>32276</v>
      </c>
      <c r="AK323" s="296">
        <f>+'1.mell._Össz_Mérleg2020'!E51</f>
        <v>0</v>
      </c>
      <c r="AL323" s="296">
        <f>+'1.mell._Össz_Mérleg2020'!F51</f>
        <v>32276</v>
      </c>
      <c r="AM323" s="296">
        <f>+'1.mell._Össz_Mérleg2020'!C58</f>
        <v>40350</v>
      </c>
      <c r="AN323" s="296">
        <f>+'1.mell._Össz_Mérleg2020'!D58</f>
        <v>40350</v>
      </c>
      <c r="AO323" s="296">
        <f>+'1.mell._Össz_Mérleg2020'!E58</f>
        <v>0</v>
      </c>
      <c r="AP323" s="296">
        <f>+'1.mell._Össz_Mérleg2020'!F58</f>
        <v>40350</v>
      </c>
      <c r="AQ323" s="296">
        <f>+'1.mell._Össz_Mérleg2020'!C64</f>
        <v>1100</v>
      </c>
      <c r="AR323" s="296">
        <f>+'1.mell._Össz_Mérleg2020'!D64</f>
        <v>1100</v>
      </c>
      <c r="AS323" s="296">
        <f>+'1.mell._Össz_Mérleg2020'!E64</f>
        <v>0</v>
      </c>
      <c r="AT323" s="296">
        <f>+'1.mell._Össz_Mérleg2020'!F64</f>
        <v>1100</v>
      </c>
    </row>
    <row r="324" spans="1:51" hidden="1">
      <c r="A324" s="296"/>
      <c r="B324" s="828"/>
      <c r="C324" s="918"/>
      <c r="D324" s="296"/>
      <c r="G324" s="296"/>
      <c r="H324" s="296"/>
      <c r="I324" s="296"/>
      <c r="J324" s="296"/>
      <c r="K324" s="296"/>
      <c r="L324" s="296"/>
      <c r="M324" s="296"/>
      <c r="N324" s="296"/>
      <c r="O324" s="296">
        <f t="shared" ref="O324:AD324" si="1079">+O159-O323</f>
        <v>0</v>
      </c>
      <c r="P324" s="296">
        <f t="shared" si="1079"/>
        <v>0</v>
      </c>
      <c r="Q324" s="296">
        <f t="shared" si="1079"/>
        <v>0</v>
      </c>
      <c r="R324" s="296">
        <f t="shared" si="1079"/>
        <v>0</v>
      </c>
      <c r="S324" s="296">
        <f t="shared" si="1079"/>
        <v>0</v>
      </c>
      <c r="T324" s="296">
        <f t="shared" si="1079"/>
        <v>0</v>
      </c>
      <c r="U324" s="296">
        <f t="shared" si="1079"/>
        <v>0</v>
      </c>
      <c r="V324" s="296">
        <f t="shared" si="1079"/>
        <v>0</v>
      </c>
      <c r="W324" s="296">
        <f t="shared" si="1079"/>
        <v>0</v>
      </c>
      <c r="X324" s="296">
        <f t="shared" si="1079"/>
        <v>0</v>
      </c>
      <c r="Y324" s="296">
        <f t="shared" si="1079"/>
        <v>0</v>
      </c>
      <c r="Z324" s="296">
        <f t="shared" si="1079"/>
        <v>0</v>
      </c>
      <c r="AA324" s="296">
        <f t="shared" si="1079"/>
        <v>0</v>
      </c>
      <c r="AB324" s="296">
        <f t="shared" si="1079"/>
        <v>0</v>
      </c>
      <c r="AC324" s="296">
        <f t="shared" si="1079"/>
        <v>0</v>
      </c>
      <c r="AD324" s="296">
        <f t="shared" si="1079"/>
        <v>0</v>
      </c>
      <c r="AE324" s="296"/>
      <c r="AF324" s="296"/>
      <c r="AG324" s="296"/>
      <c r="AH324" s="296"/>
      <c r="AI324" s="296">
        <f t="shared" ref="AI324:AT324" si="1080">+AI159-AI323</f>
        <v>0</v>
      </c>
      <c r="AJ324" s="296">
        <f t="shared" si="1080"/>
        <v>0</v>
      </c>
      <c r="AK324" s="296">
        <f t="shared" si="1080"/>
        <v>0</v>
      </c>
      <c r="AL324" s="296">
        <f t="shared" si="1080"/>
        <v>0</v>
      </c>
      <c r="AM324" s="296">
        <f t="shared" si="1080"/>
        <v>0</v>
      </c>
      <c r="AN324" s="296">
        <f t="shared" si="1080"/>
        <v>0</v>
      </c>
      <c r="AO324" s="296">
        <f t="shared" si="1080"/>
        <v>0</v>
      </c>
      <c r="AP324" s="296">
        <f t="shared" si="1080"/>
        <v>0</v>
      </c>
      <c r="AQ324" s="296">
        <f t="shared" si="1080"/>
        <v>0</v>
      </c>
      <c r="AR324" s="296">
        <f t="shared" si="1080"/>
        <v>0</v>
      </c>
      <c r="AS324" s="296">
        <f t="shared" si="1080"/>
        <v>0</v>
      </c>
      <c r="AT324" s="296">
        <f t="shared" si="1080"/>
        <v>0</v>
      </c>
    </row>
    <row r="325" spans="1:51" hidden="1">
      <c r="A325" s="296"/>
      <c r="B325" s="828"/>
      <c r="C325" s="918"/>
      <c r="D325" s="296"/>
      <c r="G325" s="296"/>
      <c r="H325" s="296"/>
      <c r="I325" s="296"/>
      <c r="J325" s="296"/>
      <c r="K325" s="296"/>
      <c r="L325" s="296"/>
      <c r="M325" s="296"/>
      <c r="N325" s="296"/>
    </row>
    <row r="326" spans="1:51" hidden="1">
      <c r="A326" s="296"/>
      <c r="B326" s="828"/>
      <c r="C326" s="918"/>
      <c r="D326" s="296"/>
      <c r="G326" s="296"/>
      <c r="H326" s="296"/>
      <c r="I326" s="296"/>
      <c r="J326" s="296"/>
      <c r="K326" s="296"/>
      <c r="L326" s="296"/>
      <c r="M326" s="296"/>
      <c r="N326" s="296"/>
      <c r="O326" s="296">
        <f>+'1.mell._Össz_Mérleg2020'!C110</f>
        <v>715534</v>
      </c>
      <c r="P326" s="296">
        <f>+'1.mell._Össz_Mérleg2020'!D110</f>
        <v>821897</v>
      </c>
      <c r="Q326" s="296">
        <f>+'1.mell._Össz_Mérleg2020'!E110</f>
        <v>5506</v>
      </c>
      <c r="R326" s="296">
        <f>+'1.mell._Össz_Mérleg2020'!F110</f>
        <v>827403</v>
      </c>
      <c r="S326" s="296">
        <f>+'1.mell._Össz_Mérleg2020'!C114</f>
        <v>130817</v>
      </c>
      <c r="T326" s="296">
        <f>+'1.mell._Össz_Mérleg2020'!D114</f>
        <v>142723</v>
      </c>
      <c r="U326" s="296">
        <f>+'1.mell._Össz_Mérleg2020'!E114</f>
        <v>818</v>
      </c>
      <c r="V326" s="296">
        <f>+'1.mell._Össz_Mérleg2020'!F114</f>
        <v>143541</v>
      </c>
      <c r="W326" s="296">
        <f>+'1.mell._Össz_Mérleg2020'!C116</f>
        <v>401997</v>
      </c>
      <c r="X326" s="296">
        <f>+'1.mell._Össz_Mérleg2020'!D116</f>
        <v>394387</v>
      </c>
      <c r="Y326" s="296">
        <f>+'1.mell._Össz_Mérleg2020'!E116</f>
        <v>13320</v>
      </c>
      <c r="Z326" s="296">
        <f>+'1.mell._Össz_Mérleg2020'!F116</f>
        <v>407707</v>
      </c>
      <c r="AA326" s="296">
        <f>+'1.mell._Össz_Mérleg2020'!C123</f>
        <v>52779</v>
      </c>
      <c r="AB326" s="296">
        <f>+'1.mell._Össz_Mérleg2020'!D123</f>
        <v>52779</v>
      </c>
      <c r="AC326" s="296">
        <f>+'1.mell._Össz_Mérleg2020'!E123</f>
        <v>0</v>
      </c>
      <c r="AD326" s="296">
        <f>+'1.mell._Össz_Mérleg2020'!F123</f>
        <v>52779</v>
      </c>
      <c r="AE326" s="296">
        <f>+'1.mell._Össz_Mérleg2020'!C132</f>
        <v>2717621</v>
      </c>
      <c r="AF326" s="296">
        <f>+'1.mell._Össz_Mérleg2020'!D132</f>
        <v>3213524</v>
      </c>
      <c r="AG326" s="296">
        <f>+'1.mell._Össz_Mérleg2020'!E132</f>
        <v>-34740</v>
      </c>
      <c r="AH326" s="296">
        <f>+'1.mell._Össz_Mérleg2020'!F132</f>
        <v>3178784</v>
      </c>
      <c r="AM326" s="296">
        <f>+'1.mell._Össz_Mérleg2020'!C150</f>
        <v>436722</v>
      </c>
      <c r="AN326" s="296">
        <f>+'1.mell._Össz_Mérleg2020'!D150</f>
        <v>463722</v>
      </c>
      <c r="AO326" s="296">
        <f>+'1.mell._Össz_Mérleg2020'!E150</f>
        <v>16538</v>
      </c>
      <c r="AP326" s="296">
        <f>+'1.mell._Össz_Mérleg2020'!F150</f>
        <v>480260</v>
      </c>
      <c r="AQ326" s="296">
        <f>+'1.mell._Össz_Mérleg2020'!C159</f>
        <v>67258</v>
      </c>
      <c r="AR326" s="296">
        <f>+'1.mell._Össz_Mérleg2020'!D159</f>
        <v>61258</v>
      </c>
      <c r="AS326" s="296">
        <f>+'1.mell._Össz_Mérleg2020'!E159</f>
        <v>0</v>
      </c>
      <c r="AT326" s="296">
        <f>+'1.mell._Össz_Mérleg2020'!F159</f>
        <v>61258</v>
      </c>
      <c r="AU326" s="296">
        <f>+'1.mell._Össz_Mérleg2020'!C165</f>
        <v>0</v>
      </c>
      <c r="AV326" s="296">
        <f>+'1.mell._Össz_Mérleg2020'!D165</f>
        <v>0</v>
      </c>
      <c r="AW326" s="296">
        <f>+'1.mell._Össz_Mérleg2020'!E165</f>
        <v>19162</v>
      </c>
      <c r="AX326" s="296">
        <f>+'1.mell._Össz_Mérleg2020'!F165</f>
        <v>19162</v>
      </c>
    </row>
    <row r="327" spans="1:51" hidden="1">
      <c r="A327" s="296"/>
      <c r="B327" s="828"/>
      <c r="C327" s="918"/>
      <c r="D327" s="296"/>
      <c r="G327" s="296"/>
      <c r="H327" s="296"/>
      <c r="I327" s="296"/>
      <c r="J327" s="296"/>
      <c r="K327" s="296"/>
      <c r="L327" s="296"/>
      <c r="M327" s="296"/>
      <c r="N327" s="296"/>
      <c r="O327" s="296">
        <f t="shared" ref="O327:AH327" si="1081">+O321-O326</f>
        <v>0</v>
      </c>
      <c r="P327" s="296">
        <f t="shared" si="1081"/>
        <v>0</v>
      </c>
      <c r="Q327" s="296">
        <f t="shared" si="1081"/>
        <v>0</v>
      </c>
      <c r="R327" s="296">
        <f t="shared" si="1081"/>
        <v>0</v>
      </c>
      <c r="S327" s="296">
        <f t="shared" si="1081"/>
        <v>0</v>
      </c>
      <c r="T327" s="296">
        <f t="shared" si="1081"/>
        <v>0</v>
      </c>
      <c r="U327" s="296">
        <f t="shared" si="1081"/>
        <v>0</v>
      </c>
      <c r="V327" s="296">
        <f t="shared" si="1081"/>
        <v>0</v>
      </c>
      <c r="W327" s="296">
        <f t="shared" si="1081"/>
        <v>0</v>
      </c>
      <c r="X327" s="296">
        <f t="shared" si="1081"/>
        <v>0</v>
      </c>
      <c r="Y327" s="296">
        <f t="shared" si="1081"/>
        <v>0</v>
      </c>
      <c r="Z327" s="296">
        <f t="shared" si="1081"/>
        <v>0</v>
      </c>
      <c r="AA327" s="296">
        <f t="shared" si="1081"/>
        <v>0</v>
      </c>
      <c r="AB327" s="296">
        <f t="shared" si="1081"/>
        <v>0</v>
      </c>
      <c r="AC327" s="296">
        <f t="shared" si="1081"/>
        <v>0</v>
      </c>
      <c r="AD327" s="296">
        <f t="shared" si="1081"/>
        <v>0</v>
      </c>
      <c r="AE327" s="296">
        <f t="shared" si="1081"/>
        <v>0</v>
      </c>
      <c r="AF327" s="296">
        <f t="shared" si="1081"/>
        <v>0</v>
      </c>
      <c r="AG327" s="296">
        <f t="shared" si="1081"/>
        <v>0</v>
      </c>
      <c r="AH327" s="296">
        <f t="shared" si="1081"/>
        <v>0</v>
      </c>
      <c r="AM327" s="296">
        <f t="shared" ref="AM327:AX327" si="1082">+AM321-AM326</f>
        <v>0</v>
      </c>
      <c r="AN327" s="296">
        <f t="shared" si="1082"/>
        <v>0</v>
      </c>
      <c r="AO327" s="296">
        <f t="shared" si="1082"/>
        <v>0</v>
      </c>
      <c r="AP327" s="296">
        <f t="shared" si="1082"/>
        <v>0</v>
      </c>
      <c r="AQ327" s="296">
        <f t="shared" si="1082"/>
        <v>0</v>
      </c>
      <c r="AR327" s="296">
        <f t="shared" si="1082"/>
        <v>0</v>
      </c>
      <c r="AS327" s="296">
        <f t="shared" si="1082"/>
        <v>0</v>
      </c>
      <c r="AT327" s="296">
        <f t="shared" si="1082"/>
        <v>0</v>
      </c>
      <c r="AU327" s="296">
        <f t="shared" si="1082"/>
        <v>0</v>
      </c>
      <c r="AV327" s="296">
        <f t="shared" si="1082"/>
        <v>0</v>
      </c>
      <c r="AW327" s="296">
        <f t="shared" si="1082"/>
        <v>0</v>
      </c>
      <c r="AX327" s="296">
        <f t="shared" si="1082"/>
        <v>0</v>
      </c>
    </row>
  </sheetData>
  <mergeCells count="89">
    <mergeCell ref="AQ168:AT168"/>
    <mergeCell ref="AU168:AX168"/>
    <mergeCell ref="K5:N6"/>
    <mergeCell ref="O5:AD5"/>
    <mergeCell ref="AE5:AH6"/>
    <mergeCell ref="AI5:AT5"/>
    <mergeCell ref="O6:R6"/>
    <mergeCell ref="S6:V6"/>
    <mergeCell ref="W6:Z6"/>
    <mergeCell ref="AA6:AD6"/>
    <mergeCell ref="AI6:AL6"/>
    <mergeCell ref="AM6:AP6"/>
    <mergeCell ref="AQ6:AT6"/>
    <mergeCell ref="G5:J6"/>
    <mergeCell ref="G167:J168"/>
    <mergeCell ref="A5:A7"/>
    <mergeCell ref="F5:F7"/>
    <mergeCell ref="E5:E7"/>
    <mergeCell ref="C5:C7"/>
    <mergeCell ref="D5:D7"/>
    <mergeCell ref="C91:F91"/>
    <mergeCell ref="C110:F110"/>
    <mergeCell ref="C131:F131"/>
    <mergeCell ref="C133:F133"/>
    <mergeCell ref="C135:F135"/>
    <mergeCell ref="C307:F307"/>
    <mergeCell ref="C295:F295"/>
    <mergeCell ref="C253:F253"/>
    <mergeCell ref="C98:F98"/>
    <mergeCell ref="C145:F145"/>
    <mergeCell ref="C102:F102"/>
    <mergeCell ref="C144:F144"/>
    <mergeCell ref="C142:F142"/>
    <mergeCell ref="C136:F136"/>
    <mergeCell ref="C139:F139"/>
    <mergeCell ref="C123:F123"/>
    <mergeCell ref="C124:F124"/>
    <mergeCell ref="C157:F157"/>
    <mergeCell ref="C152:F152"/>
    <mergeCell ref="C154:F154"/>
    <mergeCell ref="C156:F156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O167:AH167"/>
    <mergeCell ref="AI167:AL168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8:R168"/>
    <mergeCell ref="S168:V168"/>
    <mergeCell ref="W168:Z168"/>
    <mergeCell ref="AA168:AD168"/>
    <mergeCell ref="AE168:AH168"/>
    <mergeCell ref="AM168:AP168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P286"/>
  <sheetViews>
    <sheetView zoomScaleNormal="100" workbookViewId="0"/>
  </sheetViews>
  <sheetFormatPr defaultColWidth="13" defaultRowHeight="12"/>
  <cols>
    <col min="1" max="1" width="5" style="536" customWidth="1"/>
    <col min="2" max="2" width="74.140625" style="262" bestFit="1" customWidth="1"/>
    <col min="3" max="9" width="11.5703125" style="262" customWidth="1"/>
    <col min="10" max="10" width="11.5703125" style="535" customWidth="1"/>
    <col min="11" max="18" width="11.5703125" style="262" customWidth="1"/>
    <col min="19" max="19" width="11.5703125" style="535" customWidth="1"/>
    <col min="20" max="22" width="11.5703125" style="262" customWidth="1"/>
    <col min="23" max="23" width="11.5703125" style="535" customWidth="1"/>
    <col min="24" max="24" width="11.42578125" style="262" customWidth="1"/>
    <col min="25" max="26" width="9.28515625" style="262" hidden="1" customWidth="1"/>
    <col min="27" max="27" width="10.140625" style="262" hidden="1" customWidth="1"/>
    <col min="28" max="29" width="13" style="262" hidden="1" customWidth="1"/>
    <col min="30" max="30" width="10.28515625" style="262" hidden="1" customWidth="1"/>
    <col min="31" max="31" width="9.28515625" style="262" hidden="1" customWidth="1"/>
    <col min="32" max="36" width="13" style="262" hidden="1" customWidth="1"/>
    <col min="37" max="37" width="13" style="262" customWidth="1"/>
    <col min="38" max="16384" width="13" style="262"/>
  </cols>
  <sheetData>
    <row r="1" spans="1:42" s="651" customFormat="1" ht="15.75">
      <c r="A1" s="650"/>
      <c r="J1" s="652"/>
      <c r="S1" s="652"/>
      <c r="W1" s="189" t="s">
        <v>591</v>
      </c>
    </row>
    <row r="2" spans="1:42" s="651" customFormat="1" ht="15.75">
      <c r="A2" s="650"/>
      <c r="J2" s="652"/>
      <c r="S2" s="652"/>
      <c r="W2" s="189"/>
    </row>
    <row r="3" spans="1:42" s="652" customFormat="1" ht="15.75">
      <c r="A3" s="653"/>
      <c r="B3" s="1579" t="s">
        <v>827</v>
      </c>
      <c r="C3" s="1579"/>
      <c r="D3" s="1579"/>
      <c r="E3" s="1579"/>
      <c r="F3" s="1579"/>
      <c r="G3" s="1579"/>
      <c r="H3" s="1579"/>
      <c r="I3" s="1579"/>
      <c r="J3" s="1579"/>
      <c r="K3" s="1579"/>
      <c r="L3" s="1579"/>
      <c r="M3" s="1579"/>
      <c r="N3" s="1579"/>
      <c r="O3" s="1579"/>
      <c r="P3" s="1579"/>
      <c r="Q3" s="1579"/>
      <c r="R3" s="1579"/>
      <c r="S3" s="1579"/>
      <c r="T3" s="1579"/>
      <c r="U3" s="1579"/>
      <c r="V3" s="1579"/>
      <c r="W3" s="1579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</row>
    <row r="4" spans="1:42" s="535" customFormat="1" ht="11.25" customHeight="1">
      <c r="A4" s="58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</row>
    <row r="5" spans="1:42" ht="12.75" thickBot="1">
      <c r="W5" s="239" t="s">
        <v>457</v>
      </c>
    </row>
    <row r="6" spans="1:42" s="538" customFormat="1" ht="72.75" thickBot="1">
      <c r="A6" s="1429" t="s">
        <v>17</v>
      </c>
      <c r="B6" s="469" t="s">
        <v>1586</v>
      </c>
      <c r="C6" s="882" t="s">
        <v>762</v>
      </c>
      <c r="D6" s="355" t="s">
        <v>524</v>
      </c>
      <c r="E6" s="355" t="s">
        <v>763</v>
      </c>
      <c r="F6" s="355" t="s">
        <v>1147</v>
      </c>
      <c r="G6" s="355" t="s">
        <v>531</v>
      </c>
      <c r="H6" s="355" t="s">
        <v>532</v>
      </c>
      <c r="I6" s="354" t="s">
        <v>1148</v>
      </c>
      <c r="J6" s="297" t="s">
        <v>523</v>
      </c>
      <c r="K6" s="882" t="s">
        <v>46</v>
      </c>
      <c r="L6" s="355" t="s">
        <v>446</v>
      </c>
      <c r="M6" s="355" t="s">
        <v>447</v>
      </c>
      <c r="N6" s="355" t="s">
        <v>765</v>
      </c>
      <c r="O6" s="355" t="s">
        <v>1149</v>
      </c>
      <c r="P6" s="355" t="s">
        <v>450</v>
      </c>
      <c r="Q6" s="355" t="s">
        <v>451</v>
      </c>
      <c r="R6" s="292" t="s">
        <v>1150</v>
      </c>
      <c r="S6" s="297" t="s">
        <v>526</v>
      </c>
      <c r="T6" s="537" t="s">
        <v>755</v>
      </c>
      <c r="U6" s="1099" t="s">
        <v>1552</v>
      </c>
      <c r="V6" s="1079" t="s">
        <v>1551</v>
      </c>
      <c r="W6" s="537" t="s">
        <v>756</v>
      </c>
      <c r="AB6" s="965" t="s">
        <v>1157</v>
      </c>
      <c r="AC6" s="538" t="s">
        <v>1068</v>
      </c>
      <c r="AD6" s="538" t="s">
        <v>1043</v>
      </c>
      <c r="AE6" s="538" t="s">
        <v>1222</v>
      </c>
      <c r="AF6" s="538" t="s">
        <v>1155</v>
      </c>
      <c r="AG6" s="538" t="s">
        <v>1154</v>
      </c>
      <c r="AH6" s="538" t="s">
        <v>1153</v>
      </c>
      <c r="AI6" s="964" t="s">
        <v>1158</v>
      </c>
      <c r="AJ6" s="538" t="s">
        <v>1223</v>
      </c>
    </row>
    <row r="7" spans="1:42">
      <c r="A7" s="825">
        <v>1</v>
      </c>
      <c r="B7" s="731" t="s">
        <v>414</v>
      </c>
      <c r="C7" s="540">
        <f>+SUMIF('13.mell_ÖNKfeladatok2020'!$B$5:$B$159,'14.mell_Önk kiegészítés2020'!$A7,'13.mell_ÖNKfeladatok2020'!O$5:O$159)</f>
        <v>0</v>
      </c>
      <c r="D7" s="540">
        <f>+SUMIF('13.mell_ÖNKfeladatok2020'!$B$5:$B$159,'14.mell_Önk kiegészítés2020'!$A7,'13.mell_ÖNKfeladatok2020'!S$5:S$159)</f>
        <v>0</v>
      </c>
      <c r="E7" s="540">
        <f>+SUMIF('13.mell_ÖNKfeladatok2020'!$B$5:$B$159,'14.mell_Önk kiegészítés2020'!$A7,'13.mell_ÖNKfeladatok2020'!W$5:W$159)</f>
        <v>0</v>
      </c>
      <c r="F7" s="540">
        <f>+SUMIF('13.mell_ÖNKfeladatok2020'!$B$5:$B$159,'14.mell_Önk kiegészítés2020'!$A7,'13.mell_ÖNKfeladatok2020'!AA$5:AA$159)</f>
        <v>0</v>
      </c>
      <c r="G7" s="540">
        <f>+SUMIF('13.mell_ÖNKfeladatok2020'!$B$5:$B$159,'14.mell_Önk kiegészítés2020'!$A7,'13.mell_ÖNKfeladatok2020'!AI$5:AI$159)</f>
        <v>0</v>
      </c>
      <c r="H7" s="540">
        <f>+SUMIF('13.mell_ÖNKfeladatok2020'!$B$5:$B$159,'14.mell_Önk kiegészítés2020'!$A7,'13.mell_ÖNKfeladatok2020'!AM$5:AM$159)</f>
        <v>0</v>
      </c>
      <c r="I7" s="540">
        <f>+SUMIF('13.mell_ÖNKfeladatok2020'!$B$5:$B$159,'14.mell_Önk kiegészítés2020'!$A7,'13.mell_ÖNKfeladatok2020'!AQ$5:AQ$159)</f>
        <v>0</v>
      </c>
      <c r="J7" s="732">
        <f>SUM(C7:I7)</f>
        <v>0</v>
      </c>
      <c r="K7" s="540">
        <f>+SUMIF('13.mell_ÖNKfeladatok2020'!$B$167:$B$321,'14.mell_Önk kiegészítés2020'!$A7,'13.mell_ÖNKfeladatok2020'!O$167:O$321)</f>
        <v>43051.999999999993</v>
      </c>
      <c r="L7" s="540">
        <f>+SUMIF('13.mell_ÖNKfeladatok2020'!$B$167:$B$321,'14.mell_Önk kiegészítés2020'!$A7,'13.mell_ÖNKfeladatok2020'!S$167:S$321)</f>
        <v>6719</v>
      </c>
      <c r="M7" s="540">
        <f>+SUMIF('13.mell_ÖNKfeladatok2020'!$B$167:$B$321,'14.mell_Önk kiegészítés2020'!$A7,'13.mell_ÖNKfeladatok2020'!W$167:W$321)</f>
        <v>658</v>
      </c>
      <c r="N7" s="540">
        <f>+SUMIF('13.mell_ÖNKfeladatok2020'!$B$167:$B$321,'14.mell_Önk kiegészítés2020'!$A7,'13.mell_ÖNKfeladatok2020'!AA$167:AA$321)</f>
        <v>0</v>
      </c>
      <c r="O7" s="540">
        <f>+SUMIF('13.mell_ÖNKfeladatok2020'!$B$167:$B$321,'14.mell_Önk kiegészítés2020'!$A7,'13.mell_ÖNKfeladatok2020'!AE$167:AE$321)</f>
        <v>0</v>
      </c>
      <c r="P7" s="540">
        <f>+SUMIF('13.mell_ÖNKfeladatok2020'!$B$167:$B$321,'14.mell_Önk kiegészítés2020'!$A7,'13.mell_ÖNKfeladatok2020'!AM$167:AM$321)</f>
        <v>0</v>
      </c>
      <c r="Q7" s="540">
        <f>+SUMIF('13.mell_ÖNKfeladatok2020'!$B$167:$B$321,'14.mell_Önk kiegészítés2020'!$A7,'13.mell_ÖNKfeladatok2020'!AQ$167:AQ$321)</f>
        <v>0</v>
      </c>
      <c r="R7" s="540">
        <f>+SUMIF('13.mell_ÖNKfeladatok2020'!$B$167:$B$321,'14.mell_Önk kiegészítés2020'!$A7,'13.mell_ÖNKfeladatok2020'!AU$167:AU$321)</f>
        <v>0</v>
      </c>
      <c r="S7" s="732">
        <f>SUM(K7:R7)</f>
        <v>50428.999999999993</v>
      </c>
      <c r="T7" s="733">
        <f>S7-J7</f>
        <v>50428.999999999993</v>
      </c>
      <c r="U7" s="540">
        <f>+ROUND(SUMIF('10.mell_támogatások2020'!$B$6:$B$137,'14.mell_Önk kiegészítés2020'!$A7,'10.mell_támogatások2020'!D$6:D$137)/1000,0)</f>
        <v>1794</v>
      </c>
      <c r="V7" s="540"/>
      <c r="W7" s="733">
        <f>+T7-U7-V7</f>
        <v>48634.999999999993</v>
      </c>
    </row>
    <row r="8" spans="1:42">
      <c r="A8" s="826">
        <f>+A7+1</f>
        <v>2</v>
      </c>
      <c r="B8" s="539" t="s">
        <v>649</v>
      </c>
      <c r="C8" s="540">
        <f>+SUMIF('13.mell_ÖNKfeladatok2020'!$B$5:$B$159,'14.mell_Önk kiegészítés2020'!$A8,'13.mell_ÖNKfeladatok2020'!O$5:O$159)</f>
        <v>0</v>
      </c>
      <c r="D8" s="540">
        <f>+SUMIF('13.mell_ÖNKfeladatok2020'!$B$5:$B$159,'14.mell_Önk kiegészítés2020'!$A8,'13.mell_ÖNKfeladatok2020'!S$5:S$159)</f>
        <v>0</v>
      </c>
      <c r="E8" s="540">
        <f>+SUMIF('13.mell_ÖNKfeladatok2020'!$B$5:$B$159,'14.mell_Önk kiegészítés2020'!$A8,'13.mell_ÖNKfeladatok2020'!W$5:W$159)</f>
        <v>1500</v>
      </c>
      <c r="F8" s="540">
        <f>+SUMIF('13.mell_ÖNKfeladatok2020'!$B$5:$B$159,'14.mell_Önk kiegészítés2020'!$A8,'13.mell_ÖNKfeladatok2020'!AA$5:AA$159)</f>
        <v>0</v>
      </c>
      <c r="G8" s="540">
        <f>+SUMIF('13.mell_ÖNKfeladatok2020'!$B$5:$B$159,'14.mell_Önk kiegészítés2020'!$A8,'13.mell_ÖNKfeladatok2020'!AI$5:AI$159)</f>
        <v>0</v>
      </c>
      <c r="H8" s="540">
        <f>+SUMIF('13.mell_ÖNKfeladatok2020'!$B$5:$B$159,'14.mell_Önk kiegészítés2020'!$A8,'13.mell_ÖNKfeladatok2020'!AM$5:AM$159)</f>
        <v>0</v>
      </c>
      <c r="I8" s="540">
        <f>+SUMIF('13.mell_ÖNKfeladatok2020'!$B$5:$B$159,'14.mell_Önk kiegészítés2020'!$A8,'13.mell_ÖNKfeladatok2020'!AQ$5:AQ$159)</f>
        <v>0</v>
      </c>
      <c r="J8" s="581">
        <f>SUM(C8:I8)</f>
        <v>1500</v>
      </c>
      <c r="K8" s="540">
        <f>+SUMIF('13.mell_ÖNKfeladatok2020'!$B$167:$B$321,'14.mell_Önk kiegészítés2020'!$A8,'13.mell_ÖNKfeladatok2020'!O$167:O$321)</f>
        <v>0</v>
      </c>
      <c r="L8" s="540">
        <f>+SUMIF('13.mell_ÖNKfeladatok2020'!$B$167:$B$321,'14.mell_Önk kiegészítés2020'!$A8,'13.mell_ÖNKfeladatok2020'!S$167:S$321)</f>
        <v>0</v>
      </c>
      <c r="M8" s="540">
        <f>+SUMIF('13.mell_ÖNKfeladatok2020'!$B$167:$B$321,'14.mell_Önk kiegészítés2020'!$A8,'13.mell_ÖNKfeladatok2020'!W$167:W$321)</f>
        <v>2319</v>
      </c>
      <c r="N8" s="540">
        <f>+SUMIF('13.mell_ÖNKfeladatok2020'!$B$167:$B$321,'14.mell_Önk kiegészítés2020'!$A8,'13.mell_ÖNKfeladatok2020'!AA$167:AA$321)</f>
        <v>0</v>
      </c>
      <c r="O8" s="540">
        <f>+SUMIF('13.mell_ÖNKfeladatok2020'!$B$167:$B$321,'14.mell_Önk kiegészítés2020'!$A8,'13.mell_ÖNKfeladatok2020'!AE$167:AE$321)</f>
        <v>0</v>
      </c>
      <c r="P8" s="540">
        <f>+SUMIF('13.mell_ÖNKfeladatok2020'!$B$167:$B$321,'14.mell_Önk kiegészítés2020'!$A8,'13.mell_ÖNKfeladatok2020'!AM$167:AM$321)</f>
        <v>0</v>
      </c>
      <c r="Q8" s="540">
        <f>+SUMIF('13.mell_ÖNKfeladatok2020'!$B$167:$B$321,'14.mell_Önk kiegészítés2020'!$A8,'13.mell_ÖNKfeladatok2020'!AQ$167:AQ$321)</f>
        <v>0</v>
      </c>
      <c r="R8" s="540">
        <f>+SUMIF('13.mell_ÖNKfeladatok2020'!$B$167:$B$321,'14.mell_Önk kiegészítés2020'!$A8,'13.mell_ÖNKfeladatok2020'!AU$167:AU$321)</f>
        <v>0</v>
      </c>
      <c r="S8" s="581">
        <f t="shared" ref="S8:S10" si="0">SUM(K8:R8)</f>
        <v>2319</v>
      </c>
      <c r="T8" s="541">
        <f>S8-J8</f>
        <v>819</v>
      </c>
      <c r="U8" s="1100">
        <f>+ROUND(SUMIF('10.mell_támogatások2020'!$B$6:$B$137,'14.mell_Önk kiegészítés2020'!$A8,'10.mell_támogatások2020'!D$6:D$137)/1000,0)</f>
        <v>3460</v>
      </c>
      <c r="V8" s="1080"/>
      <c r="W8" s="541">
        <f t="shared" ref="W8:W14" si="1">+T8-U8-V8</f>
        <v>-2641</v>
      </c>
    </row>
    <row r="9" spans="1:42">
      <c r="A9" s="826">
        <f>+A8+1</f>
        <v>3</v>
      </c>
      <c r="B9" s="542" t="s">
        <v>644</v>
      </c>
      <c r="C9" s="543">
        <f>+SUMIF('13.mell_ÖNKfeladatok2020'!$B$5:$B$159,'14.mell_Önk kiegészítés2020'!$A9,'13.mell_ÖNKfeladatok2020'!O$5:O$159)</f>
        <v>0</v>
      </c>
      <c r="D9" s="543">
        <f>+SUMIF('13.mell_ÖNKfeladatok2020'!$B$5:$B$159,'14.mell_Önk kiegészítés2020'!$A9,'13.mell_ÖNKfeladatok2020'!S$5:S$159)</f>
        <v>0</v>
      </c>
      <c r="E9" s="543">
        <f>+SUMIF('13.mell_ÖNKfeladatok2020'!$B$5:$B$159,'14.mell_Önk kiegészítés2020'!$A9,'13.mell_ÖNKfeladatok2020'!W$5:W$159)</f>
        <v>0</v>
      </c>
      <c r="F9" s="543">
        <f>+SUMIF('13.mell_ÖNKfeladatok2020'!$B$5:$B$159,'14.mell_Önk kiegészítés2020'!$A9,'13.mell_ÖNKfeladatok2020'!AA$5:AA$159)</f>
        <v>0</v>
      </c>
      <c r="G9" s="540">
        <f>+SUMIF('13.mell_ÖNKfeladatok2020'!$B$5:$B$159,'14.mell_Önk kiegészítés2020'!$A9,'13.mell_ÖNKfeladatok2020'!AI$5:AI$159)</f>
        <v>0</v>
      </c>
      <c r="H9" s="543">
        <f>+SUMIF('13.mell_ÖNKfeladatok2020'!$B$5:$B$159,'14.mell_Önk kiegészítés2020'!$A9,'13.mell_ÖNKfeladatok2020'!AM$5:AM$159)</f>
        <v>0</v>
      </c>
      <c r="I9" s="543">
        <f>+SUMIF('13.mell_ÖNKfeladatok2020'!$B$5:$B$159,'14.mell_Önk kiegészítés2020'!$A9,'13.mell_ÖNKfeladatok2020'!AQ$5:AQ$159)</f>
        <v>0</v>
      </c>
      <c r="J9" s="582">
        <f t="shared" ref="J9:J10" si="2">SUM(C9:I9)</f>
        <v>0</v>
      </c>
      <c r="K9" s="543">
        <f>+SUMIF('13.mell_ÖNKfeladatok2020'!$B$167:$B$321,'14.mell_Önk kiegészítés2020'!$A9,'13.mell_ÖNKfeladatok2020'!O$167:O$321)</f>
        <v>0</v>
      </c>
      <c r="L9" s="543">
        <f>+SUMIF('13.mell_ÖNKfeladatok2020'!$B$167:$B$321,'14.mell_Önk kiegészítés2020'!$A9,'13.mell_ÖNKfeladatok2020'!S$167:S$321)</f>
        <v>0</v>
      </c>
      <c r="M9" s="543">
        <f>+SUMIF('13.mell_ÖNKfeladatok2020'!$B$167:$B$321,'14.mell_Önk kiegészítés2020'!$A9,'13.mell_ÖNKfeladatok2020'!W$167:W$321)</f>
        <v>25000</v>
      </c>
      <c r="N9" s="543">
        <f>+SUMIF('13.mell_ÖNKfeladatok2020'!$B$167:$B$321,'14.mell_Önk kiegészítés2020'!$A9,'13.mell_ÖNKfeladatok2020'!AA$167:AA$321)</f>
        <v>0</v>
      </c>
      <c r="O9" s="543">
        <f>+SUMIF('13.mell_ÖNKfeladatok2020'!$B$167:$B$321,'14.mell_Önk kiegészítés2020'!$A9,'13.mell_ÖNKfeladatok2020'!AE$167:AE$321)</f>
        <v>0</v>
      </c>
      <c r="P9" s="543">
        <f>+SUMIF('13.mell_ÖNKfeladatok2020'!$B$167:$B$321,'14.mell_Önk kiegészítés2020'!$A9,'13.mell_ÖNKfeladatok2020'!AM$167:AM$321)</f>
        <v>1500</v>
      </c>
      <c r="Q9" s="543">
        <f>+SUMIF('13.mell_ÖNKfeladatok2020'!$B$167:$B$321,'14.mell_Önk kiegészítés2020'!$A9,'13.mell_ÖNKfeladatok2020'!AQ$167:AQ$321)</f>
        <v>0</v>
      </c>
      <c r="R9" s="543">
        <f>+SUMIF('13.mell_ÖNKfeladatok2020'!$B$167:$B$321,'14.mell_Önk kiegészítés2020'!$A9,'13.mell_ÖNKfeladatok2020'!AU$167:AU$321)</f>
        <v>0</v>
      </c>
      <c r="S9" s="582">
        <f t="shared" si="0"/>
        <v>26500</v>
      </c>
      <c r="T9" s="544">
        <f t="shared" ref="T9:T10" si="3">S9-J9</f>
        <v>26500</v>
      </c>
      <c r="U9" s="1100">
        <f>+ROUND(SUMIF('10.mell_támogatások2020'!$B$6:$B$137,'14.mell_Önk kiegészítés2020'!$A9,'10.mell_támogatások2020'!D$6:D$137)/1000,0)</f>
        <v>26600</v>
      </c>
      <c r="V9" s="1080"/>
      <c r="W9" s="544">
        <f t="shared" si="1"/>
        <v>-100</v>
      </c>
    </row>
    <row r="10" spans="1:42">
      <c r="A10" s="826">
        <f>+A9+1</f>
        <v>4</v>
      </c>
      <c r="B10" s="542" t="s">
        <v>646</v>
      </c>
      <c r="C10" s="543">
        <f>+SUMIF('13.mell_ÖNKfeladatok2020'!$B$5:$B$159,'14.mell_Önk kiegészítés2020'!$A10,'13.mell_ÖNKfeladatok2020'!O$5:O$159)</f>
        <v>0</v>
      </c>
      <c r="D10" s="543">
        <f>+SUMIF('13.mell_ÖNKfeladatok2020'!$B$5:$B$159,'14.mell_Önk kiegészítés2020'!$A10,'13.mell_ÖNKfeladatok2020'!S$5:S$159)</f>
        <v>0</v>
      </c>
      <c r="E10" s="543">
        <f>+SUMIF('13.mell_ÖNKfeladatok2020'!$B$5:$B$159,'14.mell_Önk kiegészítés2020'!$A10,'13.mell_ÖNKfeladatok2020'!W$5:W$159)</f>
        <v>0</v>
      </c>
      <c r="F10" s="543">
        <f>+SUMIF('13.mell_ÖNKfeladatok2020'!$B$5:$B$159,'14.mell_Önk kiegészítés2020'!$A10,'13.mell_ÖNKfeladatok2020'!AA$5:AA$159)</f>
        <v>0</v>
      </c>
      <c r="G10" s="540">
        <f>+SUMIF('13.mell_ÖNKfeladatok2020'!$B$5:$B$159,'14.mell_Önk kiegészítés2020'!$A10,'13.mell_ÖNKfeladatok2020'!AI$5:AI$159)</f>
        <v>0</v>
      </c>
      <c r="H10" s="543">
        <f>+SUMIF('13.mell_ÖNKfeladatok2020'!$B$5:$B$159,'14.mell_Önk kiegészítés2020'!$A10,'13.mell_ÖNKfeladatok2020'!AM$5:AM$159)</f>
        <v>0</v>
      </c>
      <c r="I10" s="543">
        <f>+SUMIF('13.mell_ÖNKfeladatok2020'!$B$5:$B$159,'14.mell_Önk kiegészítés2020'!$A10,'13.mell_ÖNKfeladatok2020'!AQ$5:AQ$159)</f>
        <v>0</v>
      </c>
      <c r="J10" s="582">
        <f t="shared" si="2"/>
        <v>0</v>
      </c>
      <c r="K10" s="543">
        <f>+SUMIF('13.mell_ÖNKfeladatok2020'!$B$167:$B$321,'14.mell_Önk kiegészítés2020'!$A10,'13.mell_ÖNKfeladatok2020'!O$167:O$321)</f>
        <v>0</v>
      </c>
      <c r="L10" s="543">
        <f>+SUMIF('13.mell_ÖNKfeladatok2020'!$B$167:$B$321,'14.mell_Önk kiegészítés2020'!$A10,'13.mell_ÖNKfeladatok2020'!S$167:S$321)</f>
        <v>0</v>
      </c>
      <c r="M10" s="543">
        <f>+SUMIF('13.mell_ÖNKfeladatok2020'!$B$167:$B$321,'14.mell_Önk kiegészítés2020'!$A10,'13.mell_ÖNKfeladatok2020'!W$167:W$321)</f>
        <v>13381</v>
      </c>
      <c r="N10" s="543">
        <f>+SUMIF('13.mell_ÖNKfeladatok2020'!$B$167:$B$321,'14.mell_Önk kiegészítés2020'!$A10,'13.mell_ÖNKfeladatok2020'!AA$167:AA$321)</f>
        <v>0</v>
      </c>
      <c r="O10" s="543">
        <f>+SUMIF('13.mell_ÖNKfeladatok2020'!$B$167:$B$321,'14.mell_Önk kiegészítés2020'!$A10,'13.mell_ÖNKfeladatok2020'!AE$167:AE$321)</f>
        <v>0</v>
      </c>
      <c r="P10" s="543">
        <f>+SUMIF('13.mell_ÖNKfeladatok2020'!$B$167:$B$321,'14.mell_Önk kiegészítés2020'!$A10,'13.mell_ÖNKfeladatok2020'!AM$167:AM$321)</f>
        <v>0</v>
      </c>
      <c r="Q10" s="543">
        <f>+SUMIF('13.mell_ÖNKfeladatok2020'!$B$167:$B$321,'14.mell_Önk kiegészítés2020'!$A10,'13.mell_ÖNKfeladatok2020'!AQ$167:AQ$321)</f>
        <v>0</v>
      </c>
      <c r="R10" s="543">
        <f>+SUMIF('13.mell_ÖNKfeladatok2020'!$B$167:$B$321,'14.mell_Önk kiegészítés2020'!$A10,'13.mell_ÖNKfeladatok2020'!AU$167:AU$321)</f>
        <v>0</v>
      </c>
      <c r="S10" s="582">
        <f t="shared" si="0"/>
        <v>13381</v>
      </c>
      <c r="T10" s="544">
        <f t="shared" si="3"/>
        <v>13381</v>
      </c>
      <c r="U10" s="1100">
        <f>+ROUND(SUMIF('10.mell_támogatások2020'!$B$6:$B$137,'14.mell_Önk kiegészítés2020'!$A10,'10.mell_támogatások2020'!D$6:D$137)/1000,0)</f>
        <v>15266</v>
      </c>
      <c r="V10" s="1080">
        <v>13930</v>
      </c>
      <c r="W10" s="544">
        <f t="shared" si="1"/>
        <v>-15815</v>
      </c>
      <c r="AI10" s="262">
        <v>13930</v>
      </c>
    </row>
    <row r="11" spans="1:42">
      <c r="A11" s="826">
        <f>+A10+1</f>
        <v>5</v>
      </c>
      <c r="B11" s="542" t="s">
        <v>643</v>
      </c>
      <c r="C11" s="543">
        <f>+SUMIF('13.mell_ÖNKfeladatok2020'!$B$5:$B$159,'14.mell_Önk kiegészítés2020'!$A11,'13.mell_ÖNKfeladatok2020'!O$5:O$159)</f>
        <v>0</v>
      </c>
      <c r="D11" s="543">
        <f>+SUMIF('13.mell_ÖNKfeladatok2020'!$B$5:$B$159,'14.mell_Önk kiegészítés2020'!$A11,'13.mell_ÖNKfeladatok2020'!S$5:S$159)</f>
        <v>0</v>
      </c>
      <c r="E11" s="543">
        <f>+SUMIF('13.mell_ÖNKfeladatok2020'!$B$5:$B$159,'14.mell_Önk kiegészítés2020'!$A11,'13.mell_ÖNKfeladatok2020'!W$5:W$159)</f>
        <v>0</v>
      </c>
      <c r="F11" s="543">
        <f>+SUMIF('13.mell_ÖNKfeladatok2020'!$B$5:$B$159,'14.mell_Önk kiegészítés2020'!$A11,'13.mell_ÖNKfeladatok2020'!AA$5:AA$159)</f>
        <v>0</v>
      </c>
      <c r="G11" s="540">
        <f>+SUMIF('13.mell_ÖNKfeladatok2020'!$B$5:$B$159,'14.mell_Önk kiegészítés2020'!$A11,'13.mell_ÖNKfeladatok2020'!AI$5:AI$159)</f>
        <v>0</v>
      </c>
      <c r="H11" s="543">
        <f>+SUMIF('13.mell_ÖNKfeladatok2020'!$B$5:$B$159,'14.mell_Önk kiegészítés2020'!$A11,'13.mell_ÖNKfeladatok2020'!AM$5:AM$159)</f>
        <v>0</v>
      </c>
      <c r="I11" s="543">
        <f>+SUMIF('13.mell_ÖNKfeladatok2020'!$B$5:$B$159,'14.mell_Önk kiegészítés2020'!$A11,'13.mell_ÖNKfeladatok2020'!AQ$5:AQ$159)</f>
        <v>0</v>
      </c>
      <c r="J11" s="582">
        <f>SUM(C11:I11)</f>
        <v>0</v>
      </c>
      <c r="K11" s="543">
        <f>+SUMIF('13.mell_ÖNKfeladatok2020'!$B$167:$B$321,'14.mell_Önk kiegészítés2020'!$A11,'13.mell_ÖNKfeladatok2020'!O$167:O$321)</f>
        <v>0</v>
      </c>
      <c r="L11" s="543">
        <f>+SUMIF('13.mell_ÖNKfeladatok2020'!$B$167:$B$321,'14.mell_Önk kiegészítés2020'!$A11,'13.mell_ÖNKfeladatok2020'!S$167:S$321)</f>
        <v>0</v>
      </c>
      <c r="M11" s="543">
        <f>+SUMIF('13.mell_ÖNKfeladatok2020'!$B$167:$B$321,'14.mell_Önk kiegészítés2020'!$A11,'13.mell_ÖNKfeladatok2020'!W$167:W$321)</f>
        <v>12899</v>
      </c>
      <c r="N11" s="543">
        <f>+SUMIF('13.mell_ÖNKfeladatok2020'!$B$167:$B$321,'14.mell_Önk kiegészítés2020'!$A11,'13.mell_ÖNKfeladatok2020'!AA$167:AA$321)</f>
        <v>0</v>
      </c>
      <c r="O11" s="543">
        <f>+SUMIF('13.mell_ÖNKfeladatok2020'!$B$167:$B$321,'14.mell_Önk kiegészítés2020'!$A11,'13.mell_ÖNKfeladatok2020'!AE$167:AE$321)</f>
        <v>0</v>
      </c>
      <c r="P11" s="543">
        <f>+SUMIF('13.mell_ÖNKfeladatok2020'!$B$167:$B$321,'14.mell_Önk kiegészítés2020'!$A11,'13.mell_ÖNKfeladatok2020'!AM$167:AM$321)</f>
        <v>0</v>
      </c>
      <c r="Q11" s="543">
        <f>+SUMIF('13.mell_ÖNKfeladatok2020'!$B$167:$B$321,'14.mell_Önk kiegészítés2020'!$A11,'13.mell_ÖNKfeladatok2020'!AQ$167:AQ$321)</f>
        <v>61258</v>
      </c>
      <c r="R11" s="543">
        <f>+SUMIF('13.mell_ÖNKfeladatok2020'!$B$167:$B$321,'14.mell_Önk kiegészítés2020'!$A11,'13.mell_ÖNKfeladatok2020'!AU$167:AU$321)</f>
        <v>0</v>
      </c>
      <c r="S11" s="582">
        <f>SUM(K11:R11)</f>
        <v>74157</v>
      </c>
      <c r="T11" s="544">
        <f>S11-J11</f>
        <v>74157</v>
      </c>
      <c r="U11" s="1100">
        <f>+ROUND(SUMIF('10.mell_támogatások2020'!$B$6:$B$137,'14.mell_Önk kiegészítés2020'!$A11,'10.mell_támogatások2020'!D$6:D$137)/1000,0)</f>
        <v>14918</v>
      </c>
      <c r="V11" s="1080"/>
      <c r="W11" s="544">
        <f t="shared" si="1"/>
        <v>59239</v>
      </c>
    </row>
    <row r="12" spans="1:42">
      <c r="A12" s="826">
        <f>+A11+1</f>
        <v>6</v>
      </c>
      <c r="B12" s="542" t="s">
        <v>1496</v>
      </c>
      <c r="C12" s="543">
        <f>+SUMIF('13.mell_ÖNKfeladatok2020'!$B$5:$B$159,'14.mell_Önk kiegészítés2020'!$A12,'13.mell_ÖNKfeladatok2020'!O$5:O$159)</f>
        <v>0</v>
      </c>
      <c r="D12" s="543">
        <f>+SUMIF('13.mell_ÖNKfeladatok2020'!$B$5:$B$159,'14.mell_Önk kiegészítés2020'!$A12,'13.mell_ÖNKfeladatok2020'!S$5:S$159)</f>
        <v>0</v>
      </c>
      <c r="E12" s="543">
        <f>+SUMIF('13.mell_ÖNKfeladatok2020'!$B$5:$B$159,'14.mell_Önk kiegészítés2020'!$A12,'13.mell_ÖNKfeladatok2020'!W$5:W$159)</f>
        <v>0</v>
      </c>
      <c r="F12" s="543">
        <f>+SUMIF('13.mell_ÖNKfeladatok2020'!$B$5:$B$159,'14.mell_Önk kiegészítés2020'!$A12,'13.mell_ÖNKfeladatok2020'!AA$5:AA$159)</f>
        <v>0</v>
      </c>
      <c r="G12" s="540">
        <f>+SUMIF('13.mell_ÖNKfeladatok2020'!$B$5:$B$159,'14.mell_Önk kiegészítés2020'!$A12,'13.mell_ÖNKfeladatok2020'!AI$5:AI$159)</f>
        <v>0</v>
      </c>
      <c r="H12" s="543">
        <f>+SUMIF('13.mell_ÖNKfeladatok2020'!$B$5:$B$159,'14.mell_Önk kiegészítés2020'!$A12,'13.mell_ÖNKfeladatok2020'!AM$5:AM$159)</f>
        <v>0</v>
      </c>
      <c r="I12" s="543">
        <f>+SUMIF('13.mell_ÖNKfeladatok2020'!$B$5:$B$159,'14.mell_Önk kiegészítés2020'!$A12,'13.mell_ÖNKfeladatok2020'!AQ$5:AQ$159)</f>
        <v>0</v>
      </c>
      <c r="J12" s="582">
        <f t="shared" ref="J12" si="4">SUM(C12:I12)</f>
        <v>0</v>
      </c>
      <c r="K12" s="543">
        <f>+SUMIF('13.mell_ÖNKfeladatok2020'!$B$167:$B$321,'14.mell_Önk kiegészítés2020'!$A12,'13.mell_ÖNKfeladatok2020'!O$167:O$321)</f>
        <v>0</v>
      </c>
      <c r="L12" s="543">
        <f>+SUMIF('13.mell_ÖNKfeladatok2020'!$B$167:$B$321,'14.mell_Önk kiegészítés2020'!$A12,'13.mell_ÖNKfeladatok2020'!S$167:S$321)</f>
        <v>0</v>
      </c>
      <c r="M12" s="543">
        <f>+SUMIF('13.mell_ÖNKfeladatok2020'!$B$167:$B$321,'14.mell_Önk kiegészítés2020'!$A12,'13.mell_ÖNKfeladatok2020'!W$167:W$321)</f>
        <v>0</v>
      </c>
      <c r="N12" s="543">
        <f>+SUMIF('13.mell_ÖNKfeladatok2020'!$B$167:$B$321,'14.mell_Önk kiegészítés2020'!$A12,'13.mell_ÖNKfeladatok2020'!AA$167:AA$321)</f>
        <v>49355</v>
      </c>
      <c r="O12" s="543">
        <f>+SUMIF('13.mell_ÖNKfeladatok2020'!$B$167:$B$321,'14.mell_Önk kiegészítés2020'!$A12,'13.mell_ÖNKfeladatok2020'!AE$167:AE$321)</f>
        <v>0</v>
      </c>
      <c r="P12" s="543">
        <f>+SUMIF('13.mell_ÖNKfeladatok2020'!$B$167:$B$321,'14.mell_Önk kiegészítés2020'!$A12,'13.mell_ÖNKfeladatok2020'!AM$167:AM$321)</f>
        <v>0</v>
      </c>
      <c r="Q12" s="543">
        <f>+SUMIF('13.mell_ÖNKfeladatok2020'!$B$167:$B$321,'14.mell_Önk kiegészítés2020'!$A12,'13.mell_ÖNKfeladatok2020'!AQ$167:AQ$321)</f>
        <v>0</v>
      </c>
      <c r="R12" s="543">
        <f>+SUMIF('13.mell_ÖNKfeladatok2020'!$B$167:$B$321,'14.mell_Önk kiegészítés2020'!$A12,'13.mell_ÖNKfeladatok2020'!AU$167:AU$321)</f>
        <v>0</v>
      </c>
      <c r="S12" s="582">
        <f t="shared" ref="S12" si="5">SUM(K12:R12)</f>
        <v>49355</v>
      </c>
      <c r="T12" s="544">
        <f t="shared" ref="T12" si="6">S12-J12</f>
        <v>49355</v>
      </c>
      <c r="U12" s="1100">
        <f>+ROUND(SUMIF('10.mell_támogatások2020'!$B$6:$B$137,'14.mell_Önk kiegészítés2020'!$A12,'10.mell_támogatások2020'!D$6:D$137)/1000,0)</f>
        <v>122456</v>
      </c>
      <c r="V12" s="1080"/>
      <c r="W12" s="544">
        <f t="shared" si="1"/>
        <v>-73101</v>
      </c>
      <c r="Y12" s="880">
        <f>+W12+W16+W36+W37+W63-W36+13319</f>
        <v>-32355</v>
      </c>
      <c r="Z12" s="262" t="s">
        <v>1313</v>
      </c>
    </row>
    <row r="13" spans="1:42">
      <c r="A13" s="826">
        <f>A12+1</f>
        <v>7</v>
      </c>
      <c r="B13" s="542" t="s">
        <v>774</v>
      </c>
      <c r="C13" s="543">
        <f>+SUMIF('13.mell_ÖNKfeladatok2020'!$B$5:$B$159,'14.mell_Önk kiegészítés2020'!$A13,'13.mell_ÖNKfeladatok2020'!O$5:O$159)</f>
        <v>0</v>
      </c>
      <c r="D13" s="543">
        <f>+SUMIF('13.mell_ÖNKfeladatok2020'!$B$5:$B$159,'14.mell_Önk kiegészítés2020'!$A13,'13.mell_ÖNKfeladatok2020'!S$5:S$159)</f>
        <v>0</v>
      </c>
      <c r="E13" s="543">
        <f>+SUMIF('13.mell_ÖNKfeladatok2020'!$B$5:$B$159,'14.mell_Önk kiegészítés2020'!$A13,'13.mell_ÖNKfeladatok2020'!W$5:W$159)</f>
        <v>0</v>
      </c>
      <c r="F13" s="543">
        <f>+SUMIF('13.mell_ÖNKfeladatok2020'!$B$5:$B$159,'14.mell_Önk kiegészítés2020'!$A13,'13.mell_ÖNKfeladatok2020'!AA$5:AA$159)</f>
        <v>0</v>
      </c>
      <c r="G13" s="540">
        <f>+SUMIF('13.mell_ÖNKfeladatok2020'!$B$5:$B$159,'14.mell_Önk kiegészítés2020'!$A13,'13.mell_ÖNKfeladatok2020'!AI$5:AI$159)</f>
        <v>0</v>
      </c>
      <c r="H13" s="543">
        <f>+SUMIF('13.mell_ÖNKfeladatok2020'!$B$5:$B$159,'14.mell_Önk kiegészítés2020'!$A13,'13.mell_ÖNKfeladatok2020'!AM$5:AM$159)</f>
        <v>0</v>
      </c>
      <c r="I13" s="543">
        <f>+SUMIF('13.mell_ÖNKfeladatok2020'!$B$5:$B$159,'14.mell_Önk kiegészítés2020'!$A13,'13.mell_ÖNKfeladatok2020'!AQ$5:AQ$159)</f>
        <v>0</v>
      </c>
      <c r="J13" s="582">
        <f>SUM(C13:I13)</f>
        <v>0</v>
      </c>
      <c r="K13" s="543">
        <f>+SUMIF('13.mell_ÖNKfeladatok2020'!$B$167:$B$321,'14.mell_Önk kiegészítés2020'!$A13,'13.mell_ÖNKfeladatok2020'!O$167:O$321)</f>
        <v>0</v>
      </c>
      <c r="L13" s="543">
        <f>+SUMIF('13.mell_ÖNKfeladatok2020'!$B$167:$B$321,'14.mell_Önk kiegészítés2020'!$A13,'13.mell_ÖNKfeladatok2020'!S$167:S$321)</f>
        <v>0</v>
      </c>
      <c r="M13" s="543">
        <f>+SUMIF('13.mell_ÖNKfeladatok2020'!$B$167:$B$321,'14.mell_Önk kiegészítés2020'!$A13,'13.mell_ÖNKfeladatok2020'!W$167:W$321)</f>
        <v>0</v>
      </c>
      <c r="N13" s="543">
        <f>+SUMIF('13.mell_ÖNKfeladatok2020'!$B$167:$B$321,'14.mell_Önk kiegészítés2020'!$A13,'13.mell_ÖNKfeladatok2020'!AA$167:AA$321)</f>
        <v>0</v>
      </c>
      <c r="O13" s="543">
        <f>+SUMIF('13.mell_ÖNKfeladatok2020'!$B$167:$B$321,'14.mell_Önk kiegészítés2020'!$A13,'13.mell_ÖNKfeladatok2020'!AE$167:AE$321)</f>
        <v>0</v>
      </c>
      <c r="P13" s="543">
        <f>+SUMIF('13.mell_ÖNKfeladatok2020'!$B$167:$B$321,'14.mell_Önk kiegészítés2020'!$A13,'13.mell_ÖNKfeladatok2020'!AM$167:AM$321)</f>
        <v>0</v>
      </c>
      <c r="Q13" s="543">
        <f>+SUMIF('13.mell_ÖNKfeladatok2020'!$B$167:$B$321,'14.mell_Önk kiegészítés2020'!$A13,'13.mell_ÖNKfeladatok2020'!AQ$167:AQ$321)</f>
        <v>0</v>
      </c>
      <c r="R13" s="543">
        <f>+SUMIF('13.mell_ÖNKfeladatok2020'!$B$167:$B$321,'14.mell_Önk kiegészítés2020'!$A13,'13.mell_ÖNKfeladatok2020'!AU$167:AU$321)</f>
        <v>0</v>
      </c>
      <c r="S13" s="582">
        <f>SUM(K13:R13)</f>
        <v>0</v>
      </c>
      <c r="T13" s="544">
        <f>S13-J13</f>
        <v>0</v>
      </c>
      <c r="U13" s="1101">
        <f>+ROUND(SUMIF('10.mell_támogatások2020'!$B$6:$B$137,'14.mell_Önk kiegészítés2020'!$A13,'10.mell_támogatások2020'!D$6:D$137)/1000,0)</f>
        <v>0</v>
      </c>
      <c r="V13" s="1081"/>
      <c r="W13" s="544">
        <f t="shared" si="1"/>
        <v>0</v>
      </c>
    </row>
    <row r="14" spans="1:42" ht="12.75" thickBot="1">
      <c r="A14" s="826">
        <f>+A13+1</f>
        <v>8</v>
      </c>
      <c r="B14" s="545" t="s">
        <v>757</v>
      </c>
      <c r="C14" s="543">
        <f>+SUMIF('13.mell_ÖNKfeladatok2020'!$B$5:$B$159,'14.mell_Önk kiegészítés2020'!$A14,'13.mell_ÖNKfeladatok2020'!O$5:O$159)</f>
        <v>988986</v>
      </c>
      <c r="D14" s="546">
        <f>+SUMIF('13.mell_ÖNKfeladatok2020'!$B$5:$B$159,'14.mell_Önk kiegészítés2020'!$A14,'13.mell_ÖNKfeladatok2020'!S$5:S$159)</f>
        <v>396552</v>
      </c>
      <c r="E14" s="546">
        <f>+SUMIF('13.mell_ÖNKfeladatok2020'!$B$5:$B$159,'14.mell_Önk kiegészítés2020'!$A14,'13.mell_ÖNKfeladatok2020'!W$5:W$159)</f>
        <v>121738</v>
      </c>
      <c r="F14" s="546">
        <f>+SUMIF('13.mell_ÖNKfeladatok2020'!$B$5:$B$159,'14.mell_Önk kiegészítés2020'!$A14,'13.mell_ÖNKfeladatok2020'!AA$5:AA$159)</f>
        <v>0</v>
      </c>
      <c r="G14" s="540">
        <f>+SUMIF('13.mell_ÖNKfeladatok2020'!$B$5:$B$159,'14.mell_Önk kiegészítés2020'!$A14,'13.mell_ÖNKfeladatok2020'!AI$5:AI$159)</f>
        <v>32276</v>
      </c>
      <c r="H14" s="546">
        <f>+SUMIF('13.mell_ÖNKfeladatok2020'!$B$5:$B$159,'14.mell_Önk kiegészítés2020'!$A14,'13.mell_ÖNKfeladatok2020'!AM$5:AM$159)</f>
        <v>40350</v>
      </c>
      <c r="I14" s="546">
        <f>+SUMIF('13.mell_ÖNKfeladatok2020'!$B$5:$B$159,'14.mell_Önk kiegészítés2020'!$A14,'13.mell_ÖNKfeladatok2020'!AQ$5:AQ$159)</f>
        <v>0</v>
      </c>
      <c r="J14" s="582">
        <f t="shared" ref="J14" si="7">SUM(C14:I14)</f>
        <v>1579902</v>
      </c>
      <c r="K14" s="543">
        <f>+SUMIF('13.mell_ÖNKfeladatok2020'!$B$167:$B$321,'14.mell_Önk kiegészítés2020'!$A14,'13.mell_ÖNKfeladatok2020'!O$167:O$321)</f>
        <v>33433</v>
      </c>
      <c r="L14" s="543">
        <f>+SUMIF('13.mell_ÖNKfeladatok2020'!$B$167:$B$321,'14.mell_Önk kiegészítés2020'!$A14,'13.mell_ÖNKfeladatok2020'!S$167:S$321)</f>
        <v>3695</v>
      </c>
      <c r="M14" s="543">
        <f>+SUMIF('13.mell_ÖNKfeladatok2020'!$B$167:$B$321,'14.mell_Önk kiegészítés2020'!$A14,'13.mell_ÖNKfeladatok2020'!W$167:W$321)</f>
        <v>129518</v>
      </c>
      <c r="N14" s="543">
        <f>+SUMIF('13.mell_ÖNKfeladatok2020'!$B$167:$B$321,'14.mell_Önk kiegészítés2020'!$A14,'13.mell_ÖNKfeladatok2020'!AA$167:AA$321)</f>
        <v>0</v>
      </c>
      <c r="O14" s="543">
        <f>+SUMIF('13.mell_ÖNKfeladatok2020'!$B$167:$B$321,'14.mell_Önk kiegészítés2020'!$A14,'13.mell_ÖNKfeladatok2020'!AE$167:AE$321)</f>
        <v>2708607</v>
      </c>
      <c r="P14" s="543">
        <f>+SUMIF('13.mell_ÖNKfeladatok2020'!$B$167:$B$321,'14.mell_Önk kiegészítés2020'!$A14,'13.mell_ÖNKfeladatok2020'!AM$167:AM$321)</f>
        <v>73500</v>
      </c>
      <c r="Q14" s="543">
        <f>+SUMIF('13.mell_ÖNKfeladatok2020'!$B$167:$B$321,'14.mell_Önk kiegészítés2020'!$A14,'13.mell_ÖNKfeladatok2020'!AQ$167:AQ$321)</f>
        <v>6000</v>
      </c>
      <c r="R14" s="543">
        <f>+SUMIF('13.mell_ÖNKfeladatok2020'!$B$167:$B$321,'14.mell_Önk kiegészítés2020'!$A14,'13.mell_ÖNKfeladatok2020'!AU$167:AU$321)</f>
        <v>0</v>
      </c>
      <c r="S14" s="582">
        <f t="shared" ref="S14" si="8">SUM(K14:R14)</f>
        <v>2954753</v>
      </c>
      <c r="T14" s="544">
        <f t="shared" ref="T14" si="9">S14-J14</f>
        <v>1374851</v>
      </c>
      <c r="U14" s="1101">
        <f>-ROUND('10.mell_támogatások2020'!D$137/1000,0)+ROUND(SUMIF('10.mell_támogatások2020'!$B$6:$B$137,'14.mell_Önk kiegészítés2020'!$A14,'10.mell_támogatások2020'!D$6:D$137)/1000,0)-2</f>
        <v>-754252</v>
      </c>
      <c r="V14" s="1081">
        <f>2845803-33049-10024+61637</f>
        <v>2864367</v>
      </c>
      <c r="W14" s="544">
        <f t="shared" si="1"/>
        <v>-735264</v>
      </c>
      <c r="AC14" s="262">
        <v>2845803</v>
      </c>
      <c r="AE14" s="262">
        <f>-26419-6630</f>
        <v>-33049</v>
      </c>
      <c r="AF14" s="262">
        <v>-10024</v>
      </c>
      <c r="AI14" s="262">
        <f>11933+6559+43145</f>
        <v>61637</v>
      </c>
    </row>
    <row r="15" spans="1:42" s="535" customFormat="1" ht="12.75" thickBot="1">
      <c r="A15" s="547" t="s">
        <v>587</v>
      </c>
      <c r="B15" s="548" t="s">
        <v>410</v>
      </c>
      <c r="C15" s="549">
        <f>SUM(C7:C14)</f>
        <v>988986</v>
      </c>
      <c r="D15" s="550">
        <f t="shared" ref="D15:W15" si="10">SUM(D7:D14)</f>
        <v>396552</v>
      </c>
      <c r="E15" s="550">
        <f t="shared" si="10"/>
        <v>123238</v>
      </c>
      <c r="F15" s="550">
        <f t="shared" si="10"/>
        <v>0</v>
      </c>
      <c r="G15" s="550">
        <f t="shared" si="10"/>
        <v>32276</v>
      </c>
      <c r="H15" s="550">
        <f t="shared" si="10"/>
        <v>40350</v>
      </c>
      <c r="I15" s="551">
        <f t="shared" si="10"/>
        <v>0</v>
      </c>
      <c r="J15" s="552">
        <f t="shared" si="10"/>
        <v>1581402</v>
      </c>
      <c r="K15" s="549">
        <f t="shared" si="10"/>
        <v>76485</v>
      </c>
      <c r="L15" s="549">
        <f t="shared" si="10"/>
        <v>10414</v>
      </c>
      <c r="M15" s="549">
        <f t="shared" si="10"/>
        <v>183775</v>
      </c>
      <c r="N15" s="549">
        <f t="shared" si="10"/>
        <v>49355</v>
      </c>
      <c r="O15" s="549">
        <f t="shared" si="10"/>
        <v>2708607</v>
      </c>
      <c r="P15" s="549">
        <f t="shared" si="10"/>
        <v>75000</v>
      </c>
      <c r="Q15" s="549">
        <f t="shared" si="10"/>
        <v>67258</v>
      </c>
      <c r="R15" s="549">
        <f t="shared" si="10"/>
        <v>0</v>
      </c>
      <c r="S15" s="552">
        <f t="shared" si="10"/>
        <v>3170894</v>
      </c>
      <c r="T15" s="552">
        <f t="shared" si="10"/>
        <v>1589492</v>
      </c>
      <c r="U15" s="1102">
        <f t="shared" si="10"/>
        <v>-569758</v>
      </c>
      <c r="V15" s="553">
        <f t="shared" si="10"/>
        <v>2878297</v>
      </c>
      <c r="W15" s="552">
        <f t="shared" si="10"/>
        <v>-719047</v>
      </c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</row>
    <row r="16" spans="1:42" ht="12.75">
      <c r="A16" s="826">
        <f>+A14+1</f>
        <v>9</v>
      </c>
      <c r="B16" s="545" t="s">
        <v>772</v>
      </c>
      <c r="C16" s="546">
        <f>+SUMIF('13.mell_ÖNKfeladatok2020'!$B$5:$B$159,'14.mell_Önk kiegészítés2020'!$A16,'13.mell_ÖNKfeladatok2020'!O$5:O$159)</f>
        <v>0</v>
      </c>
      <c r="D16" s="546">
        <f>+SUMIF('13.mell_ÖNKfeladatok2020'!$B$5:$B$159,'14.mell_Önk kiegészítés2020'!$A16,'13.mell_ÖNKfeladatok2020'!S$5:S$159)</f>
        <v>0</v>
      </c>
      <c r="E16" s="546">
        <f>+SUMIF('13.mell_ÖNKfeladatok2020'!$B$5:$B$159,'14.mell_Önk kiegészítés2020'!$A16,'13.mell_ÖNKfeladatok2020'!W$5:W$159)</f>
        <v>0</v>
      </c>
      <c r="F16" s="546">
        <f>+SUMIF('13.mell_ÖNKfeladatok2020'!$B$5:$B$159,'14.mell_Önk kiegészítés2020'!$A16,'13.mell_ÖNKfeladatok2020'!AA$5:AA$159)</f>
        <v>0</v>
      </c>
      <c r="G16" s="546">
        <f>+SUMIF('13.mell_ÖNKfeladatok2020'!$B$5:$B$159,'14.mell_Önk kiegészítés2020'!$A16,'13.mell_ÖNKfeladatok2020'!AI$5:AI$159)</f>
        <v>0</v>
      </c>
      <c r="H16" s="546">
        <f>+SUMIF('13.mell_ÖNKfeladatok2020'!$B$5:$B$159,'14.mell_Önk kiegészítés2020'!$A16,'13.mell_ÖNKfeladatok2020'!AM$5:AM$159)</f>
        <v>0</v>
      </c>
      <c r="I16" s="546">
        <f>+SUMIF('13.mell_ÖNKfeladatok2020'!$B$5:$B$159,'14.mell_Önk kiegészítés2020'!$A16,'13.mell_ÖNKfeladatok2020'!AQ$5:AQ$159)</f>
        <v>0</v>
      </c>
      <c r="J16" s="583">
        <f>SUM(C16:I16)</f>
        <v>0</v>
      </c>
      <c r="K16" s="543">
        <f>+SUMIF('13.mell_ÖNKfeladatok2020'!$B$167:$B$321,'14.mell_Önk kiegészítés2020'!$A16,'13.mell_ÖNKfeladatok2020'!O$167:O$321)</f>
        <v>0</v>
      </c>
      <c r="L16" s="543">
        <f>+SUMIF('13.mell_ÖNKfeladatok2020'!$B$167:$B$321,'14.mell_Önk kiegészítés2020'!$A16,'13.mell_ÖNKfeladatok2020'!S$167:S$321)</f>
        <v>0</v>
      </c>
      <c r="M16" s="543">
        <f>+SUMIF('13.mell_ÖNKfeladatok2020'!$B$167:$B$321,'14.mell_Önk kiegészítés2020'!$A16,'13.mell_ÖNKfeladatok2020'!W$167:W$321)</f>
        <v>0</v>
      </c>
      <c r="N16" s="543">
        <f>+SUMIF('13.mell_ÖNKfeladatok2020'!$B$167:$B$321,'14.mell_Önk kiegészítés2020'!$A16,'13.mell_ÖNKfeladatok2020'!AA$167:AA$321)</f>
        <v>3424</v>
      </c>
      <c r="O16" s="543">
        <f>+SUMIF('13.mell_ÖNKfeladatok2020'!$B$167:$B$321,'14.mell_Önk kiegészítés2020'!$A16,'13.mell_ÖNKfeladatok2020'!AE$167:AE$321)</f>
        <v>0</v>
      </c>
      <c r="P16" s="543">
        <f>+SUMIF('13.mell_ÖNKfeladatok2020'!$B$167:$B$321,'14.mell_Önk kiegészítés2020'!$A16,'13.mell_ÖNKfeladatok2020'!AM$167:AM$321)</f>
        <v>0</v>
      </c>
      <c r="Q16" s="543">
        <f>+SUMIF('13.mell_ÖNKfeladatok2020'!$B$167:$B$321,'14.mell_Önk kiegészítés2020'!$A16,'13.mell_ÖNKfeladatok2020'!AQ$167:AQ$321)</f>
        <v>0</v>
      </c>
      <c r="R16" s="543">
        <f>+SUMIF('13.mell_ÖNKfeladatok2020'!$B$167:$B$321,'14.mell_Önk kiegészítés2020'!$A16,'13.mell_ÖNKfeladatok2020'!AU$167:AU$321)</f>
        <v>0</v>
      </c>
      <c r="S16" s="582">
        <f>SUM(K16:R16)</f>
        <v>3424</v>
      </c>
      <c r="T16" s="544">
        <f>S16-J16</f>
        <v>3424</v>
      </c>
      <c r="U16" s="1103">
        <f>+ROUND(SUMIF('10.mell_támogatások2020'!$B$6:$B$137,'14.mell_Önk kiegészítés2020'!$A16,'10.mell_támogatások2020'!D$6:D$137)/1000,0)</f>
        <v>0</v>
      </c>
      <c r="V16" s="1082"/>
      <c r="W16" s="544">
        <f t="shared" ref="W16:W17" si="11">+T16-U16-V16</f>
        <v>3424</v>
      </c>
    </row>
    <row r="17" spans="1:42" ht="12.75" thickBot="1">
      <c r="A17" s="826">
        <f>+A16+1</f>
        <v>10</v>
      </c>
      <c r="B17" s="545" t="s">
        <v>758</v>
      </c>
      <c r="C17" s="546">
        <f>+SUMIF('13.mell_ÖNKfeladatok2020'!$B$5:$B$159,'14.mell_Önk kiegészítés2020'!$A17,'13.mell_ÖNKfeladatok2020'!O$5:O$159)</f>
        <v>0</v>
      </c>
      <c r="D17" s="546">
        <f>+SUMIF('13.mell_ÖNKfeladatok2020'!$B$5:$B$159,'14.mell_Önk kiegészítés2020'!$A17,'13.mell_ÖNKfeladatok2020'!S$5:S$159)</f>
        <v>0</v>
      </c>
      <c r="E17" s="546">
        <f>+SUMIF('13.mell_ÖNKfeladatok2020'!$B$5:$B$159,'14.mell_Önk kiegészítés2020'!$A17,'13.mell_ÖNKfeladatok2020'!W$5:W$159)</f>
        <v>0</v>
      </c>
      <c r="F17" s="546">
        <f>+SUMIF('13.mell_ÖNKfeladatok2020'!$B$5:$B$159,'14.mell_Önk kiegészítés2020'!$A17,'13.mell_ÖNKfeladatok2020'!AA$5:AA$159)</f>
        <v>0</v>
      </c>
      <c r="G17" s="546">
        <f>+SUMIF('13.mell_ÖNKfeladatok2020'!$B$5:$B$159,'14.mell_Önk kiegészítés2020'!$A17,'13.mell_ÖNKfeladatok2020'!AI$5:AI$159)</f>
        <v>0</v>
      </c>
      <c r="H17" s="546">
        <f>+SUMIF('13.mell_ÖNKfeladatok2020'!$B$5:$B$159,'14.mell_Önk kiegészítés2020'!$A17,'13.mell_ÖNKfeladatok2020'!AM$5:AM$159)</f>
        <v>0</v>
      </c>
      <c r="I17" s="546">
        <f>+SUMIF('13.mell_ÖNKfeladatok2020'!$B$5:$B$159,'14.mell_Önk kiegészítés2020'!$A17,'13.mell_ÖNKfeladatok2020'!AQ$5:AQ$159)</f>
        <v>1100</v>
      </c>
      <c r="J17" s="583">
        <f t="shared" ref="J17" si="12">SUM(C17:I17)</f>
        <v>1100</v>
      </c>
      <c r="K17" s="543">
        <f>+SUMIF('13.mell_ÖNKfeladatok2020'!$B$167:$B$321,'14.mell_Önk kiegészítés2020'!$A17,'13.mell_ÖNKfeladatok2020'!O$167:O$321)</f>
        <v>0</v>
      </c>
      <c r="L17" s="543">
        <f>+SUMIF('13.mell_ÖNKfeladatok2020'!$B$167:$B$321,'14.mell_Önk kiegészítés2020'!$A17,'13.mell_ÖNKfeladatok2020'!S$167:S$321)</f>
        <v>0</v>
      </c>
      <c r="M17" s="543">
        <f>+SUMIF('13.mell_ÖNKfeladatok2020'!$B$167:$B$321,'14.mell_Önk kiegészítés2020'!$A17,'13.mell_ÖNKfeladatok2020'!W$167:W$321)</f>
        <v>2000</v>
      </c>
      <c r="N17" s="543">
        <f>+SUMIF('13.mell_ÖNKfeladatok2020'!$B$167:$B$321,'14.mell_Önk kiegészítés2020'!$A17,'13.mell_ÖNKfeladatok2020'!AA$167:AA$321)</f>
        <v>0</v>
      </c>
      <c r="O17" s="543">
        <f>+SUMIF('13.mell_ÖNKfeladatok2020'!$B$167:$B$321,'14.mell_Önk kiegészítés2020'!$A17,'13.mell_ÖNKfeladatok2020'!AE$167:AE$321)</f>
        <v>1000</v>
      </c>
      <c r="P17" s="543">
        <f>+SUMIF('13.mell_ÖNKfeladatok2020'!$B$167:$B$321,'14.mell_Önk kiegészítés2020'!$A17,'13.mell_ÖNKfeladatok2020'!AM$167:AM$321)</f>
        <v>345250</v>
      </c>
      <c r="Q17" s="543">
        <f>+SUMIF('13.mell_ÖNKfeladatok2020'!$B$167:$B$321,'14.mell_Önk kiegészítés2020'!$A17,'13.mell_ÖNKfeladatok2020'!AQ$167:AQ$321)</f>
        <v>0</v>
      </c>
      <c r="R17" s="543">
        <f>+SUMIF('13.mell_ÖNKfeladatok2020'!$B$167:$B$321,'14.mell_Önk kiegészítés2020'!$A17,'13.mell_ÖNKfeladatok2020'!AU$167:AU$321)</f>
        <v>0</v>
      </c>
      <c r="S17" s="582">
        <f>SUM(K17:R17)</f>
        <v>348250</v>
      </c>
      <c r="T17" s="544">
        <f t="shared" ref="T17" si="13">S17-J17</f>
        <v>347150</v>
      </c>
      <c r="U17" s="1101">
        <f>+ROUND(SUMIF('10.mell_támogatások2020'!$B$6:$B$137,'14.mell_Önk kiegészítés2020'!$A17,'10.mell_támogatások2020'!D$6:D$137)/1000,0)</f>
        <v>0</v>
      </c>
      <c r="V17" s="1081"/>
      <c r="W17" s="544">
        <f t="shared" si="11"/>
        <v>347150</v>
      </c>
    </row>
    <row r="18" spans="1:42" s="535" customFormat="1" ht="12.75" thickBot="1">
      <c r="A18" s="547" t="s">
        <v>588</v>
      </c>
      <c r="B18" s="548" t="s">
        <v>411</v>
      </c>
      <c r="C18" s="549">
        <f t="shared" ref="C18:U18" si="14">SUM(C16:C17)</f>
        <v>0</v>
      </c>
      <c r="D18" s="550">
        <f t="shared" si="14"/>
        <v>0</v>
      </c>
      <c r="E18" s="550">
        <f t="shared" si="14"/>
        <v>0</v>
      </c>
      <c r="F18" s="550">
        <f t="shared" si="14"/>
        <v>0</v>
      </c>
      <c r="G18" s="550">
        <f t="shared" si="14"/>
        <v>0</v>
      </c>
      <c r="H18" s="550">
        <f t="shared" si="14"/>
        <v>0</v>
      </c>
      <c r="I18" s="553">
        <f t="shared" si="14"/>
        <v>1100</v>
      </c>
      <c r="J18" s="552">
        <f t="shared" si="14"/>
        <v>1100</v>
      </c>
      <c r="K18" s="549">
        <f t="shared" si="14"/>
        <v>0</v>
      </c>
      <c r="L18" s="549">
        <f t="shared" si="14"/>
        <v>0</v>
      </c>
      <c r="M18" s="549">
        <f t="shared" si="14"/>
        <v>2000</v>
      </c>
      <c r="N18" s="549">
        <f t="shared" si="14"/>
        <v>3424</v>
      </c>
      <c r="O18" s="549">
        <f t="shared" si="14"/>
        <v>1000</v>
      </c>
      <c r="P18" s="549">
        <f t="shared" si="14"/>
        <v>345250</v>
      </c>
      <c r="Q18" s="549">
        <f t="shared" si="14"/>
        <v>0</v>
      </c>
      <c r="R18" s="549">
        <f t="shared" si="14"/>
        <v>0</v>
      </c>
      <c r="S18" s="552">
        <f t="shared" si="14"/>
        <v>351674</v>
      </c>
      <c r="T18" s="552">
        <f t="shared" si="14"/>
        <v>350574</v>
      </c>
      <c r="U18" s="1102">
        <f t="shared" si="14"/>
        <v>0</v>
      </c>
      <c r="V18" s="553">
        <f t="shared" ref="V18" si="15">SUM(V16:V17)</f>
        <v>0</v>
      </c>
      <c r="W18" s="552">
        <f t="shared" ref="W18" si="16">SUM(W16:W17)</f>
        <v>350574</v>
      </c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</row>
    <row r="19" spans="1:42" ht="12.75" thickBot="1">
      <c r="A19" s="826">
        <f>+A17+1</f>
        <v>11</v>
      </c>
      <c r="B19" s="554" t="s">
        <v>412</v>
      </c>
      <c r="C19" s="555">
        <f>+SUMIF('13.mell_ÖNKfeladatok2020'!$B$5:$B$159,'14.mell_Önk kiegészítés2020'!$A19,'13.mell_ÖNKfeladatok2020'!O$5:O$159)</f>
        <v>0</v>
      </c>
      <c r="D19" s="555">
        <f>+SUMIF('13.mell_ÖNKfeladatok2020'!$B$5:$B$159,'14.mell_Önk kiegészítés2020'!$A19,'13.mell_ÖNKfeladatok2020'!S$5:S$159)</f>
        <v>0</v>
      </c>
      <c r="E19" s="555">
        <f>+SUMIF('13.mell_ÖNKfeladatok2020'!$B$5:$B$159,'14.mell_Önk kiegészítés2020'!$A19,'13.mell_ÖNKfeladatok2020'!W$5:W$159)</f>
        <v>0</v>
      </c>
      <c r="F19" s="555">
        <f>+SUMIF('13.mell_ÖNKfeladatok2020'!$B$5:$B$159,'14.mell_Önk kiegészítés2020'!$A19,'13.mell_ÖNKfeladatok2020'!AA$5:AA$159)</f>
        <v>0</v>
      </c>
      <c r="G19" s="555">
        <f>+SUMIF('13.mell_ÖNKfeladatok2020'!$B$5:$B$159,'14.mell_Önk kiegészítés2020'!$A19,'13.mell_ÖNKfeladatok2020'!AI$5:AI$159)</f>
        <v>0</v>
      </c>
      <c r="H19" s="555">
        <f>+SUMIF('13.mell_ÖNKfeladatok2020'!$B$5:$B$159,'14.mell_Önk kiegészítés2020'!$A19,'13.mell_ÖNKfeladatok2020'!AM$5:AM$159)</f>
        <v>0</v>
      </c>
      <c r="I19" s="555">
        <f>+SUMIF('13.mell_ÖNKfeladatok2020'!$B$5:$B$159,'14.mell_Önk kiegészítés2020'!$A19,'13.mell_ÖNKfeladatok2020'!AQ$5:AQ$159)</f>
        <v>0</v>
      </c>
      <c r="J19" s="584">
        <f t="shared" ref="J19" si="17">SUM(C19:I19)</f>
        <v>0</v>
      </c>
      <c r="K19" s="543">
        <f>+SUMIF('13.mell_ÖNKfeladatok2020'!$B$167:$B$321,'14.mell_Önk kiegészítés2020'!$A19,'13.mell_ÖNKfeladatok2020'!O$167:O$321)</f>
        <v>0</v>
      </c>
      <c r="L19" s="543">
        <f>+SUMIF('13.mell_ÖNKfeladatok2020'!$B$167:$B$321,'14.mell_Önk kiegészítés2020'!$A19,'13.mell_ÖNKfeladatok2020'!S$167:S$321)</f>
        <v>0</v>
      </c>
      <c r="M19" s="543">
        <f>+SUMIF('13.mell_ÖNKfeladatok2020'!$B$167:$B$321,'14.mell_Önk kiegészítés2020'!$A19,'13.mell_ÖNKfeladatok2020'!W$167:W$321)</f>
        <v>0</v>
      </c>
      <c r="N19" s="543">
        <f>+SUMIF('13.mell_ÖNKfeladatok2020'!$B$167:$B$321,'14.mell_Önk kiegészítés2020'!$A19,'13.mell_ÖNKfeladatok2020'!AA$167:AA$321)</f>
        <v>0</v>
      </c>
      <c r="O19" s="543">
        <f>+SUMIF('13.mell_ÖNKfeladatok2020'!$B$167:$B$321,'14.mell_Önk kiegészítés2020'!$A19,'13.mell_ÖNKfeladatok2020'!AE$167:AE$321)</f>
        <v>0</v>
      </c>
      <c r="P19" s="543">
        <f>+SUMIF('13.mell_ÖNKfeladatok2020'!$B$167:$B$321,'14.mell_Önk kiegészítés2020'!$A19,'13.mell_ÖNKfeladatok2020'!AM$167:AM$321)</f>
        <v>0</v>
      </c>
      <c r="Q19" s="543">
        <f>+SUMIF('13.mell_ÖNKfeladatok2020'!$B$167:$B$321,'14.mell_Önk kiegészítés2020'!$A19,'13.mell_ÖNKfeladatok2020'!AQ$167:AQ$321)</f>
        <v>0</v>
      </c>
      <c r="R19" s="543">
        <f>+SUMIF('13.mell_ÖNKfeladatok2020'!$B$167:$B$321,'14.mell_Önk kiegészítés2020'!$A19,'13.mell_ÖNKfeladatok2020'!AU$167:AU$321)</f>
        <v>0</v>
      </c>
      <c r="S19" s="582">
        <f>SUM(K19:R19)</f>
        <v>0</v>
      </c>
      <c r="T19" s="544">
        <f t="shared" ref="T19" si="18">S19-J19</f>
        <v>0</v>
      </c>
      <c r="U19" s="1101">
        <f>+ROUND(SUMIF('10.mell_támogatások2020'!$B$6:$B$137,'14.mell_Önk kiegészítés2020'!$A19,'10.mell_támogatások2020'!D$6:D$137)/1000,0)</f>
        <v>0</v>
      </c>
      <c r="V19" s="1081"/>
      <c r="W19" s="544">
        <f>+T19-U19-V19</f>
        <v>0</v>
      </c>
    </row>
    <row r="20" spans="1:42" s="535" customFormat="1" ht="12.75" thickBot="1">
      <c r="A20" s="547" t="s">
        <v>589</v>
      </c>
      <c r="B20" s="548" t="s">
        <v>412</v>
      </c>
      <c r="C20" s="549">
        <f>SUM(C19)</f>
        <v>0</v>
      </c>
      <c r="D20" s="550">
        <f t="shared" ref="D20:W20" si="19">SUM(D19)</f>
        <v>0</v>
      </c>
      <c r="E20" s="550">
        <f t="shared" si="19"/>
        <v>0</v>
      </c>
      <c r="F20" s="550">
        <f t="shared" si="19"/>
        <v>0</v>
      </c>
      <c r="G20" s="550">
        <f t="shared" si="19"/>
        <v>0</v>
      </c>
      <c r="H20" s="550">
        <f t="shared" si="19"/>
        <v>0</v>
      </c>
      <c r="I20" s="553">
        <f t="shared" si="19"/>
        <v>0</v>
      </c>
      <c r="J20" s="552">
        <f t="shared" si="19"/>
        <v>0</v>
      </c>
      <c r="K20" s="549">
        <f t="shared" si="19"/>
        <v>0</v>
      </c>
      <c r="L20" s="549">
        <f t="shared" si="19"/>
        <v>0</v>
      </c>
      <c r="M20" s="549">
        <f t="shared" si="19"/>
        <v>0</v>
      </c>
      <c r="N20" s="549">
        <f t="shared" si="19"/>
        <v>0</v>
      </c>
      <c r="O20" s="549">
        <f t="shared" si="19"/>
        <v>0</v>
      </c>
      <c r="P20" s="549">
        <f t="shared" si="19"/>
        <v>0</v>
      </c>
      <c r="Q20" s="549">
        <f t="shared" si="19"/>
        <v>0</v>
      </c>
      <c r="R20" s="549">
        <f t="shared" si="19"/>
        <v>0</v>
      </c>
      <c r="S20" s="552">
        <f t="shared" si="19"/>
        <v>0</v>
      </c>
      <c r="T20" s="552">
        <f t="shared" si="19"/>
        <v>0</v>
      </c>
      <c r="U20" s="1102">
        <f t="shared" si="19"/>
        <v>0</v>
      </c>
      <c r="V20" s="553">
        <f t="shared" si="19"/>
        <v>0</v>
      </c>
      <c r="W20" s="552">
        <f t="shared" si="19"/>
        <v>0</v>
      </c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</row>
    <row r="21" spans="1:42" s="535" customFormat="1" ht="12.75" thickBot="1">
      <c r="A21" s="556" t="s">
        <v>23</v>
      </c>
      <c r="B21" s="557" t="s">
        <v>413</v>
      </c>
      <c r="C21" s="558">
        <f t="shared" ref="C21:W21" si="20">+C15+C18+C20</f>
        <v>988986</v>
      </c>
      <c r="D21" s="559">
        <f t="shared" si="20"/>
        <v>396552</v>
      </c>
      <c r="E21" s="559">
        <f t="shared" si="20"/>
        <v>123238</v>
      </c>
      <c r="F21" s="559">
        <f t="shared" si="20"/>
        <v>0</v>
      </c>
      <c r="G21" s="559">
        <f t="shared" si="20"/>
        <v>32276</v>
      </c>
      <c r="H21" s="559">
        <f t="shared" si="20"/>
        <v>40350</v>
      </c>
      <c r="I21" s="560">
        <f t="shared" si="20"/>
        <v>1100</v>
      </c>
      <c r="J21" s="561">
        <f t="shared" si="20"/>
        <v>1582502</v>
      </c>
      <c r="K21" s="558">
        <f t="shared" si="20"/>
        <v>76485</v>
      </c>
      <c r="L21" s="558">
        <f t="shared" si="20"/>
        <v>10414</v>
      </c>
      <c r="M21" s="558">
        <f t="shared" si="20"/>
        <v>185775</v>
      </c>
      <c r="N21" s="558">
        <f t="shared" si="20"/>
        <v>52779</v>
      </c>
      <c r="O21" s="558">
        <f t="shared" si="20"/>
        <v>2709607</v>
      </c>
      <c r="P21" s="558">
        <f t="shared" si="20"/>
        <v>420250</v>
      </c>
      <c r="Q21" s="558">
        <f t="shared" si="20"/>
        <v>67258</v>
      </c>
      <c r="R21" s="558">
        <f t="shared" si="20"/>
        <v>0</v>
      </c>
      <c r="S21" s="561">
        <f t="shared" si="20"/>
        <v>3522568</v>
      </c>
      <c r="T21" s="561">
        <f t="shared" si="20"/>
        <v>1940066</v>
      </c>
      <c r="U21" s="1104">
        <f t="shared" si="20"/>
        <v>-569758</v>
      </c>
      <c r="V21" s="560">
        <f t="shared" si="20"/>
        <v>2878297</v>
      </c>
      <c r="W21" s="561">
        <f t="shared" si="20"/>
        <v>-368473</v>
      </c>
      <c r="Y21" s="535">
        <f>+'13.mell_ÖNKfeladatok2020'!$G$91-J21</f>
        <v>0</v>
      </c>
      <c r="Z21" s="535">
        <f>+'13.mell_ÖNKfeladatok2020'!$G$253-S21</f>
        <v>0</v>
      </c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</row>
    <row r="22" spans="1:42" s="535" customFormat="1" ht="12.75" thickBot="1">
      <c r="A22" s="567"/>
      <c r="B22" s="568"/>
      <c r="C22" s="569"/>
      <c r="D22" s="569"/>
      <c r="E22" s="569"/>
      <c r="F22" s="569"/>
      <c r="G22" s="569"/>
      <c r="H22" s="569"/>
      <c r="I22" s="866"/>
      <c r="J22" s="572"/>
      <c r="K22" s="569"/>
      <c r="L22" s="569"/>
      <c r="M22" s="569"/>
      <c r="N22" s="569"/>
      <c r="O22" s="569"/>
      <c r="P22" s="569"/>
      <c r="Q22" s="569"/>
      <c r="R22" s="569"/>
      <c r="S22" s="572"/>
      <c r="T22" s="572"/>
      <c r="U22" s="866"/>
      <c r="V22" s="571"/>
      <c r="W22" s="57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</row>
    <row r="23" spans="1:42">
      <c r="A23" s="867">
        <f>+A19+1</f>
        <v>12</v>
      </c>
      <c r="B23" s="868" t="s">
        <v>773</v>
      </c>
      <c r="C23" s="555">
        <f>+SUMIF('13.mell_ÖNKfeladatok2020'!$B$5:$B$159,'14.mell_Önk kiegészítés2020'!$A23,'13.mell_ÖNKfeladatok2020'!O$5:O$159)</f>
        <v>0</v>
      </c>
      <c r="D23" s="555">
        <f>+SUMIF('13.mell_ÖNKfeladatok2020'!$B$5:$B$159,'14.mell_Önk kiegészítés2020'!$A23,'13.mell_ÖNKfeladatok2020'!S$5:S$159)</f>
        <v>0</v>
      </c>
      <c r="E23" s="555">
        <f>+SUMIF('13.mell_ÖNKfeladatok2020'!$B$5:$B$159,'14.mell_Önk kiegészítés2020'!$A23,'13.mell_ÖNKfeladatok2020'!W$5:W$159)</f>
        <v>0</v>
      </c>
      <c r="F23" s="555">
        <f>+SUMIF('13.mell_ÖNKfeladatok2020'!$B$5:$B$159,'14.mell_Önk kiegészítés2020'!$A23,'13.mell_ÖNKfeladatok2020'!AA$5:AA$159)</f>
        <v>0</v>
      </c>
      <c r="G23" s="555">
        <f>+SUMIF('13.mell_ÖNKfeladatok2020'!$B$5:$B$159,'14.mell_Önk kiegészítés2020'!$A23,'13.mell_ÖNKfeladatok2020'!AI$5:AI$159)</f>
        <v>0</v>
      </c>
      <c r="H23" s="555">
        <f>+SUMIF('13.mell_ÖNKfeladatok2020'!$B$5:$B$159,'14.mell_Önk kiegészítés2020'!$A23,'13.mell_ÖNKfeladatok2020'!AM$5:AM$159)</f>
        <v>0</v>
      </c>
      <c r="I23" s="555">
        <f>+SUMIF('13.mell_ÖNKfeladatok2020'!$B$5:$B$159,'14.mell_Önk kiegészítés2020'!$A23,'13.mell_ÖNKfeladatok2020'!AQ$5:AQ$159)</f>
        <v>0</v>
      </c>
      <c r="J23" s="581">
        <f>SUM(C23:I23)</f>
        <v>0</v>
      </c>
      <c r="K23" s="540">
        <f>+SUMIF('13.mell_ÖNKfeladatok2020'!$B$167:$B$321,'14.mell_Önk kiegészítés2020'!$A23,'13.mell_ÖNKfeladatok2020'!O$167:O$321)</f>
        <v>168150</v>
      </c>
      <c r="L23" s="540">
        <f>+SUMIF('13.mell_ÖNKfeladatok2020'!$B$167:$B$321,'14.mell_Önk kiegészítés2020'!$A23,'13.mell_ÖNKfeladatok2020'!S$167:S$321)</f>
        <v>32584</v>
      </c>
      <c r="M23" s="540">
        <f>+SUMIF('13.mell_ÖNKfeladatok2020'!$B$167:$B$321,'14.mell_Önk kiegészítés2020'!$A23,'13.mell_ÖNKfeladatok2020'!W$167:W$321)</f>
        <v>23213</v>
      </c>
      <c r="N23" s="540">
        <f>+SUMIF('13.mell_ÖNKfeladatok2020'!$B$167:$B$321,'14.mell_Önk kiegészítés2020'!$A23,'13.mell_ÖNKfeladatok2020'!AA$167:AA$321)</f>
        <v>0</v>
      </c>
      <c r="O23" s="540">
        <f>+SUMIF('13.mell_ÖNKfeladatok2020'!$B$167:$B$321,'14.mell_Önk kiegészítés2020'!$A23,'13.mell_ÖNKfeladatok2020'!AE$167:AE$321)</f>
        <v>0</v>
      </c>
      <c r="P23" s="540">
        <f>+SUMIF('13.mell_ÖNKfeladatok2020'!$B$167:$B$321,'14.mell_Önk kiegészítés2020'!$A23,'13.mell_ÖNKfeladatok2020'!AM$167:AM$321)</f>
        <v>4000</v>
      </c>
      <c r="Q23" s="540">
        <f>+SUMIF('13.mell_ÖNKfeladatok2020'!$B$167:$B$321,'14.mell_Önk kiegészítés2020'!$A23,'13.mell_ÖNKfeladatok2020'!AQ$167:AQ$321)</f>
        <v>0</v>
      </c>
      <c r="R23" s="540">
        <f>+SUMIF('13.mell_ÖNKfeladatok2020'!$B$167:$B$321,'14.mell_Önk kiegészítés2020'!$A23,'13.mell_ÖNKfeladatok2020'!AU$167:AU$321)</f>
        <v>0</v>
      </c>
      <c r="S23" s="581">
        <f>SUM(K23:R23)</f>
        <v>227947</v>
      </c>
      <c r="T23" s="541">
        <f>S23-J23</f>
        <v>227947</v>
      </c>
      <c r="U23" s="1100">
        <f>+ROUND(SUMIF('10.mell_támogatások2020'!$B$6:$B$137,'14.mell_Önk kiegészítés2020'!$A23,'10.mell_támogatások2020'!D$6:D$137)/1000,0)</f>
        <v>145965</v>
      </c>
      <c r="V23" s="1080">
        <f>26419+10024-77159</f>
        <v>-40716</v>
      </c>
      <c r="W23" s="541">
        <f t="shared" ref="W23:W25" si="21">+T23-U23-V23</f>
        <v>122698</v>
      </c>
      <c r="AE23" s="262">
        <v>26419</v>
      </c>
      <c r="AF23" s="262">
        <v>10024</v>
      </c>
      <c r="AI23" s="262">
        <f>-13930-61637-1592</f>
        <v>-77159</v>
      </c>
    </row>
    <row r="24" spans="1:42">
      <c r="A24" s="826">
        <f>+A23+1</f>
        <v>13</v>
      </c>
      <c r="B24" s="542" t="s">
        <v>774</v>
      </c>
      <c r="C24" s="546">
        <f>+SUMIF('13.mell_ÖNKfeladatok2020'!$B$5:$B$159,'14.mell_Önk kiegészítés2020'!$A24,'13.mell_ÖNKfeladatok2020'!O$5:O$159)</f>
        <v>0</v>
      </c>
      <c r="D24" s="546">
        <f>+SUMIF('13.mell_ÖNKfeladatok2020'!$B$5:$B$159,'14.mell_Önk kiegészítés2020'!$A24,'13.mell_ÖNKfeladatok2020'!S$5:S$159)</f>
        <v>0</v>
      </c>
      <c r="E24" s="546">
        <f>+SUMIF('13.mell_ÖNKfeladatok2020'!$B$5:$B$159,'14.mell_Önk kiegészítés2020'!$A24,'13.mell_ÖNKfeladatok2020'!W$5:W$159)</f>
        <v>0</v>
      </c>
      <c r="F24" s="546">
        <f>+SUMIF('13.mell_ÖNKfeladatok2020'!$B$5:$B$159,'14.mell_Önk kiegészítés2020'!$A24,'13.mell_ÖNKfeladatok2020'!AA$5:AA$159)</f>
        <v>0</v>
      </c>
      <c r="G24" s="546">
        <f>+SUMIF('13.mell_ÖNKfeladatok2020'!$B$5:$B$159,'14.mell_Önk kiegészítés2020'!$A24,'13.mell_ÖNKfeladatok2020'!AI$5:AI$159)</f>
        <v>0</v>
      </c>
      <c r="H24" s="546">
        <f>+SUMIF('13.mell_ÖNKfeladatok2020'!$B$5:$B$159,'14.mell_Önk kiegészítés2020'!$A24,'13.mell_ÖNKfeladatok2020'!AM$5:AM$159)</f>
        <v>0</v>
      </c>
      <c r="I24" s="546">
        <f>+SUMIF('13.mell_ÖNKfeladatok2020'!$B$5:$B$159,'14.mell_Önk kiegészítés2020'!$A24,'13.mell_ÖNKfeladatok2020'!AQ$5:AQ$159)</f>
        <v>0</v>
      </c>
      <c r="J24" s="582">
        <f>SUM(C24:I24)</f>
        <v>0</v>
      </c>
      <c r="K24" s="543">
        <f>+SUMIF('13.mell_ÖNKfeladatok2020'!$B$167:$B$321,'14.mell_Önk kiegészítés2020'!$A24,'13.mell_ÖNKfeladatok2020'!O$167:O$321)</f>
        <v>0</v>
      </c>
      <c r="L24" s="543">
        <f>+SUMIF('13.mell_ÖNKfeladatok2020'!$B$167:$B$321,'14.mell_Önk kiegészítés2020'!$A24,'13.mell_ÖNKfeladatok2020'!S$167:S$321)</f>
        <v>0</v>
      </c>
      <c r="M24" s="543">
        <f>+SUMIF('13.mell_ÖNKfeladatok2020'!$B$167:$B$321,'14.mell_Önk kiegészítés2020'!$A24,'13.mell_ÖNKfeladatok2020'!W$167:W$321)</f>
        <v>0</v>
      </c>
      <c r="N24" s="543">
        <f>+SUMIF('13.mell_ÖNKfeladatok2020'!$B$167:$B$321,'14.mell_Önk kiegészítés2020'!$A24,'13.mell_ÖNKfeladatok2020'!AA$167:AA$321)</f>
        <v>0</v>
      </c>
      <c r="O24" s="543">
        <f>+SUMIF('13.mell_ÖNKfeladatok2020'!$B$167:$B$321,'14.mell_Önk kiegészítés2020'!$A24,'13.mell_ÖNKfeladatok2020'!AE$167:AE$321)</f>
        <v>0</v>
      </c>
      <c r="P24" s="543">
        <f>+SUMIF('13.mell_ÖNKfeladatok2020'!$B$167:$B$321,'14.mell_Önk kiegészítés2020'!$A24,'13.mell_ÖNKfeladatok2020'!AM$167:AM$321)</f>
        <v>0</v>
      </c>
      <c r="Q24" s="543">
        <f>+SUMIF('13.mell_ÖNKfeladatok2020'!$B$167:$B$321,'14.mell_Önk kiegészítés2020'!$A24,'13.mell_ÖNKfeladatok2020'!AQ$167:AQ$321)</f>
        <v>0</v>
      </c>
      <c r="R24" s="543">
        <f>+SUMIF('13.mell_ÖNKfeladatok2020'!$B$167:$B$321,'14.mell_Önk kiegészítés2020'!$A24,'13.mell_ÖNKfeladatok2020'!AU$167:AU$321)</f>
        <v>0</v>
      </c>
      <c r="S24" s="582">
        <f>SUM(K24:R24)</f>
        <v>0</v>
      </c>
      <c r="T24" s="544">
        <f>S24-J24</f>
        <v>0</v>
      </c>
      <c r="U24" s="1101">
        <f>+ROUND(SUMIF('10.mell_támogatások2020'!$B$6:$B$137,'14.mell_Önk kiegészítés2020'!$A24,'10.mell_támogatások2020'!D$6:D$137)/1000,0)</f>
        <v>0</v>
      </c>
      <c r="V24" s="1081"/>
      <c r="W24" s="544">
        <f t="shared" si="21"/>
        <v>0</v>
      </c>
    </row>
    <row r="25" spans="1:42" ht="12.75" thickBot="1">
      <c r="A25" s="826">
        <f>+A24+1</f>
        <v>14</v>
      </c>
      <c r="B25" s="545" t="s">
        <v>759</v>
      </c>
      <c r="C25" s="546">
        <f>+SUMIF('13.mell_ÖNKfeladatok2020'!$B$5:$B$159,'14.mell_Önk kiegészítés2020'!$A25,'13.mell_ÖNKfeladatok2020'!O$5:O$159)</f>
        <v>0</v>
      </c>
      <c r="D25" s="546">
        <f>+SUMIF('13.mell_ÖNKfeladatok2020'!$B$5:$B$159,'14.mell_Önk kiegészítés2020'!$A25,'13.mell_ÖNKfeladatok2020'!S$5:S$159)</f>
        <v>0</v>
      </c>
      <c r="E25" s="546">
        <f>+SUMIF('13.mell_ÖNKfeladatok2020'!$B$5:$B$159,'14.mell_Önk kiegészítés2020'!$A25,'13.mell_ÖNKfeladatok2020'!W$5:W$159)</f>
        <v>9308</v>
      </c>
      <c r="F25" s="546">
        <f>+SUMIF('13.mell_ÖNKfeladatok2020'!$B$5:$B$159,'14.mell_Önk kiegészítés2020'!$A25,'13.mell_ÖNKfeladatok2020'!AA$5:AA$159)</f>
        <v>0</v>
      </c>
      <c r="G25" s="546">
        <f>+SUMIF('13.mell_ÖNKfeladatok2020'!$B$5:$B$159,'14.mell_Önk kiegészítés2020'!$A25,'13.mell_ÖNKfeladatok2020'!AI$5:AI$159)</f>
        <v>0</v>
      </c>
      <c r="H25" s="546">
        <f>+SUMIF('13.mell_ÖNKfeladatok2020'!$B$5:$B$159,'14.mell_Önk kiegészítés2020'!$A25,'13.mell_ÖNKfeladatok2020'!AM$5:AM$159)</f>
        <v>0</v>
      </c>
      <c r="I25" s="546">
        <f>+SUMIF('13.mell_ÖNKfeladatok2020'!$B$5:$B$159,'14.mell_Önk kiegészítés2020'!$A25,'13.mell_ÖNKfeladatok2020'!AQ$5:AQ$159)</f>
        <v>0</v>
      </c>
      <c r="J25" s="582">
        <f>SUM(C25:I25)</f>
        <v>9308</v>
      </c>
      <c r="K25" s="543">
        <f>+SUMIF('13.mell_ÖNKfeladatok2020'!$B$167:$B$321,'14.mell_Önk kiegészítés2020'!$A25,'13.mell_ÖNKfeladatok2020'!O$167:O$321)</f>
        <v>105621</v>
      </c>
      <c r="L25" s="543">
        <f>+SUMIF('13.mell_ÖNKfeladatok2020'!$B$167:$B$321,'14.mell_Önk kiegészítés2020'!$A25,'13.mell_ÖNKfeladatok2020'!S$167:S$321)</f>
        <v>18800</v>
      </c>
      <c r="M25" s="543">
        <f>+SUMIF('13.mell_ÖNKfeladatok2020'!$B$167:$B$321,'14.mell_Önk kiegészítés2020'!$A25,'13.mell_ÖNKfeladatok2020'!W$167:W$321)</f>
        <v>13704</v>
      </c>
      <c r="N25" s="543">
        <f>+SUMIF('13.mell_ÖNKfeladatok2020'!$B$167:$B$321,'14.mell_Önk kiegészítés2020'!$A25,'13.mell_ÖNKfeladatok2020'!AA$167:AA$321)</f>
        <v>0</v>
      </c>
      <c r="O25" s="543">
        <f>+SUMIF('13.mell_ÖNKfeladatok2020'!$B$167:$B$321,'14.mell_Önk kiegészítés2020'!$A25,'13.mell_ÖNKfeladatok2020'!AE$167:AE$321)</f>
        <v>0</v>
      </c>
      <c r="P25" s="543">
        <f>+SUMIF('13.mell_ÖNKfeladatok2020'!$B$167:$B$321,'14.mell_Önk kiegészítés2020'!$A25,'13.mell_ÖNKfeladatok2020'!AM$167:AM$321)</f>
        <v>0</v>
      </c>
      <c r="Q25" s="543">
        <f>+SUMIF('13.mell_ÖNKfeladatok2020'!$B$167:$B$321,'14.mell_Önk kiegészítés2020'!$A25,'13.mell_ÖNKfeladatok2020'!AQ$167:AQ$321)</f>
        <v>0</v>
      </c>
      <c r="R25" s="543">
        <f>+SUMIF('13.mell_ÖNKfeladatok2020'!$B$167:$B$321,'14.mell_Önk kiegészítés2020'!$A25,'13.mell_ÖNKfeladatok2020'!AU$167:AU$321)</f>
        <v>0</v>
      </c>
      <c r="S25" s="582">
        <f>SUM(K25:R25)</f>
        <v>138125</v>
      </c>
      <c r="T25" s="544">
        <f>S25-J25</f>
        <v>128817</v>
      </c>
      <c r="U25" s="1101">
        <f>+ROUND(SUMIF('10.mell_támogatások2020'!$B$6:$B$137,'14.mell_Önk kiegészítés2020'!$A25,'10.mell_támogatások2020'!D$6:D$137)/1000,0)</f>
        <v>0</v>
      </c>
      <c r="V25" s="1081"/>
      <c r="W25" s="544">
        <f t="shared" si="21"/>
        <v>128817</v>
      </c>
    </row>
    <row r="26" spans="1:42" s="535" customFormat="1" ht="12.75" thickBot="1">
      <c r="A26" s="547" t="s">
        <v>590</v>
      </c>
      <c r="B26" s="548" t="s">
        <v>869</v>
      </c>
      <c r="C26" s="549">
        <f t="shared" ref="C26:U26" si="22">SUM(C23:C25)</f>
        <v>0</v>
      </c>
      <c r="D26" s="550">
        <f t="shared" si="22"/>
        <v>0</v>
      </c>
      <c r="E26" s="550">
        <f t="shared" si="22"/>
        <v>9308</v>
      </c>
      <c r="F26" s="550">
        <f t="shared" si="22"/>
        <v>0</v>
      </c>
      <c r="G26" s="550">
        <f t="shared" si="22"/>
        <v>0</v>
      </c>
      <c r="H26" s="550">
        <f t="shared" si="22"/>
        <v>0</v>
      </c>
      <c r="I26" s="551">
        <f t="shared" si="22"/>
        <v>0</v>
      </c>
      <c r="J26" s="552">
        <f t="shared" si="22"/>
        <v>9308</v>
      </c>
      <c r="K26" s="549">
        <f t="shared" si="22"/>
        <v>273771</v>
      </c>
      <c r="L26" s="549">
        <f t="shared" si="22"/>
        <v>51384</v>
      </c>
      <c r="M26" s="549">
        <f t="shared" si="22"/>
        <v>36917</v>
      </c>
      <c r="N26" s="549">
        <f t="shared" si="22"/>
        <v>0</v>
      </c>
      <c r="O26" s="549">
        <f t="shared" si="22"/>
        <v>0</v>
      </c>
      <c r="P26" s="549">
        <f t="shared" si="22"/>
        <v>4000</v>
      </c>
      <c r="Q26" s="549">
        <f t="shared" si="22"/>
        <v>0</v>
      </c>
      <c r="R26" s="549">
        <f t="shared" si="22"/>
        <v>0</v>
      </c>
      <c r="S26" s="552">
        <f t="shared" si="22"/>
        <v>366072</v>
      </c>
      <c r="T26" s="552">
        <f t="shared" si="22"/>
        <v>356764</v>
      </c>
      <c r="U26" s="1102">
        <f t="shared" si="22"/>
        <v>145965</v>
      </c>
      <c r="V26" s="553">
        <f t="shared" ref="V26" si="23">SUM(V23:V25)</f>
        <v>-40716</v>
      </c>
      <c r="W26" s="552">
        <f t="shared" ref="W26" si="24">SUM(W23:W25)</f>
        <v>251515</v>
      </c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</row>
    <row r="27" spans="1:42">
      <c r="A27" s="826">
        <f>+A25+1</f>
        <v>15</v>
      </c>
      <c r="B27" s="566" t="s">
        <v>416</v>
      </c>
      <c r="C27" s="540">
        <f>+SUMIF('13.mell_ÖNKfeladatok2020'!$B$5:$B$159,'14.mell_Önk kiegészítés2020'!$A27,'13.mell_ÖNKfeladatok2020'!O$5:O$159)</f>
        <v>0</v>
      </c>
      <c r="D27" s="540">
        <f>+SUMIF('13.mell_ÖNKfeladatok2020'!$B$5:$B$159,'14.mell_Önk kiegészítés2020'!$A27,'13.mell_ÖNKfeladatok2020'!S$5:S$159)</f>
        <v>0</v>
      </c>
      <c r="E27" s="540">
        <f>+SUMIF('13.mell_ÖNKfeladatok2020'!$B$5:$B$159,'14.mell_Önk kiegészítés2020'!$A27,'13.mell_ÖNKfeladatok2020'!W$5:W$159)</f>
        <v>32151</v>
      </c>
      <c r="F27" s="540">
        <f>+SUMIF('13.mell_ÖNKfeladatok2020'!$B$5:$B$159,'14.mell_Önk kiegészítés2020'!$A27,'13.mell_ÖNKfeladatok2020'!AA$5:AA$159)</f>
        <v>0</v>
      </c>
      <c r="G27" s="540">
        <f>+SUMIF('13.mell_ÖNKfeladatok2020'!$B$5:$B$159,'14.mell_Önk kiegészítés2020'!$A27,'13.mell_ÖNKfeladatok2020'!AI$5:AI$159)</f>
        <v>0</v>
      </c>
      <c r="H27" s="540">
        <f>+SUMIF('13.mell_ÖNKfeladatok2020'!$B$5:$B$159,'14.mell_Önk kiegészítés2020'!$A27,'13.mell_ÖNKfeladatok2020'!AM$5:AM$159)</f>
        <v>0</v>
      </c>
      <c r="I27" s="540">
        <f>+SUMIF('13.mell_ÖNKfeladatok2020'!$B$5:$B$159,'14.mell_Önk kiegészítés2020'!$A27,'13.mell_ÖNKfeladatok2020'!AQ$5:AQ$159)</f>
        <v>0</v>
      </c>
      <c r="J27" s="582">
        <f>SUM(C27:I27)</f>
        <v>32151</v>
      </c>
      <c r="K27" s="543">
        <f>+SUMIF('13.mell_ÖNKfeladatok2020'!$B$167:$B$321,'14.mell_Önk kiegészítés2020'!$A27,'13.mell_ÖNKfeladatok2020'!O$167:O$321)</f>
        <v>9229</v>
      </c>
      <c r="L27" s="543">
        <f>+SUMIF('13.mell_ÖNKfeladatok2020'!$B$167:$B$321,'14.mell_Önk kiegészítés2020'!$A27,'13.mell_ÖNKfeladatok2020'!S$167:S$321)</f>
        <v>1643</v>
      </c>
      <c r="M27" s="543">
        <f>+SUMIF('13.mell_ÖNKfeladatok2020'!$B$167:$B$321,'14.mell_Önk kiegészítés2020'!$A27,'13.mell_ÖNKfeladatok2020'!W$167:W$321)</f>
        <v>22728</v>
      </c>
      <c r="N27" s="543">
        <f>+SUMIF('13.mell_ÖNKfeladatok2020'!$B$167:$B$321,'14.mell_Önk kiegészítés2020'!$A27,'13.mell_ÖNKfeladatok2020'!AA$167:AA$321)</f>
        <v>0</v>
      </c>
      <c r="O27" s="543">
        <f>+SUMIF('13.mell_ÖNKfeladatok2020'!$B$167:$B$321,'14.mell_Önk kiegészítés2020'!$A27,'13.mell_ÖNKfeladatok2020'!AE$167:AE$321)</f>
        <v>0</v>
      </c>
      <c r="P27" s="543">
        <f>+SUMIF('13.mell_ÖNKfeladatok2020'!$B$167:$B$321,'14.mell_Önk kiegészítés2020'!$A27,'13.mell_ÖNKfeladatok2020'!AM$167:AM$321)</f>
        <v>0</v>
      </c>
      <c r="Q27" s="543">
        <f>+SUMIF('13.mell_ÖNKfeladatok2020'!$B$167:$B$321,'14.mell_Önk kiegészítés2020'!$A27,'13.mell_ÖNKfeladatok2020'!AQ$167:AQ$321)</f>
        <v>0</v>
      </c>
      <c r="R27" s="543">
        <f>+SUMIF('13.mell_ÖNKfeladatok2020'!$B$167:$B$321,'14.mell_Önk kiegészítés2020'!$A27,'13.mell_ÖNKfeladatok2020'!AU$167:AU$321)</f>
        <v>0</v>
      </c>
      <c r="S27" s="582">
        <f>SUM(K27:R27)</f>
        <v>33600</v>
      </c>
      <c r="T27" s="544">
        <f>S27-J27</f>
        <v>1449</v>
      </c>
      <c r="U27" s="1101">
        <f>+ROUND(SUMIF('10.mell_támogatások2020'!$B$6:$B$137,'14.mell_Önk kiegészítés2020'!$A27,'10.mell_támogatások2020'!D$6:D$137)/1000,0)</f>
        <v>0</v>
      </c>
      <c r="V27" s="1081"/>
      <c r="W27" s="544">
        <f t="shared" ref="W27:W29" si="25">+T27-U27-V27</f>
        <v>1449</v>
      </c>
    </row>
    <row r="28" spans="1:42">
      <c r="A28" s="826">
        <f>+A27+1</f>
        <v>16</v>
      </c>
      <c r="B28" s="545" t="s">
        <v>647</v>
      </c>
      <c r="C28" s="546">
        <f>+SUMIF('13.mell_ÖNKfeladatok2020'!$B$5:$B$159,'14.mell_Önk kiegészítés2020'!$A28,'13.mell_ÖNKfeladatok2020'!O$5:O$159)</f>
        <v>0</v>
      </c>
      <c r="D28" s="546">
        <f>+SUMIF('13.mell_ÖNKfeladatok2020'!$B$5:$B$159,'14.mell_Önk kiegészítés2020'!$A28,'13.mell_ÖNKfeladatok2020'!S$5:S$159)</f>
        <v>0</v>
      </c>
      <c r="E28" s="546">
        <f>+SUMIF('13.mell_ÖNKfeladatok2020'!$B$5:$B$159,'14.mell_Önk kiegészítés2020'!$A28,'13.mell_ÖNKfeladatok2020'!W$5:W$159)</f>
        <v>0</v>
      </c>
      <c r="F28" s="546">
        <f>+SUMIF('13.mell_ÖNKfeladatok2020'!$B$5:$B$159,'14.mell_Önk kiegészítés2020'!$A28,'13.mell_ÖNKfeladatok2020'!AA$5:AA$159)</f>
        <v>0</v>
      </c>
      <c r="G28" s="546">
        <f>+SUMIF('13.mell_ÖNKfeladatok2020'!$B$5:$B$159,'14.mell_Önk kiegészítés2020'!$A28,'13.mell_ÖNKfeladatok2020'!AI$5:AI$159)</f>
        <v>0</v>
      </c>
      <c r="H28" s="546">
        <f>+SUMIF('13.mell_ÖNKfeladatok2020'!$B$5:$B$159,'14.mell_Önk kiegészítés2020'!$A28,'13.mell_ÖNKfeladatok2020'!AM$5:AM$159)</f>
        <v>0</v>
      </c>
      <c r="I28" s="546">
        <f>+SUMIF('13.mell_ÖNKfeladatok2020'!$B$5:$B$159,'14.mell_Önk kiegészítés2020'!$A28,'13.mell_ÖNKfeladatok2020'!AQ$5:AQ$159)</f>
        <v>0</v>
      </c>
      <c r="J28" s="583">
        <f>SUM(C28:I28)</f>
        <v>0</v>
      </c>
      <c r="K28" s="543">
        <f>+SUMIF('13.mell_ÖNKfeladatok2020'!$B$167:$B$321,'14.mell_Önk kiegészítés2020'!$A28,'13.mell_ÖNKfeladatok2020'!O$167:O$321)</f>
        <v>5403</v>
      </c>
      <c r="L28" s="543">
        <f>+SUMIF('13.mell_ÖNKfeladatok2020'!$B$167:$B$321,'14.mell_Önk kiegészítés2020'!$A28,'13.mell_ÖNKfeladatok2020'!S$167:S$321)</f>
        <v>864</v>
      </c>
      <c r="M28" s="543">
        <f>+SUMIF('13.mell_ÖNKfeladatok2020'!$B$167:$B$321,'14.mell_Önk kiegészítés2020'!$A28,'13.mell_ÖNKfeladatok2020'!W$167:W$321)</f>
        <v>381</v>
      </c>
      <c r="N28" s="543">
        <f>+SUMIF('13.mell_ÖNKfeladatok2020'!$B$167:$B$321,'14.mell_Önk kiegészítés2020'!$A28,'13.mell_ÖNKfeladatok2020'!AA$167:AA$321)</f>
        <v>0</v>
      </c>
      <c r="O28" s="543">
        <f>+SUMIF('13.mell_ÖNKfeladatok2020'!$B$167:$B$321,'14.mell_Önk kiegészítés2020'!$A28,'13.mell_ÖNKfeladatok2020'!AE$167:AE$321)</f>
        <v>0</v>
      </c>
      <c r="P28" s="543">
        <f>+SUMIF('13.mell_ÖNKfeladatok2020'!$B$167:$B$321,'14.mell_Önk kiegészítés2020'!$A28,'13.mell_ÖNKfeladatok2020'!AM$167:AM$321)</f>
        <v>0</v>
      </c>
      <c r="Q28" s="543">
        <f>+SUMIF('13.mell_ÖNKfeladatok2020'!$B$167:$B$321,'14.mell_Önk kiegészítés2020'!$A28,'13.mell_ÖNKfeladatok2020'!AQ$167:AQ$321)</f>
        <v>0</v>
      </c>
      <c r="R28" s="543">
        <f>+SUMIF('13.mell_ÖNKfeladatok2020'!$B$167:$B$321,'14.mell_Önk kiegészítés2020'!$A28,'13.mell_ÖNKfeladatok2020'!AU$167:AU$321)</f>
        <v>0</v>
      </c>
      <c r="S28" s="582">
        <f>SUM(K28:R28)</f>
        <v>6648</v>
      </c>
      <c r="T28" s="544">
        <f>S28-J28</f>
        <v>6648</v>
      </c>
      <c r="U28" s="1101">
        <f>+ROUND(SUMIF('10.mell_támogatások2020'!$B$6:$B$137,'14.mell_Önk kiegészítés2020'!$A28,'10.mell_támogatások2020'!D$6:D$137)/1000,0)</f>
        <v>0</v>
      </c>
      <c r="V28" s="1081"/>
      <c r="W28" s="544">
        <f t="shared" si="25"/>
        <v>6648</v>
      </c>
    </row>
    <row r="29" spans="1:42" ht="12.75" thickBot="1">
      <c r="A29" s="826">
        <f>+A28+1</f>
        <v>17</v>
      </c>
      <c r="B29" s="545" t="s">
        <v>894</v>
      </c>
      <c r="C29" s="546">
        <f>+SUMIF('13.mell_ÖNKfeladatok2020'!$B$5:$B$159,'14.mell_Önk kiegészítés2020'!$A29,'13.mell_ÖNKfeladatok2020'!O$5:O$159)</f>
        <v>0</v>
      </c>
      <c r="D29" s="546">
        <f>+SUMIF('13.mell_ÖNKfeladatok2020'!$B$5:$B$159,'14.mell_Önk kiegészítés2020'!$A29,'13.mell_ÖNKfeladatok2020'!S$5:S$159)</f>
        <v>0</v>
      </c>
      <c r="E29" s="546">
        <f>+SUMIF('13.mell_ÖNKfeladatok2020'!$B$5:$B$159,'14.mell_Önk kiegészítés2020'!$A29,'13.mell_ÖNKfeladatok2020'!W$5:W$159)</f>
        <v>0</v>
      </c>
      <c r="F29" s="546">
        <f>+SUMIF('13.mell_ÖNKfeladatok2020'!$B$5:$B$159,'14.mell_Önk kiegészítés2020'!$A29,'13.mell_ÖNKfeladatok2020'!AA$5:AA$159)</f>
        <v>0</v>
      </c>
      <c r="G29" s="546">
        <f>+SUMIF('13.mell_ÖNKfeladatok2020'!$B$5:$B$159,'14.mell_Önk kiegészítés2020'!$A29,'13.mell_ÖNKfeladatok2020'!AI$5:AI$159)</f>
        <v>0</v>
      </c>
      <c r="H29" s="546">
        <f>+SUMIF('13.mell_ÖNKfeladatok2020'!$B$5:$B$159,'14.mell_Önk kiegészítés2020'!$A29,'13.mell_ÖNKfeladatok2020'!AM$5:AM$159)</f>
        <v>0</v>
      </c>
      <c r="I29" s="546">
        <f>+SUMIF('13.mell_ÖNKfeladatok2020'!$B$5:$B$159,'14.mell_Önk kiegészítés2020'!$A29,'13.mell_ÖNKfeladatok2020'!AQ$5:AQ$159)</f>
        <v>0</v>
      </c>
      <c r="J29" s="583">
        <f>SUM(C29:I29)</f>
        <v>0</v>
      </c>
      <c r="K29" s="543">
        <f>+SUMIF('13.mell_ÖNKfeladatok2020'!$B$167:$B$321,'14.mell_Önk kiegészítés2020'!$A29,'13.mell_ÖNKfeladatok2020'!O$167:O$321)</f>
        <v>0</v>
      </c>
      <c r="L29" s="543">
        <f>+SUMIF('13.mell_ÖNKfeladatok2020'!$B$167:$B$321,'14.mell_Önk kiegészítés2020'!$A29,'13.mell_ÖNKfeladatok2020'!S$167:S$321)</f>
        <v>0</v>
      </c>
      <c r="M29" s="543">
        <f>+SUMIF('13.mell_ÖNKfeladatok2020'!$B$167:$B$321,'14.mell_Önk kiegészítés2020'!$A29,'13.mell_ÖNKfeladatok2020'!W$167:W$321)</f>
        <v>0</v>
      </c>
      <c r="N29" s="543">
        <f>+SUMIF('13.mell_ÖNKfeladatok2020'!$B$167:$B$321,'14.mell_Önk kiegészítés2020'!$A29,'13.mell_ÖNKfeladatok2020'!AA$167:AA$321)</f>
        <v>0</v>
      </c>
      <c r="O29" s="543">
        <f>+SUMIF('13.mell_ÖNKfeladatok2020'!$B$167:$B$321,'14.mell_Önk kiegészítés2020'!$A29,'13.mell_ÖNKfeladatok2020'!AE$167:AE$321)</f>
        <v>0</v>
      </c>
      <c r="P29" s="543">
        <f>+SUMIF('13.mell_ÖNKfeladatok2020'!$B$167:$B$321,'14.mell_Önk kiegészítés2020'!$A29,'13.mell_ÖNKfeladatok2020'!AM$167:AM$321)</f>
        <v>0</v>
      </c>
      <c r="Q29" s="543">
        <f>+SUMIF('13.mell_ÖNKfeladatok2020'!$B$167:$B$321,'14.mell_Önk kiegészítés2020'!$A29,'13.mell_ÖNKfeladatok2020'!AQ$167:AQ$321)</f>
        <v>0</v>
      </c>
      <c r="R29" s="543">
        <f>+SUMIF('13.mell_ÖNKfeladatok2020'!$B$167:$B$321,'14.mell_Önk kiegészítés2020'!$A29,'13.mell_ÖNKfeladatok2020'!AU$167:AU$321)</f>
        <v>0</v>
      </c>
      <c r="S29" s="582">
        <f>SUM(K29:R29)</f>
        <v>0</v>
      </c>
      <c r="T29" s="544">
        <f>S29-J29</f>
        <v>0</v>
      </c>
      <c r="U29" s="1101">
        <f>+ROUND(SUMIF('10.mell_támogatások2020'!$B$6:$B$137,'14.mell_Önk kiegészítés2020'!$A29,'10.mell_támogatások2020'!D$6:D$137)/1000,0)</f>
        <v>0</v>
      </c>
      <c r="V29" s="1081"/>
      <c r="W29" s="544">
        <f t="shared" si="25"/>
        <v>0</v>
      </c>
    </row>
    <row r="30" spans="1:42" s="535" customFormat="1" ht="12.75" thickBot="1">
      <c r="A30" s="547" t="s">
        <v>632</v>
      </c>
      <c r="B30" s="548" t="s">
        <v>870</v>
      </c>
      <c r="C30" s="549">
        <f>SUM(C27:C29)</f>
        <v>0</v>
      </c>
      <c r="D30" s="550">
        <f t="shared" ref="D30:W30" si="26">SUM(D27:D29)</f>
        <v>0</v>
      </c>
      <c r="E30" s="550">
        <f t="shared" si="26"/>
        <v>32151</v>
      </c>
      <c r="F30" s="550">
        <f t="shared" si="26"/>
        <v>0</v>
      </c>
      <c r="G30" s="550">
        <f t="shared" si="26"/>
        <v>0</v>
      </c>
      <c r="H30" s="550">
        <f t="shared" si="26"/>
        <v>0</v>
      </c>
      <c r="I30" s="553">
        <f t="shared" si="26"/>
        <v>0</v>
      </c>
      <c r="J30" s="552">
        <f t="shared" si="26"/>
        <v>32151</v>
      </c>
      <c r="K30" s="549">
        <f t="shared" si="26"/>
        <v>14632</v>
      </c>
      <c r="L30" s="549">
        <f t="shared" si="26"/>
        <v>2507</v>
      </c>
      <c r="M30" s="549">
        <f t="shared" si="26"/>
        <v>23109</v>
      </c>
      <c r="N30" s="549">
        <f t="shared" si="26"/>
        <v>0</v>
      </c>
      <c r="O30" s="549">
        <f t="shared" si="26"/>
        <v>0</v>
      </c>
      <c r="P30" s="549">
        <f t="shared" si="26"/>
        <v>0</v>
      </c>
      <c r="Q30" s="549">
        <f t="shared" si="26"/>
        <v>0</v>
      </c>
      <c r="R30" s="549">
        <f t="shared" si="26"/>
        <v>0</v>
      </c>
      <c r="S30" s="552">
        <f t="shared" si="26"/>
        <v>40248</v>
      </c>
      <c r="T30" s="552">
        <f t="shared" si="26"/>
        <v>8097</v>
      </c>
      <c r="U30" s="1102">
        <f t="shared" si="26"/>
        <v>0</v>
      </c>
      <c r="V30" s="553">
        <f t="shared" si="26"/>
        <v>0</v>
      </c>
      <c r="W30" s="552">
        <f t="shared" si="26"/>
        <v>8097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</row>
    <row r="31" spans="1:42" ht="12.75" thickBot="1">
      <c r="A31" s="826">
        <f>+A29+1</f>
        <v>18</v>
      </c>
      <c r="B31" s="554" t="s">
        <v>871</v>
      </c>
      <c r="C31" s="555">
        <f>+SUMIF('13.mell_ÖNKfeladatok2020'!$B$5:$B$159,'14.mell_Önk kiegészítés2020'!$A31,'13.mell_ÖNKfeladatok2020'!O$5:O$159)</f>
        <v>0</v>
      </c>
      <c r="D31" s="555">
        <f>+SUMIF('13.mell_ÖNKfeladatok2020'!$B$5:$B$159,'14.mell_Önk kiegészítés2020'!$A31,'13.mell_ÖNKfeladatok2020'!S$5:S$159)</f>
        <v>0</v>
      </c>
      <c r="E31" s="555">
        <f>+SUMIF('13.mell_ÖNKfeladatok2020'!$B$5:$B$159,'14.mell_Önk kiegészítés2020'!$A31,'13.mell_ÖNKfeladatok2020'!W$5:W$159)</f>
        <v>0</v>
      </c>
      <c r="F31" s="555">
        <f>+SUMIF('13.mell_ÖNKfeladatok2020'!$B$5:$B$159,'14.mell_Önk kiegészítés2020'!$A31,'13.mell_ÖNKfeladatok2020'!AA$5:AA$159)</f>
        <v>0</v>
      </c>
      <c r="G31" s="555">
        <f>+SUMIF('13.mell_ÖNKfeladatok2020'!$B$5:$B$159,'14.mell_Önk kiegészítés2020'!$A31,'13.mell_ÖNKfeladatok2020'!AI$5:AI$159)</f>
        <v>0</v>
      </c>
      <c r="H31" s="555">
        <f>+SUMIF('13.mell_ÖNKfeladatok2020'!$B$5:$B$159,'14.mell_Önk kiegészítés2020'!$A31,'13.mell_ÖNKfeladatok2020'!AM$5:AM$159)</f>
        <v>0</v>
      </c>
      <c r="I31" s="555">
        <f>+SUMIF('13.mell_ÖNKfeladatok2020'!$B$5:$B$159,'14.mell_Önk kiegészítés2020'!$A31,'13.mell_ÖNKfeladatok2020'!AQ$5:AQ$159)</f>
        <v>0</v>
      </c>
      <c r="J31" s="584">
        <f>SUM(C31:I31)</f>
        <v>0</v>
      </c>
      <c r="K31" s="543">
        <f>+SUMIF('13.mell_ÖNKfeladatok2020'!$B$167:$B$321,'14.mell_Önk kiegészítés2020'!$A31,'13.mell_ÖNKfeladatok2020'!O$167:O$321)</f>
        <v>0</v>
      </c>
      <c r="L31" s="543">
        <f>+SUMIF('13.mell_ÖNKfeladatok2020'!$B$167:$B$321,'14.mell_Önk kiegészítés2020'!$A31,'13.mell_ÖNKfeladatok2020'!S$167:S$321)</f>
        <v>0</v>
      </c>
      <c r="M31" s="543">
        <f>+SUMIF('13.mell_ÖNKfeladatok2020'!$B$167:$B$321,'14.mell_Önk kiegészítés2020'!$A31,'13.mell_ÖNKfeladatok2020'!W$167:W$321)</f>
        <v>0</v>
      </c>
      <c r="N31" s="543">
        <f>+SUMIF('13.mell_ÖNKfeladatok2020'!$B$167:$B$321,'14.mell_Önk kiegészítés2020'!$A31,'13.mell_ÖNKfeladatok2020'!AA$167:AA$321)</f>
        <v>0</v>
      </c>
      <c r="O31" s="543">
        <f>+SUMIF('13.mell_ÖNKfeladatok2020'!$B$167:$B$321,'14.mell_Önk kiegészítés2020'!$A31,'13.mell_ÖNKfeladatok2020'!AE$167:AE$321)</f>
        <v>0</v>
      </c>
      <c r="P31" s="543">
        <f>+SUMIF('13.mell_ÖNKfeladatok2020'!$B$167:$B$321,'14.mell_Önk kiegészítés2020'!$A31,'13.mell_ÖNKfeladatok2020'!AM$167:AM$321)</f>
        <v>0</v>
      </c>
      <c r="Q31" s="543">
        <f>+SUMIF('13.mell_ÖNKfeladatok2020'!$B$167:$B$321,'14.mell_Önk kiegészítés2020'!$A31,'13.mell_ÖNKfeladatok2020'!AQ$167:AQ$321)</f>
        <v>0</v>
      </c>
      <c r="R31" s="543">
        <f>+SUMIF('13.mell_ÖNKfeladatok2020'!$B$167:$B$321,'14.mell_Önk kiegészítés2020'!$A31,'13.mell_ÖNKfeladatok2020'!AU$167:AU$321)</f>
        <v>0</v>
      </c>
      <c r="S31" s="582">
        <f>SUM(K31:R31)</f>
        <v>0</v>
      </c>
      <c r="T31" s="544">
        <f>S31-J31</f>
        <v>0</v>
      </c>
      <c r="U31" s="1101">
        <f>+ROUND(SUMIF('10.mell_támogatások2020'!$B$6:$B$137,'14.mell_Önk kiegészítés2020'!$A31,'10.mell_támogatások2020'!D$6:D$137)/1000,0)</f>
        <v>0</v>
      </c>
      <c r="V31" s="1081"/>
      <c r="W31" s="544">
        <f>+T31-U31-V31</f>
        <v>0</v>
      </c>
    </row>
    <row r="32" spans="1:42" s="535" customFormat="1" ht="12.75" thickBot="1">
      <c r="A32" s="547" t="s">
        <v>746</v>
      </c>
      <c r="B32" s="548" t="s">
        <v>871</v>
      </c>
      <c r="C32" s="549">
        <f>SUM(C31)</f>
        <v>0</v>
      </c>
      <c r="D32" s="550">
        <f t="shared" ref="D32:W32" si="27">SUM(D31)</f>
        <v>0</v>
      </c>
      <c r="E32" s="550">
        <f t="shared" si="27"/>
        <v>0</v>
      </c>
      <c r="F32" s="550">
        <f t="shared" si="27"/>
        <v>0</v>
      </c>
      <c r="G32" s="550">
        <f t="shared" si="27"/>
        <v>0</v>
      </c>
      <c r="H32" s="550">
        <f t="shared" si="27"/>
        <v>0</v>
      </c>
      <c r="I32" s="553">
        <f t="shared" si="27"/>
        <v>0</v>
      </c>
      <c r="J32" s="552">
        <f t="shared" si="27"/>
        <v>0</v>
      </c>
      <c r="K32" s="549">
        <f t="shared" si="27"/>
        <v>0</v>
      </c>
      <c r="L32" s="549">
        <f t="shared" si="27"/>
        <v>0</v>
      </c>
      <c r="M32" s="549">
        <f t="shared" si="27"/>
        <v>0</v>
      </c>
      <c r="N32" s="549">
        <f t="shared" si="27"/>
        <v>0</v>
      </c>
      <c r="O32" s="549">
        <f t="shared" si="27"/>
        <v>0</v>
      </c>
      <c r="P32" s="549">
        <f t="shared" si="27"/>
        <v>0</v>
      </c>
      <c r="Q32" s="549">
        <f t="shared" si="27"/>
        <v>0</v>
      </c>
      <c r="R32" s="549">
        <f t="shared" si="27"/>
        <v>0</v>
      </c>
      <c r="S32" s="552">
        <f t="shared" si="27"/>
        <v>0</v>
      </c>
      <c r="T32" s="552">
        <f t="shared" si="27"/>
        <v>0</v>
      </c>
      <c r="U32" s="1102">
        <f t="shared" si="27"/>
        <v>0</v>
      </c>
      <c r="V32" s="553">
        <f t="shared" si="27"/>
        <v>0</v>
      </c>
      <c r="W32" s="552">
        <f t="shared" si="27"/>
        <v>0</v>
      </c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</row>
    <row r="33" spans="1:42" s="535" customFormat="1" ht="12.75" thickBot="1">
      <c r="A33" s="556" t="s">
        <v>22</v>
      </c>
      <c r="B33" s="557" t="s">
        <v>872</v>
      </c>
      <c r="C33" s="558">
        <f>+C26+C30+C32</f>
        <v>0</v>
      </c>
      <c r="D33" s="559">
        <f t="shared" ref="D33:W33" si="28">+D26+D30+D32</f>
        <v>0</v>
      </c>
      <c r="E33" s="559">
        <f t="shared" si="28"/>
        <v>41459</v>
      </c>
      <c r="F33" s="559">
        <f t="shared" si="28"/>
        <v>0</v>
      </c>
      <c r="G33" s="559">
        <f t="shared" si="28"/>
        <v>0</v>
      </c>
      <c r="H33" s="559">
        <f t="shared" si="28"/>
        <v>0</v>
      </c>
      <c r="I33" s="560">
        <f t="shared" si="28"/>
        <v>0</v>
      </c>
      <c r="J33" s="561">
        <f t="shared" si="28"/>
        <v>41459</v>
      </c>
      <c r="K33" s="558">
        <f t="shared" si="28"/>
        <v>288403</v>
      </c>
      <c r="L33" s="558">
        <f t="shared" si="28"/>
        <v>53891</v>
      </c>
      <c r="M33" s="558">
        <f t="shared" si="28"/>
        <v>60026</v>
      </c>
      <c r="N33" s="558">
        <f t="shared" si="28"/>
        <v>0</v>
      </c>
      <c r="O33" s="558">
        <f t="shared" si="28"/>
        <v>0</v>
      </c>
      <c r="P33" s="558">
        <f t="shared" si="28"/>
        <v>4000</v>
      </c>
      <c r="Q33" s="558">
        <f t="shared" si="28"/>
        <v>0</v>
      </c>
      <c r="R33" s="558">
        <f t="shared" si="28"/>
        <v>0</v>
      </c>
      <c r="S33" s="561">
        <f t="shared" si="28"/>
        <v>406320</v>
      </c>
      <c r="T33" s="561">
        <f t="shared" si="28"/>
        <v>364861</v>
      </c>
      <c r="U33" s="1104">
        <f t="shared" si="28"/>
        <v>145965</v>
      </c>
      <c r="V33" s="560">
        <f t="shared" si="28"/>
        <v>-40716</v>
      </c>
      <c r="W33" s="561">
        <f t="shared" si="28"/>
        <v>259612</v>
      </c>
      <c r="Y33" s="535">
        <f>+'13.mell_ÖNKfeladatok2020'!$G$111-J33</f>
        <v>0</v>
      </c>
      <c r="Z33" s="535">
        <f>+'13.mell_ÖNKfeladatok2020'!$G$273-S33</f>
        <v>0</v>
      </c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</row>
    <row r="34" spans="1:42" s="535" customFormat="1" ht="12.75" thickBot="1">
      <c r="A34" s="567"/>
      <c r="B34" s="568"/>
      <c r="C34" s="569"/>
      <c r="D34" s="569"/>
      <c r="E34" s="569"/>
      <c r="F34" s="569"/>
      <c r="G34" s="569"/>
      <c r="H34" s="569"/>
      <c r="I34" s="866"/>
      <c r="J34" s="572"/>
      <c r="K34" s="569"/>
      <c r="L34" s="569"/>
      <c r="M34" s="569"/>
      <c r="N34" s="569"/>
      <c r="O34" s="569"/>
      <c r="P34" s="569"/>
      <c r="Q34" s="569"/>
      <c r="R34" s="569"/>
      <c r="S34" s="572"/>
      <c r="T34" s="572"/>
      <c r="U34" s="866"/>
      <c r="V34" s="571"/>
      <c r="W34" s="57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</row>
    <row r="35" spans="1:42">
      <c r="A35" s="825">
        <f>+A31+1</f>
        <v>19</v>
      </c>
      <c r="B35" s="731" t="s">
        <v>1078</v>
      </c>
      <c r="C35" s="869">
        <f>+SUMIF('13.mell_ÖNKfeladatok2020'!$B$5:$B$159,'14.mell_Önk kiegészítés2020'!$A35,'13.mell_ÖNKfeladatok2020'!O$5:O$159)</f>
        <v>0</v>
      </c>
      <c r="D35" s="869">
        <f>+SUMIF('13.mell_ÖNKfeladatok2020'!$B$5:$B$159,'14.mell_Önk kiegészítés2020'!$A35,'13.mell_ÖNKfeladatok2020'!S$5:S$159)</f>
        <v>0</v>
      </c>
      <c r="E35" s="869">
        <f>+SUMIF('13.mell_ÖNKfeladatok2020'!$B$5:$B$159,'14.mell_Önk kiegészítés2020'!$A35,'13.mell_ÖNKfeladatok2020'!W$5:W$159)</f>
        <v>0</v>
      </c>
      <c r="F35" s="869">
        <f>+SUMIF('13.mell_ÖNKfeladatok2020'!$B$5:$B$159,'14.mell_Önk kiegészítés2020'!$A35,'13.mell_ÖNKfeladatok2020'!AA$5:AA$159)</f>
        <v>0</v>
      </c>
      <c r="G35" s="869">
        <f>+SUMIF('13.mell_ÖNKfeladatok2020'!$B$5:$B$159,'14.mell_Önk kiegészítés2020'!$A35,'13.mell_ÖNKfeladatok2020'!AI$5:AI$159)</f>
        <v>0</v>
      </c>
      <c r="H35" s="869">
        <f>+SUMIF('13.mell_ÖNKfeladatok2020'!$B$5:$B$159,'14.mell_Önk kiegészítés2020'!$A35,'13.mell_ÖNKfeladatok2020'!AM$5:AM$159)</f>
        <v>0</v>
      </c>
      <c r="I35" s="869">
        <f>+SUMIF('13.mell_ÖNKfeladatok2020'!$B$5:$B$159,'14.mell_Önk kiegészítés2020'!$A35,'13.mell_ÖNKfeladatok2020'!AQ$5:AQ$159)</f>
        <v>0</v>
      </c>
      <c r="J35" s="732">
        <f>SUM(C35:I35)</f>
        <v>0</v>
      </c>
      <c r="K35" s="869">
        <f>+SUMIF('13.mell_ÖNKfeladatok2020'!$B$167:$B$321,'14.mell_Önk kiegészítés2020'!$A35,'13.mell_ÖNKfeladatok2020'!O$167:O$321)</f>
        <v>219940</v>
      </c>
      <c r="L35" s="869">
        <f>+SUMIF('13.mell_ÖNKfeladatok2020'!$B$167:$B$321,'14.mell_Önk kiegészítés2020'!$A35,'13.mell_ÖNKfeladatok2020'!S$167:S$321)</f>
        <v>43809</v>
      </c>
      <c r="M35" s="869">
        <f>+SUMIF('13.mell_ÖNKfeladatok2020'!$B$167:$B$321,'14.mell_Önk kiegészítés2020'!$A35,'13.mell_ÖNKfeladatok2020'!W$167:W$321)</f>
        <v>25891</v>
      </c>
      <c r="N35" s="869">
        <f>+SUMIF('13.mell_ÖNKfeladatok2020'!$B$167:$B$321,'14.mell_Önk kiegészítés2020'!$A35,'13.mell_ÖNKfeladatok2020'!AA$167:AA$321)</f>
        <v>0</v>
      </c>
      <c r="O35" s="869">
        <f>+SUMIF('13.mell_ÖNKfeladatok2020'!$B$167:$B$321,'14.mell_Önk kiegészítés2020'!$A35,'13.mell_ÖNKfeladatok2020'!AE$167:AE$321)</f>
        <v>0</v>
      </c>
      <c r="P35" s="869">
        <f>+SUMIF('13.mell_ÖNKfeladatok2020'!$B$167:$B$321,'14.mell_Önk kiegészítés2020'!$A35,'13.mell_ÖNKfeladatok2020'!AM$167:AM$321)</f>
        <v>1100</v>
      </c>
      <c r="Q35" s="869">
        <f>+SUMIF('13.mell_ÖNKfeladatok2020'!$B$167:$B$321,'14.mell_Önk kiegészítés2020'!$A35,'13.mell_ÖNKfeladatok2020'!AQ$167:AQ$321)</f>
        <v>0</v>
      </c>
      <c r="R35" s="869">
        <f>+SUMIF('13.mell_ÖNKfeladatok2020'!$B$167:$B$321,'14.mell_Önk kiegészítés2020'!$A35,'13.mell_ÖNKfeladatok2020'!AU$167:AU$321)</f>
        <v>0</v>
      </c>
      <c r="S35" s="732">
        <f>SUM(K35:R35)</f>
        <v>290740</v>
      </c>
      <c r="T35" s="733">
        <f>S35-J35</f>
        <v>290740</v>
      </c>
      <c r="U35" s="1105">
        <f>+ROUND(SUMIF('10.mell_támogatások2020'!$B$6:$B$137,'14.mell_Önk kiegészítés2020'!$A35,'10.mell_támogatások2020'!D$6:D$137)/1000,0)</f>
        <v>238516</v>
      </c>
      <c r="V35" s="1083"/>
      <c r="W35" s="733">
        <f t="shared" ref="W35:W37" si="29">+T35-U35-V35</f>
        <v>52224</v>
      </c>
    </row>
    <row r="36" spans="1:42">
      <c r="A36" s="826">
        <f>+A35+1</f>
        <v>20</v>
      </c>
      <c r="B36" s="542" t="s">
        <v>1151</v>
      </c>
      <c r="C36" s="543">
        <f>+SUMIF('13.mell_ÖNKfeladatok2020'!$B$5:$B$159,'14.mell_Önk kiegészítés2020'!$A36,'13.mell_ÖNKfeladatok2020'!O$5:O$159)</f>
        <v>0</v>
      </c>
      <c r="D36" s="543">
        <f>+SUMIF('13.mell_ÖNKfeladatok2020'!$B$5:$B$159,'14.mell_Önk kiegészítés2020'!$A36,'13.mell_ÖNKfeladatok2020'!S$5:S$159)</f>
        <v>0</v>
      </c>
      <c r="E36" s="543">
        <f>+SUMIF('13.mell_ÖNKfeladatok2020'!$B$5:$B$159,'14.mell_Önk kiegészítés2020'!$A36,'13.mell_ÖNKfeladatok2020'!W$5:W$159)</f>
        <v>21571</v>
      </c>
      <c r="F36" s="543">
        <f>+SUMIF('13.mell_ÖNKfeladatok2020'!$B$5:$B$159,'14.mell_Önk kiegészítés2020'!$A36,'13.mell_ÖNKfeladatok2020'!AA$5:AA$159)</f>
        <v>0</v>
      </c>
      <c r="G36" s="543">
        <f>+SUMIF('13.mell_ÖNKfeladatok2020'!$B$5:$B$159,'14.mell_Önk kiegészítés2020'!$A36,'13.mell_ÖNKfeladatok2020'!AI$5:AI$159)</f>
        <v>0</v>
      </c>
      <c r="H36" s="543">
        <f>+SUMIF('13.mell_ÖNKfeladatok2020'!$B$5:$B$159,'14.mell_Önk kiegészítés2020'!$A36,'13.mell_ÖNKfeladatok2020'!AM$5:AM$159)</f>
        <v>0</v>
      </c>
      <c r="I36" s="543">
        <f>+SUMIF('13.mell_ÖNKfeladatok2020'!$B$5:$B$159,'14.mell_Önk kiegészítés2020'!$A36,'13.mell_ÖNKfeladatok2020'!AQ$5:AQ$159)</f>
        <v>0</v>
      </c>
      <c r="J36" s="582">
        <f>SUM(C36:I36)</f>
        <v>21571</v>
      </c>
      <c r="K36" s="543">
        <f>+SUMIF('13.mell_ÖNKfeladatok2020'!$B$167:$B$321,'14.mell_Önk kiegészítés2020'!$A36,'13.mell_ÖNKfeladatok2020'!O$167:O$321)</f>
        <v>0</v>
      </c>
      <c r="L36" s="543">
        <f>+SUMIF('13.mell_ÖNKfeladatok2020'!$B$167:$B$321,'14.mell_Önk kiegészítés2020'!$A36,'13.mell_ÖNKfeladatok2020'!S$167:S$321)</f>
        <v>0</v>
      </c>
      <c r="M36" s="543">
        <f>+SUMIF('13.mell_ÖNKfeladatok2020'!$B$167:$B$321,'14.mell_Önk kiegészítés2020'!$A36,'13.mell_ÖNKfeladatok2020'!W$167:W$321)</f>
        <v>93915</v>
      </c>
      <c r="N36" s="543">
        <f>+SUMIF('13.mell_ÖNKfeladatok2020'!$B$167:$B$321,'14.mell_Önk kiegészítés2020'!$A36,'13.mell_ÖNKfeladatok2020'!AA$167:AA$321)</f>
        <v>0</v>
      </c>
      <c r="O36" s="543">
        <f>+SUMIF('13.mell_ÖNKfeladatok2020'!$B$167:$B$321,'14.mell_Önk kiegészítés2020'!$A36,'13.mell_ÖNKfeladatok2020'!AE$167:AE$321)</f>
        <v>0</v>
      </c>
      <c r="P36" s="543">
        <f>+SUMIF('13.mell_ÖNKfeladatok2020'!$B$167:$B$321,'14.mell_Önk kiegészítés2020'!$A36,'13.mell_ÖNKfeladatok2020'!AM$167:AM$321)</f>
        <v>0</v>
      </c>
      <c r="Q36" s="543">
        <f>+SUMIF('13.mell_ÖNKfeladatok2020'!$B$167:$B$321,'14.mell_Önk kiegészítés2020'!$A36,'13.mell_ÖNKfeladatok2020'!AQ$167:AQ$321)</f>
        <v>0</v>
      </c>
      <c r="R36" s="543">
        <f>+SUMIF('13.mell_ÖNKfeladatok2020'!$B$167:$B$321,'14.mell_Önk kiegészítés2020'!$A36,'13.mell_ÖNKfeladatok2020'!AU$167:AU$321)</f>
        <v>0</v>
      </c>
      <c r="S36" s="582">
        <f>SUM(K36:R36)</f>
        <v>93915</v>
      </c>
      <c r="T36" s="544">
        <f>S36-J36</f>
        <v>72344</v>
      </c>
      <c r="U36" s="1101">
        <f>+ROUND(SUMIF('10.mell_támogatások2020'!$B$6:$B$137,'14.mell_Önk kiegészítés2020'!$A36,'10.mell_támogatások2020'!D$6:D$137)/1000,0)</f>
        <v>67762</v>
      </c>
      <c r="V36" s="1081">
        <v>1592</v>
      </c>
      <c r="W36" s="544">
        <f t="shared" si="29"/>
        <v>2990</v>
      </c>
      <c r="AI36" s="262">
        <v>1592</v>
      </c>
    </row>
    <row r="37" spans="1:42" ht="12.75" thickBot="1">
      <c r="A37" s="867">
        <f>+A36+1</f>
        <v>21</v>
      </c>
      <c r="B37" s="554" t="s">
        <v>1144</v>
      </c>
      <c r="C37" s="555">
        <f>+SUMIF('13.mell_ÖNKfeladatok2020'!$B$5:$B$159,'14.mell_Önk kiegészítés2020'!$A37,'13.mell_ÖNKfeladatok2020'!O$5:O$159)</f>
        <v>0</v>
      </c>
      <c r="D37" s="555">
        <f>+SUMIF('13.mell_ÖNKfeladatok2020'!$B$5:$B$159,'14.mell_Önk kiegészítés2020'!$A37,'13.mell_ÖNKfeladatok2020'!S$5:S$159)</f>
        <v>0</v>
      </c>
      <c r="E37" s="555">
        <f>+SUMIF('13.mell_ÖNKfeladatok2020'!$B$5:$B$159,'14.mell_Önk kiegészítés2020'!$A37,'13.mell_ÖNKfeladatok2020'!W$5:W$159)</f>
        <v>0</v>
      </c>
      <c r="F37" s="555">
        <f>+SUMIF('13.mell_ÖNKfeladatok2020'!$B$5:$B$159,'14.mell_Önk kiegészítés2020'!$A37,'13.mell_ÖNKfeladatok2020'!AA$5:AA$159)</f>
        <v>0</v>
      </c>
      <c r="G37" s="555">
        <f>+SUMIF('13.mell_ÖNKfeladatok2020'!$B$5:$B$159,'14.mell_Önk kiegészítés2020'!$A37,'13.mell_ÖNKfeladatok2020'!AI$5:AI$159)</f>
        <v>0</v>
      </c>
      <c r="H37" s="555">
        <f>+SUMIF('13.mell_ÖNKfeladatok2020'!$B$5:$B$159,'14.mell_Önk kiegészítés2020'!$A37,'13.mell_ÖNKfeladatok2020'!AM$5:AM$159)</f>
        <v>0</v>
      </c>
      <c r="I37" s="555">
        <f>+SUMIF('13.mell_ÖNKfeladatok2020'!$B$5:$B$159,'14.mell_Önk kiegészítés2020'!$A37,'13.mell_ÖNKfeladatok2020'!AQ$5:AQ$159)</f>
        <v>0</v>
      </c>
      <c r="J37" s="584">
        <f>SUM(C37:I37)</f>
        <v>0</v>
      </c>
      <c r="K37" s="540">
        <f>+SUMIF('13.mell_ÖNKfeladatok2020'!$B$167:$B$321,'14.mell_Önk kiegészítés2020'!$A37,'13.mell_ÖNKfeladatok2020'!O$167:O$321)</f>
        <v>33994</v>
      </c>
      <c r="L37" s="540">
        <f>+SUMIF('13.mell_ÖNKfeladatok2020'!$B$167:$B$321,'14.mell_Önk kiegészítés2020'!$A37,'13.mell_ÖNKfeladatok2020'!S$167:S$321)</f>
        <v>5975</v>
      </c>
      <c r="M37" s="540">
        <f>+SUMIF('13.mell_ÖNKfeladatok2020'!$B$167:$B$321,'14.mell_Önk kiegészítés2020'!$A37,'13.mell_ÖNKfeladatok2020'!W$167:W$321)</f>
        <v>4693</v>
      </c>
      <c r="N37" s="540">
        <f>+SUMIF('13.mell_ÖNKfeladatok2020'!$B$167:$B$321,'14.mell_Önk kiegészítés2020'!$A37,'13.mell_ÖNKfeladatok2020'!AA$167:AA$321)</f>
        <v>0</v>
      </c>
      <c r="O37" s="540">
        <f>+SUMIF('13.mell_ÖNKfeladatok2020'!$B$167:$B$321,'14.mell_Önk kiegészítés2020'!$A37,'13.mell_ÖNKfeladatok2020'!AE$167:AE$321)</f>
        <v>0</v>
      </c>
      <c r="P37" s="540">
        <f>+SUMIF('13.mell_ÖNKfeladatok2020'!$B$167:$B$321,'14.mell_Önk kiegészítés2020'!$A37,'13.mell_ÖNKfeladatok2020'!AM$167:AM$321)</f>
        <v>0</v>
      </c>
      <c r="Q37" s="540">
        <f>+SUMIF('13.mell_ÖNKfeladatok2020'!$B$167:$B$321,'14.mell_Önk kiegészítés2020'!$A37,'13.mell_ÖNKfeladatok2020'!AQ$167:AQ$321)</f>
        <v>0</v>
      </c>
      <c r="R37" s="540">
        <f>+SUMIF('13.mell_ÖNKfeladatok2020'!$B$167:$B$321,'14.mell_Önk kiegészítés2020'!$A37,'13.mell_ÖNKfeladatok2020'!AU$167:AU$321)</f>
        <v>0</v>
      </c>
      <c r="S37" s="581">
        <f>SUM(K37:R37)</f>
        <v>44662</v>
      </c>
      <c r="T37" s="541">
        <f>S37-J37</f>
        <v>44662</v>
      </c>
      <c r="U37" s="1100">
        <f>+ROUND(SUMIF('10.mell_támogatások2020'!$B$6:$B$137,'14.mell_Önk kiegészítés2020'!$A37,'10.mell_támogatások2020'!D$6:D$137)/1000,0)</f>
        <v>23730</v>
      </c>
      <c r="V37" s="1080"/>
      <c r="W37" s="541">
        <f t="shared" si="29"/>
        <v>20932</v>
      </c>
    </row>
    <row r="38" spans="1:42" s="535" customFormat="1" ht="12.75" thickBot="1">
      <c r="A38" s="344" t="s">
        <v>747</v>
      </c>
      <c r="B38" s="494" t="s">
        <v>417</v>
      </c>
      <c r="C38" s="549">
        <f>SUM(C35:C37)</f>
        <v>0</v>
      </c>
      <c r="D38" s="549">
        <f t="shared" ref="D38:W38" si="30">SUM(D35:D37)</f>
        <v>0</v>
      </c>
      <c r="E38" s="549">
        <f t="shared" si="30"/>
        <v>21571</v>
      </c>
      <c r="F38" s="549">
        <f t="shared" si="30"/>
        <v>0</v>
      </c>
      <c r="G38" s="549">
        <f t="shared" si="30"/>
        <v>0</v>
      </c>
      <c r="H38" s="549">
        <f t="shared" si="30"/>
        <v>0</v>
      </c>
      <c r="I38" s="549">
        <f t="shared" si="30"/>
        <v>0</v>
      </c>
      <c r="J38" s="552">
        <f t="shared" si="30"/>
        <v>21571</v>
      </c>
      <c r="K38" s="549">
        <f t="shared" si="30"/>
        <v>253934</v>
      </c>
      <c r="L38" s="549">
        <f t="shared" si="30"/>
        <v>49784</v>
      </c>
      <c r="M38" s="549">
        <f t="shared" si="30"/>
        <v>124499</v>
      </c>
      <c r="N38" s="549">
        <f t="shared" si="30"/>
        <v>0</v>
      </c>
      <c r="O38" s="549">
        <f t="shared" si="30"/>
        <v>0</v>
      </c>
      <c r="P38" s="549">
        <f t="shared" si="30"/>
        <v>1100</v>
      </c>
      <c r="Q38" s="549">
        <f t="shared" si="30"/>
        <v>0</v>
      </c>
      <c r="R38" s="549">
        <f t="shared" si="30"/>
        <v>0</v>
      </c>
      <c r="S38" s="552">
        <f t="shared" si="30"/>
        <v>429317</v>
      </c>
      <c r="T38" s="552">
        <f t="shared" si="30"/>
        <v>407746</v>
      </c>
      <c r="U38" s="1102">
        <f t="shared" si="30"/>
        <v>330008</v>
      </c>
      <c r="V38" s="553">
        <f t="shared" si="30"/>
        <v>1592</v>
      </c>
      <c r="W38" s="552">
        <f t="shared" si="30"/>
        <v>76146</v>
      </c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</row>
    <row r="39" spans="1:42" ht="12.75" thickBot="1">
      <c r="A39" s="870">
        <f>+A37+1</f>
        <v>22</v>
      </c>
      <c r="B39" s="554" t="s">
        <v>418</v>
      </c>
      <c r="C39" s="555">
        <f>+SUMIF('13.mell_ÖNKfeladatok2020'!$B$5:$B$159,'14.mell_Önk kiegészítés2020'!$A39,'13.mell_ÖNKfeladatok2020'!O$5:O$159)</f>
        <v>0</v>
      </c>
      <c r="D39" s="555">
        <f>+SUMIF('13.mell_ÖNKfeladatok2020'!$B$5:$B$159,'14.mell_Önk kiegészítés2020'!$A39,'13.mell_ÖNKfeladatok2020'!S$5:S$159)</f>
        <v>0</v>
      </c>
      <c r="E39" s="555">
        <f>+SUMIF('13.mell_ÖNKfeladatok2020'!$B$5:$B$159,'14.mell_Önk kiegészítés2020'!$A39,'13.mell_ÖNKfeladatok2020'!W$5:W$159)</f>
        <v>0</v>
      </c>
      <c r="F39" s="555">
        <f>+SUMIF('13.mell_ÖNKfeladatok2020'!$B$5:$B$159,'14.mell_Önk kiegészítés2020'!$A39,'13.mell_ÖNKfeladatok2020'!AA$5:AA$159)</f>
        <v>0</v>
      </c>
      <c r="G39" s="555">
        <f>+SUMIF('13.mell_ÖNKfeladatok2020'!$B$5:$B$159,'14.mell_Önk kiegészítés2020'!$A39,'13.mell_ÖNKfeladatok2020'!AI$5:AI$159)</f>
        <v>0</v>
      </c>
      <c r="H39" s="555">
        <f>+SUMIF('13.mell_ÖNKfeladatok2020'!$B$5:$B$159,'14.mell_Önk kiegészítés2020'!$A39,'13.mell_ÖNKfeladatok2020'!AM$5:AM$159)</f>
        <v>0</v>
      </c>
      <c r="I39" s="555">
        <f>+SUMIF('13.mell_ÖNKfeladatok2020'!$B$5:$B$159,'14.mell_Önk kiegészítés2020'!$A39,'13.mell_ÖNKfeladatok2020'!AQ$5:AQ$159)</f>
        <v>0</v>
      </c>
      <c r="J39" s="584">
        <f>SUM(C39:I39)</f>
        <v>0</v>
      </c>
      <c r="K39" s="546">
        <f>+SUMIF('13.mell_ÖNKfeladatok2020'!$B$167:$B$321,'14.mell_Önk kiegészítés2020'!$A39,'13.mell_ÖNKfeladatok2020'!O$167:O$321)</f>
        <v>0</v>
      </c>
      <c r="L39" s="546">
        <f>+SUMIF('13.mell_ÖNKfeladatok2020'!$B$167:$B$321,'14.mell_Önk kiegészítés2020'!$A39,'13.mell_ÖNKfeladatok2020'!S$167:S$321)</f>
        <v>0</v>
      </c>
      <c r="M39" s="546">
        <f>+SUMIF('13.mell_ÖNKfeladatok2020'!$B$167:$B$321,'14.mell_Önk kiegészítés2020'!$A39,'13.mell_ÖNKfeladatok2020'!W$167:W$321)</f>
        <v>0</v>
      </c>
      <c r="N39" s="546">
        <f>+SUMIF('13.mell_ÖNKfeladatok2020'!$B$167:$B$321,'14.mell_Önk kiegészítés2020'!$A39,'13.mell_ÖNKfeladatok2020'!AA$167:AA$321)</f>
        <v>0</v>
      </c>
      <c r="O39" s="546">
        <f>+SUMIF('13.mell_ÖNKfeladatok2020'!$B$167:$B$321,'14.mell_Önk kiegészítés2020'!$A39,'13.mell_ÖNKfeladatok2020'!AE$167:AE$321)</f>
        <v>0</v>
      </c>
      <c r="P39" s="546">
        <f>+SUMIF('13.mell_ÖNKfeladatok2020'!$B$167:$B$321,'14.mell_Önk kiegészítés2020'!$A39,'13.mell_ÖNKfeladatok2020'!AM$167:AM$321)</f>
        <v>0</v>
      </c>
      <c r="Q39" s="546">
        <f>+SUMIF('13.mell_ÖNKfeladatok2020'!$B$167:$B$321,'14.mell_Önk kiegészítés2020'!$A39,'13.mell_ÖNKfeladatok2020'!AQ$167:AQ$321)</f>
        <v>0</v>
      </c>
      <c r="R39" s="546">
        <f>+SUMIF('13.mell_ÖNKfeladatok2020'!$B$167:$B$321,'14.mell_Önk kiegészítés2020'!$A39,'13.mell_ÖNKfeladatok2020'!AU$167:AU$321)</f>
        <v>0</v>
      </c>
      <c r="S39" s="583">
        <f>SUM(K39:R39)</f>
        <v>0</v>
      </c>
      <c r="T39" s="871">
        <f>S39-J39</f>
        <v>0</v>
      </c>
      <c r="U39" s="1106">
        <f>+ROUND(SUMIF('10.mell_támogatások2020'!$B$6:$B$137,'14.mell_Önk kiegészítés2020'!$A39,'10.mell_támogatások2020'!D$6:D$137)/1000,0)</f>
        <v>0</v>
      </c>
      <c r="V39" s="1084"/>
      <c r="W39" s="871">
        <f>+T39-U39-V39</f>
        <v>0</v>
      </c>
    </row>
    <row r="40" spans="1:42" s="535" customFormat="1" ht="12.75" thickBot="1">
      <c r="A40" s="344" t="s">
        <v>748</v>
      </c>
      <c r="B40" s="494" t="s">
        <v>418</v>
      </c>
      <c r="C40" s="549">
        <f>SUM(C39)</f>
        <v>0</v>
      </c>
      <c r="D40" s="549">
        <f t="shared" ref="D40:W40" si="31">SUM(D39)</f>
        <v>0</v>
      </c>
      <c r="E40" s="549">
        <f t="shared" si="31"/>
        <v>0</v>
      </c>
      <c r="F40" s="549">
        <f t="shared" si="31"/>
        <v>0</v>
      </c>
      <c r="G40" s="549">
        <f t="shared" si="31"/>
        <v>0</v>
      </c>
      <c r="H40" s="549">
        <f t="shared" si="31"/>
        <v>0</v>
      </c>
      <c r="I40" s="549">
        <f t="shared" si="31"/>
        <v>0</v>
      </c>
      <c r="J40" s="552">
        <f t="shared" si="31"/>
        <v>0</v>
      </c>
      <c r="K40" s="549">
        <f t="shared" si="31"/>
        <v>0</v>
      </c>
      <c r="L40" s="549">
        <f t="shared" si="31"/>
        <v>0</v>
      </c>
      <c r="M40" s="549">
        <f t="shared" si="31"/>
        <v>0</v>
      </c>
      <c r="N40" s="549">
        <f t="shared" si="31"/>
        <v>0</v>
      </c>
      <c r="O40" s="549">
        <f t="shared" si="31"/>
        <v>0</v>
      </c>
      <c r="P40" s="549">
        <f t="shared" si="31"/>
        <v>0</v>
      </c>
      <c r="Q40" s="549">
        <f t="shared" si="31"/>
        <v>0</v>
      </c>
      <c r="R40" s="549">
        <f t="shared" si="31"/>
        <v>0</v>
      </c>
      <c r="S40" s="552">
        <f t="shared" si="31"/>
        <v>0</v>
      </c>
      <c r="T40" s="552">
        <f t="shared" si="31"/>
        <v>0</v>
      </c>
      <c r="U40" s="1102">
        <f t="shared" si="31"/>
        <v>0</v>
      </c>
      <c r="V40" s="553">
        <f t="shared" si="31"/>
        <v>0</v>
      </c>
      <c r="W40" s="552">
        <f t="shared" si="31"/>
        <v>0</v>
      </c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</row>
    <row r="41" spans="1:42" ht="12.75" thickBot="1">
      <c r="A41" s="870">
        <f>+A39+1</f>
        <v>23</v>
      </c>
      <c r="B41" s="554" t="s">
        <v>766</v>
      </c>
      <c r="C41" s="555">
        <f>+SUMIF('13.mell_ÖNKfeladatok2020'!$B$5:$B$159,'14.mell_Önk kiegészítés2020'!$A41,'13.mell_ÖNKfeladatok2020'!O$5:O$159)</f>
        <v>0</v>
      </c>
      <c r="D41" s="555">
        <f>+SUMIF('13.mell_ÖNKfeladatok2020'!$B$5:$B$159,'14.mell_Önk kiegészítés2020'!$A41,'13.mell_ÖNKfeladatok2020'!S$5:S$159)</f>
        <v>0</v>
      </c>
      <c r="E41" s="555">
        <f>+SUMIF('13.mell_ÖNKfeladatok2020'!$B$5:$B$159,'14.mell_Önk kiegészítés2020'!$A41,'13.mell_ÖNKfeladatok2020'!W$5:W$159)</f>
        <v>0</v>
      </c>
      <c r="F41" s="555">
        <f>+SUMIF('13.mell_ÖNKfeladatok2020'!$B$5:$B$159,'14.mell_Önk kiegészítés2020'!$A41,'13.mell_ÖNKfeladatok2020'!AA$5:AA$159)</f>
        <v>0</v>
      </c>
      <c r="G41" s="555">
        <f>+SUMIF('13.mell_ÖNKfeladatok2020'!$B$5:$B$159,'14.mell_Önk kiegészítés2020'!$A41,'13.mell_ÖNKfeladatok2020'!AI$5:AI$159)</f>
        <v>0</v>
      </c>
      <c r="H41" s="555">
        <f>+SUMIF('13.mell_ÖNKfeladatok2020'!$B$5:$B$159,'14.mell_Önk kiegészítés2020'!$A41,'13.mell_ÖNKfeladatok2020'!AM$5:AM$159)</f>
        <v>0</v>
      </c>
      <c r="I41" s="555">
        <f>+SUMIF('13.mell_ÖNKfeladatok2020'!$B$5:$B$159,'14.mell_Önk kiegészítés2020'!$A41,'13.mell_ÖNKfeladatok2020'!AQ$5:AQ$159)</f>
        <v>0</v>
      </c>
      <c r="J41" s="584">
        <f>SUM(C41:I41)</f>
        <v>0</v>
      </c>
      <c r="K41" s="546">
        <f>+SUMIF('13.mell_ÖNKfeladatok2020'!$B$167:$B$321,'14.mell_Önk kiegészítés2020'!$A41,'13.mell_ÖNKfeladatok2020'!O$167:O$321)</f>
        <v>0</v>
      </c>
      <c r="L41" s="546">
        <f>+SUMIF('13.mell_ÖNKfeladatok2020'!$B$167:$B$321,'14.mell_Önk kiegészítés2020'!$A41,'13.mell_ÖNKfeladatok2020'!S$167:S$321)</f>
        <v>0</v>
      </c>
      <c r="M41" s="546">
        <f>+SUMIF('13.mell_ÖNKfeladatok2020'!$B$167:$B$321,'14.mell_Önk kiegészítés2020'!$A41,'13.mell_ÖNKfeladatok2020'!W$167:W$321)</f>
        <v>0</v>
      </c>
      <c r="N41" s="546">
        <f>+SUMIF('13.mell_ÖNKfeladatok2020'!$B$167:$B$321,'14.mell_Önk kiegészítés2020'!$A41,'13.mell_ÖNKfeladatok2020'!AA$167:AA$321)</f>
        <v>0</v>
      </c>
      <c r="O41" s="546">
        <f>+SUMIF('13.mell_ÖNKfeladatok2020'!$B$167:$B$321,'14.mell_Önk kiegészítés2020'!$A41,'13.mell_ÖNKfeladatok2020'!AE$167:AE$321)</f>
        <v>0</v>
      </c>
      <c r="P41" s="546">
        <f>+SUMIF('13.mell_ÖNKfeladatok2020'!$B$167:$B$321,'14.mell_Önk kiegészítés2020'!$A41,'13.mell_ÖNKfeladatok2020'!AM$167:AM$321)</f>
        <v>0</v>
      </c>
      <c r="Q41" s="546">
        <f>+SUMIF('13.mell_ÖNKfeladatok2020'!$B$167:$B$321,'14.mell_Önk kiegészítés2020'!$A41,'13.mell_ÖNKfeladatok2020'!AQ$167:AQ$321)</f>
        <v>0</v>
      </c>
      <c r="R41" s="546">
        <f>+SUMIF('13.mell_ÖNKfeladatok2020'!$B$167:$B$321,'14.mell_Önk kiegészítés2020'!$A41,'13.mell_ÖNKfeladatok2020'!AU$167:AU$321)</f>
        <v>0</v>
      </c>
      <c r="S41" s="583">
        <f>SUM(K41:R41)</f>
        <v>0</v>
      </c>
      <c r="T41" s="871">
        <f>S41-J41</f>
        <v>0</v>
      </c>
      <c r="U41" s="1106">
        <f>+ROUND(SUMIF('10.mell_támogatások2020'!$B$6:$B$137,'14.mell_Önk kiegészítés2020'!$A41,'10.mell_támogatások2020'!D$6:D$137)/1000,0)</f>
        <v>0</v>
      </c>
      <c r="V41" s="1084"/>
      <c r="W41" s="871">
        <f>+T41-U41-V41</f>
        <v>0</v>
      </c>
    </row>
    <row r="42" spans="1:42" s="535" customFormat="1" ht="12.75" thickBot="1">
      <c r="A42" s="344" t="s">
        <v>749</v>
      </c>
      <c r="B42" s="494" t="s">
        <v>766</v>
      </c>
      <c r="C42" s="549">
        <f>SUM(C41)</f>
        <v>0</v>
      </c>
      <c r="D42" s="549">
        <f t="shared" ref="D42:W42" si="32">SUM(D41)</f>
        <v>0</v>
      </c>
      <c r="E42" s="549">
        <f t="shared" si="32"/>
        <v>0</v>
      </c>
      <c r="F42" s="549">
        <f t="shared" si="32"/>
        <v>0</v>
      </c>
      <c r="G42" s="549">
        <f t="shared" si="32"/>
        <v>0</v>
      </c>
      <c r="H42" s="549">
        <f t="shared" si="32"/>
        <v>0</v>
      </c>
      <c r="I42" s="549">
        <f t="shared" si="32"/>
        <v>0</v>
      </c>
      <c r="J42" s="552">
        <f t="shared" si="32"/>
        <v>0</v>
      </c>
      <c r="K42" s="549">
        <f t="shared" si="32"/>
        <v>0</v>
      </c>
      <c r="L42" s="549">
        <f t="shared" si="32"/>
        <v>0</v>
      </c>
      <c r="M42" s="549">
        <f t="shared" si="32"/>
        <v>0</v>
      </c>
      <c r="N42" s="549">
        <f t="shared" si="32"/>
        <v>0</v>
      </c>
      <c r="O42" s="549">
        <f t="shared" si="32"/>
        <v>0</v>
      </c>
      <c r="P42" s="549">
        <f t="shared" si="32"/>
        <v>0</v>
      </c>
      <c r="Q42" s="549">
        <f t="shared" si="32"/>
        <v>0</v>
      </c>
      <c r="R42" s="549">
        <f t="shared" si="32"/>
        <v>0</v>
      </c>
      <c r="S42" s="552">
        <f t="shared" si="32"/>
        <v>0</v>
      </c>
      <c r="T42" s="552">
        <f t="shared" si="32"/>
        <v>0</v>
      </c>
      <c r="U42" s="1102">
        <f t="shared" si="32"/>
        <v>0</v>
      </c>
      <c r="V42" s="553">
        <f t="shared" si="32"/>
        <v>0</v>
      </c>
      <c r="W42" s="552">
        <f t="shared" si="32"/>
        <v>0</v>
      </c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</row>
    <row r="43" spans="1:42" s="535" customFormat="1" ht="12.75" thickBot="1">
      <c r="A43" s="496" t="s">
        <v>21</v>
      </c>
      <c r="B43" s="508" t="s">
        <v>419</v>
      </c>
      <c r="C43" s="558">
        <f>+C38+C40+C42</f>
        <v>0</v>
      </c>
      <c r="D43" s="559">
        <f t="shared" ref="D43:W43" si="33">+D38+D40+D42</f>
        <v>0</v>
      </c>
      <c r="E43" s="559">
        <f t="shared" si="33"/>
        <v>21571</v>
      </c>
      <c r="F43" s="559">
        <f t="shared" si="33"/>
        <v>0</v>
      </c>
      <c r="G43" s="559">
        <f t="shared" si="33"/>
        <v>0</v>
      </c>
      <c r="H43" s="559">
        <f t="shared" si="33"/>
        <v>0</v>
      </c>
      <c r="I43" s="560">
        <f t="shared" si="33"/>
        <v>0</v>
      </c>
      <c r="J43" s="561">
        <f t="shared" si="33"/>
        <v>21571</v>
      </c>
      <c r="K43" s="558">
        <f t="shared" si="33"/>
        <v>253934</v>
      </c>
      <c r="L43" s="558">
        <f t="shared" si="33"/>
        <v>49784</v>
      </c>
      <c r="M43" s="558">
        <f t="shared" si="33"/>
        <v>124499</v>
      </c>
      <c r="N43" s="558">
        <f t="shared" si="33"/>
        <v>0</v>
      </c>
      <c r="O43" s="558">
        <f t="shared" si="33"/>
        <v>0</v>
      </c>
      <c r="P43" s="558">
        <f t="shared" si="33"/>
        <v>1100</v>
      </c>
      <c r="Q43" s="558">
        <f t="shared" si="33"/>
        <v>0</v>
      </c>
      <c r="R43" s="558">
        <f t="shared" si="33"/>
        <v>0</v>
      </c>
      <c r="S43" s="561">
        <f t="shared" si="33"/>
        <v>429317</v>
      </c>
      <c r="T43" s="561">
        <f t="shared" si="33"/>
        <v>407746</v>
      </c>
      <c r="U43" s="1104">
        <f t="shared" si="33"/>
        <v>330008</v>
      </c>
      <c r="V43" s="560">
        <f t="shared" si="33"/>
        <v>1592</v>
      </c>
      <c r="W43" s="561">
        <f t="shared" si="33"/>
        <v>76146</v>
      </c>
      <c r="Y43" s="535">
        <f>+'13.mell_ÖNKfeladatok2020'!$G$124-J43</f>
        <v>0</v>
      </c>
      <c r="Z43" s="535">
        <f>+'13.mell_ÖNKfeladatok2020'!$G$286-S43</f>
        <v>0</v>
      </c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</row>
    <row r="44" spans="1:42" s="195" customFormat="1" ht="12.75" thickBot="1">
      <c r="A44" s="344"/>
      <c r="B44" s="494"/>
      <c r="C44" s="569"/>
      <c r="D44" s="570"/>
      <c r="E44" s="570"/>
      <c r="F44" s="570"/>
      <c r="G44" s="570"/>
      <c r="H44" s="570"/>
      <c r="I44" s="571"/>
      <c r="J44" s="572"/>
      <c r="K44" s="569"/>
      <c r="L44" s="569"/>
      <c r="M44" s="569"/>
      <c r="N44" s="569"/>
      <c r="O44" s="569"/>
      <c r="P44" s="569"/>
      <c r="Q44" s="569"/>
      <c r="R44" s="569"/>
      <c r="S44" s="572"/>
      <c r="T44" s="572"/>
      <c r="U44" s="866"/>
      <c r="V44" s="571"/>
      <c r="W44" s="572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</row>
    <row r="45" spans="1:42">
      <c r="A45" s="825">
        <f>+A41+1</f>
        <v>24</v>
      </c>
      <c r="B45" s="731" t="s">
        <v>1088</v>
      </c>
      <c r="C45" s="869">
        <f>+SUMIF('13.mell_ÖNKfeladatok2020'!$B$5:$B$159,'14.mell_Önk kiegészítés2020'!$A45,'13.mell_ÖNKfeladatok2020'!O$5:O$159)</f>
        <v>0</v>
      </c>
      <c r="D45" s="869">
        <f>+SUMIF('13.mell_ÖNKfeladatok2020'!$B$5:$B$159,'14.mell_Önk kiegészítés2020'!$A45,'13.mell_ÖNKfeladatok2020'!S$5:S$159)</f>
        <v>0</v>
      </c>
      <c r="E45" s="869">
        <f>+SUMIF('13.mell_ÖNKfeladatok2020'!$B$5:$B$159,'14.mell_Önk kiegészítés2020'!$A45,'13.mell_ÖNKfeladatok2020'!W$5:W$159)</f>
        <v>0</v>
      </c>
      <c r="F45" s="869">
        <f>+SUMIF('13.mell_ÖNKfeladatok2020'!$B$5:$B$159,'14.mell_Önk kiegészítés2020'!$A45,'13.mell_ÖNKfeladatok2020'!AA$5:AA$159)</f>
        <v>0</v>
      </c>
      <c r="G45" s="869">
        <f>+SUMIF('13.mell_ÖNKfeladatok2020'!$B$5:$B$159,'14.mell_Önk kiegészítés2020'!$A45,'13.mell_ÖNKfeladatok2020'!AI$5:AI$159)</f>
        <v>0</v>
      </c>
      <c r="H45" s="869">
        <f>+SUMIF('13.mell_ÖNKfeladatok2020'!$B$5:$B$159,'14.mell_Önk kiegészítés2020'!$A45,'13.mell_ÖNKfeladatok2020'!AM$5:AM$159)</f>
        <v>0</v>
      </c>
      <c r="I45" s="869">
        <f>+SUMIF('13.mell_ÖNKfeladatok2020'!$B$5:$B$159,'14.mell_Önk kiegészítés2020'!$A45,'13.mell_ÖNKfeladatok2020'!AQ$5:AQ$159)</f>
        <v>0</v>
      </c>
      <c r="J45" s="732">
        <f>SUM(C45:I45)</f>
        <v>0</v>
      </c>
      <c r="K45" s="869">
        <f>+SUMIF('13.mell_ÖNKfeladatok2020'!$B$167:$B$321,'14.mell_Önk kiegészítés2020'!$A45,'13.mell_ÖNKfeladatok2020'!O$167:O$321)</f>
        <v>0</v>
      </c>
      <c r="L45" s="869">
        <f>+SUMIF('13.mell_ÖNKfeladatok2020'!$B$167:$B$321,'14.mell_Önk kiegészítés2020'!$A45,'13.mell_ÖNKfeladatok2020'!S$167:S$321)</f>
        <v>0</v>
      </c>
      <c r="M45" s="869">
        <f>+SUMIF('13.mell_ÖNKfeladatok2020'!$B$167:$B$321,'14.mell_Önk kiegészítés2020'!$A45,'13.mell_ÖNKfeladatok2020'!W$167:W$321)</f>
        <v>1365</v>
      </c>
      <c r="N45" s="869">
        <f>+SUMIF('13.mell_ÖNKfeladatok2020'!$B$167:$B$321,'14.mell_Önk kiegészítés2020'!$A45,'13.mell_ÖNKfeladatok2020'!AA$167:AA$321)</f>
        <v>0</v>
      </c>
      <c r="O45" s="869">
        <f>+SUMIF('13.mell_ÖNKfeladatok2020'!$B$167:$B$321,'14.mell_Önk kiegészítés2020'!$A45,'13.mell_ÖNKfeladatok2020'!AE$167:AE$321)</f>
        <v>0</v>
      </c>
      <c r="P45" s="869">
        <f>+SUMIF('13.mell_ÖNKfeladatok2020'!$B$167:$B$321,'14.mell_Önk kiegészítés2020'!$A45,'13.mell_ÖNKfeladatok2020'!AM$167:AM$321)</f>
        <v>0</v>
      </c>
      <c r="Q45" s="869">
        <f>+SUMIF('13.mell_ÖNKfeladatok2020'!$B$167:$B$321,'14.mell_Önk kiegészítés2020'!$A45,'13.mell_ÖNKfeladatok2020'!AQ$167:AQ$321)</f>
        <v>0</v>
      </c>
      <c r="R45" s="869">
        <f>+SUMIF('13.mell_ÖNKfeladatok2020'!$B$167:$B$321,'14.mell_Önk kiegészítés2020'!$A45,'13.mell_ÖNKfeladatok2020'!AU$167:AU$321)</f>
        <v>0</v>
      </c>
      <c r="S45" s="732">
        <f>SUM(K45:R45)</f>
        <v>1365</v>
      </c>
      <c r="T45" s="733">
        <f>S45-J45</f>
        <v>1365</v>
      </c>
      <c r="U45" s="1105">
        <f>+ROUND(SUMIF('10.mell_támogatások2020'!$B$6:$B$137,'14.mell_Önk kiegészítés2020'!$A45,'10.mell_támogatások2020'!D$6:D$137)/1000,0)</f>
        <v>0</v>
      </c>
      <c r="V45" s="1083">
        <v>1321</v>
      </c>
      <c r="W45" s="733">
        <f t="shared" ref="W45:W47" si="34">+T45-U45-V45</f>
        <v>44</v>
      </c>
      <c r="AB45" s="262">
        <v>1321</v>
      </c>
    </row>
    <row r="46" spans="1:42">
      <c r="A46" s="826">
        <f>+A45+1</f>
        <v>25</v>
      </c>
      <c r="B46" s="542" t="s">
        <v>1145</v>
      </c>
      <c r="C46" s="543">
        <f>+SUMIF('13.mell_ÖNKfeladatok2020'!$B$5:$B$159,'14.mell_Önk kiegészítés2020'!$A46,'13.mell_ÖNKfeladatok2020'!O$5:O$159)</f>
        <v>0</v>
      </c>
      <c r="D46" s="543">
        <f>+SUMIF('13.mell_ÖNKfeladatok2020'!$B$5:$B$159,'14.mell_Önk kiegészítés2020'!$A46,'13.mell_ÖNKfeladatok2020'!S$5:S$159)</f>
        <v>0</v>
      </c>
      <c r="E46" s="543">
        <f>+SUMIF('13.mell_ÖNKfeladatok2020'!$B$5:$B$159,'14.mell_Önk kiegészítés2020'!$A46,'13.mell_ÖNKfeladatok2020'!W$5:W$159)</f>
        <v>500</v>
      </c>
      <c r="F46" s="543">
        <f>+SUMIF('13.mell_ÖNKfeladatok2020'!$B$5:$B$159,'14.mell_Önk kiegészítés2020'!$A46,'13.mell_ÖNKfeladatok2020'!AA$5:AA$159)</f>
        <v>0</v>
      </c>
      <c r="G46" s="543">
        <f>+SUMIF('13.mell_ÖNKfeladatok2020'!$B$5:$B$159,'14.mell_Önk kiegészítés2020'!$A46,'13.mell_ÖNKfeladatok2020'!AI$5:AI$159)</f>
        <v>0</v>
      </c>
      <c r="H46" s="543">
        <f>+SUMIF('13.mell_ÖNKfeladatok2020'!$B$5:$B$159,'14.mell_Önk kiegészítés2020'!$A46,'13.mell_ÖNKfeladatok2020'!AM$5:AM$159)</f>
        <v>0</v>
      </c>
      <c r="I46" s="543">
        <f>+SUMIF('13.mell_ÖNKfeladatok2020'!$B$5:$B$159,'14.mell_Önk kiegészítés2020'!$A46,'13.mell_ÖNKfeladatok2020'!AQ$5:AQ$159)</f>
        <v>0</v>
      </c>
      <c r="J46" s="582">
        <f>SUM(C46:I46)</f>
        <v>500</v>
      </c>
      <c r="K46" s="543">
        <f>+SUMIF('13.mell_ÖNKfeladatok2020'!$B$167:$B$321,'14.mell_Önk kiegészítés2020'!$A46,'13.mell_ÖNKfeladatok2020'!O$167:O$321)</f>
        <v>22604</v>
      </c>
      <c r="L46" s="543">
        <f>+SUMIF('13.mell_ÖNKfeladatok2020'!$B$167:$B$321,'14.mell_Önk kiegészítés2020'!$A46,'13.mell_ÖNKfeladatok2020'!S$167:S$321)</f>
        <v>3964</v>
      </c>
      <c r="M46" s="543">
        <f>+SUMIF('13.mell_ÖNKfeladatok2020'!$B$167:$B$321,'14.mell_Önk kiegészítés2020'!$A46,'13.mell_ÖNKfeladatok2020'!W$167:W$321)</f>
        <v>15708</v>
      </c>
      <c r="N46" s="543">
        <f>+SUMIF('13.mell_ÖNKfeladatok2020'!$B$167:$B$321,'14.mell_Önk kiegészítés2020'!$A46,'13.mell_ÖNKfeladatok2020'!AA$167:AA$321)</f>
        <v>0</v>
      </c>
      <c r="O46" s="543">
        <f>+SUMIF('13.mell_ÖNKfeladatok2020'!$B$167:$B$321,'14.mell_Önk kiegészítés2020'!$A46,'13.mell_ÖNKfeladatok2020'!AE$167:AE$321)</f>
        <v>0</v>
      </c>
      <c r="P46" s="543">
        <f>+SUMIF('13.mell_ÖNKfeladatok2020'!$B$167:$B$321,'14.mell_Önk kiegészítés2020'!$A46,'13.mell_ÖNKfeladatok2020'!AM$167:AM$321)</f>
        <v>7984</v>
      </c>
      <c r="Q46" s="543">
        <f>+SUMIF('13.mell_ÖNKfeladatok2020'!$B$167:$B$321,'14.mell_Önk kiegészítés2020'!$A46,'13.mell_ÖNKfeladatok2020'!AQ$167:AQ$321)</f>
        <v>0</v>
      </c>
      <c r="R46" s="543">
        <f>+SUMIF('13.mell_ÖNKfeladatok2020'!$B$167:$B$321,'14.mell_Önk kiegészítés2020'!$A46,'13.mell_ÖNKfeladatok2020'!AU$167:AU$321)</f>
        <v>0</v>
      </c>
      <c r="S46" s="582">
        <f>SUM(K46:R46)</f>
        <v>50260</v>
      </c>
      <c r="T46" s="544">
        <f>S46-J46</f>
        <v>49760</v>
      </c>
      <c r="U46" s="1101">
        <f>+ROUND(SUMIF('10.mell_támogatások2020'!$B$6:$B$137,'14.mell_Önk kiegészítés2020'!$A46,'10.mell_támogatások2020'!D$6:D$137)/1000,0)</f>
        <v>13207</v>
      </c>
      <c r="V46" s="1081">
        <v>-1321</v>
      </c>
      <c r="W46" s="544">
        <f t="shared" si="34"/>
        <v>37874</v>
      </c>
      <c r="AB46" s="262">
        <v>-1321</v>
      </c>
    </row>
    <row r="47" spans="1:42" ht="12.75" thickBot="1">
      <c r="A47" s="872">
        <f>+A46+1</f>
        <v>26</v>
      </c>
      <c r="B47" s="554" t="s">
        <v>1095</v>
      </c>
      <c r="C47" s="555">
        <f>+SUMIF('13.mell_ÖNKfeladatok2020'!$B$5:$B$159,'14.mell_Önk kiegészítés2020'!$A47,'13.mell_ÖNKfeladatok2020'!O$5:O$159)</f>
        <v>0</v>
      </c>
      <c r="D47" s="555">
        <f>+SUMIF('13.mell_ÖNKfeladatok2020'!$B$5:$B$159,'14.mell_Önk kiegészítés2020'!$A47,'13.mell_ÖNKfeladatok2020'!S$5:S$159)</f>
        <v>0</v>
      </c>
      <c r="E47" s="555">
        <f>+SUMIF('13.mell_ÖNKfeladatok2020'!$B$5:$B$159,'14.mell_Önk kiegészítés2020'!$A47,'13.mell_ÖNKfeladatok2020'!W$5:W$159)</f>
        <v>100</v>
      </c>
      <c r="F47" s="555">
        <f>+SUMIF('13.mell_ÖNKfeladatok2020'!$B$5:$B$159,'14.mell_Önk kiegészítés2020'!$A47,'13.mell_ÖNKfeladatok2020'!AA$5:AA$159)</f>
        <v>0</v>
      </c>
      <c r="G47" s="555">
        <f>+SUMIF('13.mell_ÖNKfeladatok2020'!$B$5:$B$159,'14.mell_Önk kiegészítés2020'!$A47,'13.mell_ÖNKfeladatok2020'!AI$5:AI$159)</f>
        <v>0</v>
      </c>
      <c r="H47" s="555">
        <f>+SUMIF('13.mell_ÖNKfeladatok2020'!$B$5:$B$159,'14.mell_Önk kiegészítés2020'!$A47,'13.mell_ÖNKfeladatok2020'!AM$5:AM$159)</f>
        <v>0</v>
      </c>
      <c r="I47" s="555">
        <f>+SUMIF('13.mell_ÖNKfeladatok2020'!$B$5:$B$159,'14.mell_Önk kiegészítés2020'!$A47,'13.mell_ÖNKfeladatok2020'!AQ$5:AQ$159)</f>
        <v>0</v>
      </c>
      <c r="J47" s="584">
        <f>SUM(C47:I47)</f>
        <v>100</v>
      </c>
      <c r="K47" s="555">
        <f>+SUMIF('13.mell_ÖNKfeladatok2020'!$B$167:$B$321,'14.mell_Önk kiegészítés2020'!$A47,'13.mell_ÖNKfeladatok2020'!O$167:O$321)</f>
        <v>3217</v>
      </c>
      <c r="L47" s="555">
        <f>+SUMIF('13.mell_ÖNKfeladatok2020'!$B$167:$B$321,'14.mell_Önk kiegészítés2020'!$A47,'13.mell_ÖNKfeladatok2020'!S$167:S$321)</f>
        <v>570</v>
      </c>
      <c r="M47" s="555">
        <f>+SUMIF('13.mell_ÖNKfeladatok2020'!$B$167:$B$321,'14.mell_Önk kiegészítés2020'!$A47,'13.mell_ÖNKfeladatok2020'!W$167:W$321)</f>
        <v>2330</v>
      </c>
      <c r="N47" s="555">
        <f>+SUMIF('13.mell_ÖNKfeladatok2020'!$B$167:$B$321,'14.mell_Önk kiegészítés2020'!$A47,'13.mell_ÖNKfeladatok2020'!AA$167:AA$321)</f>
        <v>0</v>
      </c>
      <c r="O47" s="555">
        <f>+SUMIF('13.mell_ÖNKfeladatok2020'!$B$167:$B$321,'14.mell_Önk kiegészítés2020'!$A47,'13.mell_ÖNKfeladatok2020'!AE$167:AE$321)</f>
        <v>0</v>
      </c>
      <c r="P47" s="555">
        <f>+SUMIF('13.mell_ÖNKfeladatok2020'!$B$167:$B$321,'14.mell_Önk kiegészítés2020'!$A47,'13.mell_ÖNKfeladatok2020'!AM$167:AM$321)</f>
        <v>2388</v>
      </c>
      <c r="Q47" s="555">
        <f>+SUMIF('13.mell_ÖNKfeladatok2020'!$B$167:$B$321,'14.mell_Önk kiegészítés2020'!$A47,'13.mell_ÖNKfeladatok2020'!AQ$167:AQ$321)</f>
        <v>0</v>
      </c>
      <c r="R47" s="555">
        <f>+SUMIF('13.mell_ÖNKfeladatok2020'!$B$167:$B$321,'14.mell_Önk kiegészítés2020'!$A47,'13.mell_ÖNKfeladatok2020'!AU$167:AU$321)</f>
        <v>0</v>
      </c>
      <c r="S47" s="584">
        <f>SUM(K47:R47)</f>
        <v>8505</v>
      </c>
      <c r="T47" s="873">
        <f>S47-J47</f>
        <v>8405</v>
      </c>
      <c r="U47" s="1107">
        <f>+ROUND(SUMIF('10.mell_támogatások2020'!$B$6:$B$137,'14.mell_Önk kiegészítés2020'!$A47,'10.mell_támogatások2020'!D$6:D$137)/1000,0)</f>
        <v>6679</v>
      </c>
      <c r="V47" s="1085"/>
      <c r="W47" s="873">
        <f t="shared" si="34"/>
        <v>1726</v>
      </c>
    </row>
    <row r="48" spans="1:42" s="535" customFormat="1" ht="12.75" thickBot="1">
      <c r="A48" s="344" t="s">
        <v>750</v>
      </c>
      <c r="B48" s="494" t="s">
        <v>420</v>
      </c>
      <c r="C48" s="549">
        <f>SUM(C45:C47)</f>
        <v>0</v>
      </c>
      <c r="D48" s="549">
        <f t="shared" ref="D48:W48" si="35">SUM(D45:D47)</f>
        <v>0</v>
      </c>
      <c r="E48" s="549">
        <f t="shared" si="35"/>
        <v>600</v>
      </c>
      <c r="F48" s="549">
        <f t="shared" si="35"/>
        <v>0</v>
      </c>
      <c r="G48" s="549">
        <f t="shared" si="35"/>
        <v>0</v>
      </c>
      <c r="H48" s="549">
        <f t="shared" si="35"/>
        <v>0</v>
      </c>
      <c r="I48" s="549">
        <f t="shared" si="35"/>
        <v>0</v>
      </c>
      <c r="J48" s="552">
        <f t="shared" si="35"/>
        <v>600</v>
      </c>
      <c r="K48" s="549">
        <f t="shared" si="35"/>
        <v>25821</v>
      </c>
      <c r="L48" s="549">
        <f t="shared" si="35"/>
        <v>4534</v>
      </c>
      <c r="M48" s="549">
        <f t="shared" si="35"/>
        <v>19403</v>
      </c>
      <c r="N48" s="549">
        <f t="shared" si="35"/>
        <v>0</v>
      </c>
      <c r="O48" s="549">
        <f t="shared" si="35"/>
        <v>0</v>
      </c>
      <c r="P48" s="549">
        <f t="shared" si="35"/>
        <v>10372</v>
      </c>
      <c r="Q48" s="549">
        <f t="shared" si="35"/>
        <v>0</v>
      </c>
      <c r="R48" s="549">
        <f t="shared" si="35"/>
        <v>0</v>
      </c>
      <c r="S48" s="552">
        <f t="shared" si="35"/>
        <v>60130</v>
      </c>
      <c r="T48" s="552">
        <f t="shared" si="35"/>
        <v>59530</v>
      </c>
      <c r="U48" s="1102">
        <f t="shared" si="35"/>
        <v>19886</v>
      </c>
      <c r="V48" s="553">
        <f t="shared" si="35"/>
        <v>0</v>
      </c>
      <c r="W48" s="552">
        <f t="shared" si="35"/>
        <v>39644</v>
      </c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</row>
    <row r="49" spans="1:42" ht="12.75" thickBot="1">
      <c r="A49" s="876">
        <f>+A47+1</f>
        <v>27</v>
      </c>
      <c r="B49" s="877" t="s">
        <v>752</v>
      </c>
      <c r="C49" s="878">
        <f>+SUMIF('13.mell_ÖNKfeladatok2020'!$B$5:$B$159,'14.mell_Önk kiegészítés2020'!$A49,'13.mell_ÖNKfeladatok2020'!O$5:O$159)</f>
        <v>0</v>
      </c>
      <c r="D49" s="878">
        <f>+SUMIF('13.mell_ÖNKfeladatok2020'!$B$5:$B$159,'14.mell_Önk kiegészítés2020'!$A49,'13.mell_ÖNKfeladatok2020'!S$5:S$159)</f>
        <v>0</v>
      </c>
      <c r="E49" s="878">
        <f>+SUMIF('13.mell_ÖNKfeladatok2020'!$B$5:$B$159,'14.mell_Önk kiegészítés2020'!$A49,'13.mell_ÖNKfeladatok2020'!W$5:W$159)</f>
        <v>0</v>
      </c>
      <c r="F49" s="878">
        <f>+SUMIF('13.mell_ÖNKfeladatok2020'!$B$5:$B$159,'14.mell_Önk kiegészítés2020'!$A49,'13.mell_ÖNKfeladatok2020'!AA$5:AA$159)</f>
        <v>0</v>
      </c>
      <c r="G49" s="878">
        <f>+SUMIF('13.mell_ÖNKfeladatok2020'!$B$5:$B$159,'14.mell_Önk kiegészítés2020'!$A49,'13.mell_ÖNKfeladatok2020'!AI$5:AI$159)</f>
        <v>0</v>
      </c>
      <c r="H49" s="878">
        <f>+SUMIF('13.mell_ÖNKfeladatok2020'!$B$5:$B$159,'14.mell_Önk kiegészítés2020'!$A49,'13.mell_ÖNKfeladatok2020'!AM$5:AM$159)</f>
        <v>0</v>
      </c>
      <c r="I49" s="878">
        <f>+SUMIF('13.mell_ÖNKfeladatok2020'!$B$5:$B$159,'14.mell_Önk kiegészítés2020'!$A49,'13.mell_ÖNKfeladatok2020'!AQ$5:AQ$159)</f>
        <v>0</v>
      </c>
      <c r="J49" s="879">
        <f>SUM(C49:I49)</f>
        <v>0</v>
      </c>
      <c r="K49" s="878">
        <f>+SUMIF('13.mell_ÖNKfeladatok2020'!$B$167:$B$321,'14.mell_Önk kiegészítés2020'!$A49,'13.mell_ÖNKfeladatok2020'!O$167:O$321)</f>
        <v>0</v>
      </c>
      <c r="L49" s="878">
        <f>+SUMIF('13.mell_ÖNKfeladatok2020'!$B$167:$B$321,'14.mell_Önk kiegészítés2020'!$A49,'13.mell_ÖNKfeladatok2020'!S$167:S$321)</f>
        <v>0</v>
      </c>
      <c r="M49" s="878">
        <f>+SUMIF('13.mell_ÖNKfeladatok2020'!$B$167:$B$321,'14.mell_Önk kiegészítés2020'!$A49,'13.mell_ÖNKfeladatok2020'!W$167:W$321)</f>
        <v>0</v>
      </c>
      <c r="N49" s="878">
        <f>+SUMIF('13.mell_ÖNKfeladatok2020'!$B$167:$B$321,'14.mell_Önk kiegészítés2020'!$A49,'13.mell_ÖNKfeladatok2020'!AA$167:AA$321)</f>
        <v>0</v>
      </c>
      <c r="O49" s="878">
        <f>+SUMIF('13.mell_ÖNKfeladatok2020'!$B$167:$B$321,'14.mell_Önk kiegészítés2020'!$A49,'13.mell_ÖNKfeladatok2020'!AE$167:AE$321)</f>
        <v>0</v>
      </c>
      <c r="P49" s="878">
        <f>+SUMIF('13.mell_ÖNKfeladatok2020'!$B$167:$B$321,'14.mell_Önk kiegészítés2020'!$A49,'13.mell_ÖNKfeladatok2020'!AM$167:AM$321)</f>
        <v>0</v>
      </c>
      <c r="Q49" s="878">
        <f>+SUMIF('13.mell_ÖNKfeladatok2020'!$B$167:$B$321,'14.mell_Önk kiegészítés2020'!$A49,'13.mell_ÖNKfeladatok2020'!AQ$167:AQ$321)</f>
        <v>0</v>
      </c>
      <c r="R49" s="878">
        <f>+SUMIF('13.mell_ÖNKfeladatok2020'!$B$167:$B$321,'14.mell_Önk kiegészítés2020'!$A49,'13.mell_ÖNKfeladatok2020'!AU$167:AU$321)</f>
        <v>0</v>
      </c>
      <c r="S49" s="879">
        <f>SUM(K49:R49)</f>
        <v>0</v>
      </c>
      <c r="T49" s="552">
        <f>S49-J49</f>
        <v>0</v>
      </c>
      <c r="U49" s="1108">
        <f>+ROUND(SUMIF('10.mell_támogatások2020'!$B$6:$B$137,'14.mell_Önk kiegészítés2020'!$A49,'10.mell_támogatások2020'!D$6:D$137)/1000,0)</f>
        <v>0</v>
      </c>
      <c r="V49" s="1086"/>
      <c r="W49" s="552">
        <f>+T49-U49-V49</f>
        <v>0</v>
      </c>
    </row>
    <row r="50" spans="1:42" s="535" customFormat="1" ht="12.75" thickBot="1">
      <c r="A50" s="504" t="s">
        <v>633</v>
      </c>
      <c r="B50" s="505" t="s">
        <v>752</v>
      </c>
      <c r="C50" s="874">
        <f>SUM(C49)</f>
        <v>0</v>
      </c>
      <c r="D50" s="874">
        <f t="shared" ref="D50:W50" si="36">SUM(D49)</f>
        <v>0</v>
      </c>
      <c r="E50" s="874">
        <f t="shared" si="36"/>
        <v>0</v>
      </c>
      <c r="F50" s="874">
        <f t="shared" si="36"/>
        <v>0</v>
      </c>
      <c r="G50" s="874">
        <f t="shared" si="36"/>
        <v>0</v>
      </c>
      <c r="H50" s="874">
        <f t="shared" si="36"/>
        <v>0</v>
      </c>
      <c r="I50" s="874">
        <f t="shared" si="36"/>
        <v>0</v>
      </c>
      <c r="J50" s="875">
        <f t="shared" si="36"/>
        <v>0</v>
      </c>
      <c r="K50" s="874">
        <f t="shared" si="36"/>
        <v>0</v>
      </c>
      <c r="L50" s="874">
        <f t="shared" si="36"/>
        <v>0</v>
      </c>
      <c r="M50" s="874">
        <f t="shared" si="36"/>
        <v>0</v>
      </c>
      <c r="N50" s="874">
        <f t="shared" si="36"/>
        <v>0</v>
      </c>
      <c r="O50" s="874">
        <f t="shared" si="36"/>
        <v>0</v>
      </c>
      <c r="P50" s="874">
        <f t="shared" si="36"/>
        <v>0</v>
      </c>
      <c r="Q50" s="874">
        <f t="shared" si="36"/>
        <v>0</v>
      </c>
      <c r="R50" s="874">
        <f t="shared" si="36"/>
        <v>0</v>
      </c>
      <c r="S50" s="875">
        <f t="shared" si="36"/>
        <v>0</v>
      </c>
      <c r="T50" s="875">
        <f t="shared" si="36"/>
        <v>0</v>
      </c>
      <c r="U50" s="1109">
        <f t="shared" si="36"/>
        <v>0</v>
      </c>
      <c r="V50" s="1087">
        <f t="shared" si="36"/>
        <v>0</v>
      </c>
      <c r="W50" s="875">
        <f t="shared" si="36"/>
        <v>0</v>
      </c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</row>
    <row r="51" spans="1:42" ht="12.75" thickBot="1">
      <c r="A51" s="876">
        <f>+A49+1</f>
        <v>28</v>
      </c>
      <c r="B51" s="877" t="s">
        <v>767</v>
      </c>
      <c r="C51" s="878">
        <f>+SUMIF('13.mell_ÖNKfeladatok2020'!$B$5:$B$159,'14.mell_Önk kiegészítés2020'!$A51,'13.mell_ÖNKfeladatok2020'!O$5:O$159)</f>
        <v>0</v>
      </c>
      <c r="D51" s="878">
        <f>+SUMIF('13.mell_ÖNKfeladatok2020'!$B$5:$B$159,'14.mell_Önk kiegészítés2020'!$A51,'13.mell_ÖNKfeladatok2020'!S$5:S$159)</f>
        <v>0</v>
      </c>
      <c r="E51" s="878">
        <f>+SUMIF('13.mell_ÖNKfeladatok2020'!$B$5:$B$159,'14.mell_Önk kiegészítés2020'!$A51,'13.mell_ÖNKfeladatok2020'!W$5:W$159)</f>
        <v>0</v>
      </c>
      <c r="F51" s="878">
        <f>+SUMIF('13.mell_ÖNKfeladatok2020'!$B$5:$B$159,'14.mell_Önk kiegészítés2020'!$A51,'13.mell_ÖNKfeladatok2020'!AA$5:AA$159)</f>
        <v>0</v>
      </c>
      <c r="G51" s="878">
        <f>+SUMIF('13.mell_ÖNKfeladatok2020'!$B$5:$B$159,'14.mell_Önk kiegészítés2020'!$A51,'13.mell_ÖNKfeladatok2020'!AI$5:AI$159)</f>
        <v>0</v>
      </c>
      <c r="H51" s="878">
        <f>+SUMIF('13.mell_ÖNKfeladatok2020'!$B$5:$B$159,'14.mell_Önk kiegészítés2020'!$A51,'13.mell_ÖNKfeladatok2020'!AM$5:AM$159)</f>
        <v>0</v>
      </c>
      <c r="I51" s="878">
        <f>+SUMIF('13.mell_ÖNKfeladatok2020'!$B$5:$B$159,'14.mell_Önk kiegészítés2020'!$A51,'13.mell_ÖNKfeladatok2020'!AQ$5:AQ$159)</f>
        <v>0</v>
      </c>
      <c r="J51" s="879">
        <f>SUM(C51:I51)</f>
        <v>0</v>
      </c>
      <c r="K51" s="878">
        <f>+SUMIF('13.mell_ÖNKfeladatok2020'!$B$167:$B$321,'14.mell_Önk kiegészítés2020'!$A51,'13.mell_ÖNKfeladatok2020'!O$167:O$321)</f>
        <v>0</v>
      </c>
      <c r="L51" s="878">
        <f>+SUMIF('13.mell_ÖNKfeladatok2020'!$B$167:$B$321,'14.mell_Önk kiegészítés2020'!$A51,'13.mell_ÖNKfeladatok2020'!S$167:S$321)</f>
        <v>0</v>
      </c>
      <c r="M51" s="878">
        <f>+SUMIF('13.mell_ÖNKfeladatok2020'!$B$167:$B$321,'14.mell_Önk kiegészítés2020'!$A51,'13.mell_ÖNKfeladatok2020'!W$167:W$321)</f>
        <v>0</v>
      </c>
      <c r="N51" s="878">
        <f>+SUMIF('13.mell_ÖNKfeladatok2020'!$B$167:$B$321,'14.mell_Önk kiegészítés2020'!$A51,'13.mell_ÖNKfeladatok2020'!AA$167:AA$321)</f>
        <v>0</v>
      </c>
      <c r="O51" s="878">
        <f>+SUMIF('13.mell_ÖNKfeladatok2020'!$B$167:$B$321,'14.mell_Önk kiegészítés2020'!$A51,'13.mell_ÖNKfeladatok2020'!AE$167:AE$321)</f>
        <v>0</v>
      </c>
      <c r="P51" s="878">
        <f>+SUMIF('13.mell_ÖNKfeladatok2020'!$B$167:$B$321,'14.mell_Önk kiegészítés2020'!$A51,'13.mell_ÖNKfeladatok2020'!AM$167:AM$321)</f>
        <v>0</v>
      </c>
      <c r="Q51" s="878">
        <f>+SUMIF('13.mell_ÖNKfeladatok2020'!$B$167:$B$321,'14.mell_Önk kiegészítés2020'!$A51,'13.mell_ÖNKfeladatok2020'!AQ$167:AQ$321)</f>
        <v>0</v>
      </c>
      <c r="R51" s="878">
        <f>+SUMIF('13.mell_ÖNKfeladatok2020'!$B$167:$B$321,'14.mell_Önk kiegészítés2020'!$A51,'13.mell_ÖNKfeladatok2020'!AU$167:AU$321)</f>
        <v>0</v>
      </c>
      <c r="S51" s="879">
        <f>SUM(K51:R51)</f>
        <v>0</v>
      </c>
      <c r="T51" s="552">
        <f>S51-J51</f>
        <v>0</v>
      </c>
      <c r="U51" s="1108">
        <f>+ROUND(SUMIF('10.mell_támogatások2020'!$B$6:$B$137,'14.mell_Önk kiegészítés2020'!$A51,'10.mell_támogatások2020'!D$6:D$137)/1000,0)</f>
        <v>0</v>
      </c>
      <c r="V51" s="1086"/>
      <c r="W51" s="552">
        <f>+T51-U51-V51</f>
        <v>0</v>
      </c>
    </row>
    <row r="52" spans="1:42" s="535" customFormat="1" ht="12.75" thickBot="1">
      <c r="A52" s="504" t="s">
        <v>751</v>
      </c>
      <c r="B52" s="505" t="s">
        <v>767</v>
      </c>
      <c r="C52" s="874">
        <f>SUM(C51)</f>
        <v>0</v>
      </c>
      <c r="D52" s="874">
        <f t="shared" ref="D52:W52" si="37">SUM(D51)</f>
        <v>0</v>
      </c>
      <c r="E52" s="874">
        <f t="shared" si="37"/>
        <v>0</v>
      </c>
      <c r="F52" s="874">
        <f t="shared" si="37"/>
        <v>0</v>
      </c>
      <c r="G52" s="874">
        <f t="shared" si="37"/>
        <v>0</v>
      </c>
      <c r="H52" s="874">
        <f t="shared" si="37"/>
        <v>0</v>
      </c>
      <c r="I52" s="874">
        <f t="shared" si="37"/>
        <v>0</v>
      </c>
      <c r="J52" s="875">
        <f t="shared" si="37"/>
        <v>0</v>
      </c>
      <c r="K52" s="874">
        <f t="shared" si="37"/>
        <v>0</v>
      </c>
      <c r="L52" s="874">
        <f t="shared" si="37"/>
        <v>0</v>
      </c>
      <c r="M52" s="874">
        <f t="shared" si="37"/>
        <v>0</v>
      </c>
      <c r="N52" s="874">
        <f t="shared" si="37"/>
        <v>0</v>
      </c>
      <c r="O52" s="874">
        <f t="shared" si="37"/>
        <v>0</v>
      </c>
      <c r="P52" s="874">
        <f t="shared" si="37"/>
        <v>0</v>
      </c>
      <c r="Q52" s="874">
        <f t="shared" si="37"/>
        <v>0</v>
      </c>
      <c r="R52" s="874">
        <f t="shared" si="37"/>
        <v>0</v>
      </c>
      <c r="S52" s="875">
        <f t="shared" si="37"/>
        <v>0</v>
      </c>
      <c r="T52" s="875">
        <f t="shared" si="37"/>
        <v>0</v>
      </c>
      <c r="U52" s="1109">
        <f t="shared" si="37"/>
        <v>0</v>
      </c>
      <c r="V52" s="1087">
        <f t="shared" si="37"/>
        <v>0</v>
      </c>
      <c r="W52" s="875">
        <f t="shared" si="37"/>
        <v>0</v>
      </c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</row>
    <row r="53" spans="1:42" s="535" customFormat="1" ht="12.75" thickBot="1">
      <c r="A53" s="496" t="s">
        <v>20</v>
      </c>
      <c r="B53" s="508" t="s">
        <v>422</v>
      </c>
      <c r="C53" s="558">
        <f>+C48+C50+C52</f>
        <v>0</v>
      </c>
      <c r="D53" s="559">
        <f t="shared" ref="D53:W53" si="38">+D48+D50+D52</f>
        <v>0</v>
      </c>
      <c r="E53" s="559">
        <f t="shared" si="38"/>
        <v>600</v>
      </c>
      <c r="F53" s="559">
        <f t="shared" si="38"/>
        <v>0</v>
      </c>
      <c r="G53" s="559">
        <f t="shared" si="38"/>
        <v>0</v>
      </c>
      <c r="H53" s="559">
        <f t="shared" si="38"/>
        <v>0</v>
      </c>
      <c r="I53" s="560">
        <f t="shared" si="38"/>
        <v>0</v>
      </c>
      <c r="J53" s="561">
        <f t="shared" si="38"/>
        <v>600</v>
      </c>
      <c r="K53" s="558">
        <f t="shared" si="38"/>
        <v>25821</v>
      </c>
      <c r="L53" s="558">
        <f t="shared" si="38"/>
        <v>4534</v>
      </c>
      <c r="M53" s="558">
        <f t="shared" si="38"/>
        <v>19403</v>
      </c>
      <c r="N53" s="558">
        <f t="shared" si="38"/>
        <v>0</v>
      </c>
      <c r="O53" s="558">
        <f t="shared" si="38"/>
        <v>0</v>
      </c>
      <c r="P53" s="558">
        <f t="shared" si="38"/>
        <v>10372</v>
      </c>
      <c r="Q53" s="558">
        <f t="shared" si="38"/>
        <v>0</v>
      </c>
      <c r="R53" s="558">
        <f t="shared" si="38"/>
        <v>0</v>
      </c>
      <c r="S53" s="561">
        <f t="shared" si="38"/>
        <v>60130</v>
      </c>
      <c r="T53" s="561">
        <f t="shared" si="38"/>
        <v>59530</v>
      </c>
      <c r="U53" s="1104">
        <f t="shared" si="38"/>
        <v>19886</v>
      </c>
      <c r="V53" s="560">
        <f t="shared" si="38"/>
        <v>0</v>
      </c>
      <c r="W53" s="561">
        <f t="shared" si="38"/>
        <v>39644</v>
      </c>
      <c r="Y53" s="535">
        <f>+'13.mell_ÖNKfeladatok2020'!$G$136-J53</f>
        <v>0</v>
      </c>
      <c r="Z53" s="535">
        <f>+'13.mell_ÖNKfeladatok2020'!$G$298-S53</f>
        <v>0</v>
      </c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</row>
    <row r="54" spans="1:42" s="195" customFormat="1" ht="12.75" thickBot="1">
      <c r="A54" s="522"/>
      <c r="B54" s="573"/>
      <c r="C54" s="562"/>
      <c r="D54" s="563"/>
      <c r="E54" s="563"/>
      <c r="F54" s="563"/>
      <c r="G54" s="563"/>
      <c r="H54" s="563"/>
      <c r="I54" s="564"/>
      <c r="J54" s="565"/>
      <c r="K54" s="574"/>
      <c r="L54" s="574"/>
      <c r="M54" s="574"/>
      <c r="N54" s="574"/>
      <c r="O54" s="574"/>
      <c r="P54" s="574"/>
      <c r="Q54" s="574"/>
      <c r="R54" s="574"/>
      <c r="S54" s="572"/>
      <c r="T54" s="572"/>
      <c r="U54" s="1110"/>
      <c r="V54" s="1088"/>
      <c r="W54" s="572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spans="1:42" ht="12.75" thickBot="1">
      <c r="A55" s="825">
        <f>+A51+1</f>
        <v>29</v>
      </c>
      <c r="B55" s="731" t="s">
        <v>860</v>
      </c>
      <c r="C55" s="869">
        <f>+SUMIF('13.mell_ÖNKfeladatok2020'!$B$5:$B$159,'14.mell_Önk kiegészítés2020'!$A55,'13.mell_ÖNKfeladatok2020'!O$5:O$159)</f>
        <v>0</v>
      </c>
      <c r="D55" s="869">
        <f>+SUMIF('13.mell_ÖNKfeladatok2020'!$B$5:$B$159,'14.mell_Önk kiegészítés2020'!$A55,'13.mell_ÖNKfeladatok2020'!S$5:S$159)</f>
        <v>0</v>
      </c>
      <c r="E55" s="869">
        <f>+SUMIF('13.mell_ÖNKfeladatok2020'!$B$5:$B$159,'14.mell_Önk kiegészítés2020'!$A55,'13.mell_ÖNKfeladatok2020'!W$5:W$159)</f>
        <v>0</v>
      </c>
      <c r="F55" s="869">
        <f>+SUMIF('13.mell_ÖNKfeladatok2020'!$B$5:$B$159,'14.mell_Önk kiegészítés2020'!$A55,'13.mell_ÖNKfeladatok2020'!AA$5:AA$159)</f>
        <v>0</v>
      </c>
      <c r="G55" s="869">
        <f>+SUMIF('13.mell_ÖNKfeladatok2020'!$B$5:$B$159,'14.mell_Önk kiegészítés2020'!$A55,'13.mell_ÖNKfeladatok2020'!AI$5:AI$159)</f>
        <v>0</v>
      </c>
      <c r="H55" s="869">
        <f>+SUMIF('13.mell_ÖNKfeladatok2020'!$B$5:$B$159,'14.mell_Önk kiegészítés2020'!$A55,'13.mell_ÖNKfeladatok2020'!AM$5:AM$159)</f>
        <v>0</v>
      </c>
      <c r="I55" s="869">
        <f>+SUMIF('13.mell_ÖNKfeladatok2020'!$B$5:$B$159,'14.mell_Önk kiegészítés2020'!$A55,'13.mell_ÖNKfeladatok2020'!AQ$5:AQ$159)</f>
        <v>0</v>
      </c>
      <c r="J55" s="732">
        <f>SUM(C55:I55)</f>
        <v>0</v>
      </c>
      <c r="K55" s="869">
        <f>+SUMIF('13.mell_ÖNKfeladatok2020'!$B$167:$B$321,'14.mell_Önk kiegészítés2020'!$A55,'13.mell_ÖNKfeladatok2020'!O$167:O$321)</f>
        <v>0</v>
      </c>
      <c r="L55" s="869">
        <f>+SUMIF('13.mell_ÖNKfeladatok2020'!$B$167:$B$321,'14.mell_Önk kiegészítés2020'!$A55,'13.mell_ÖNKfeladatok2020'!S$167:S$321)</f>
        <v>0</v>
      </c>
      <c r="M55" s="869">
        <f>+SUMIF('13.mell_ÖNKfeladatok2020'!$B$167:$B$321,'14.mell_Önk kiegészítés2020'!$A55,'13.mell_ÖNKfeladatok2020'!W$167:W$321)</f>
        <v>0</v>
      </c>
      <c r="N55" s="869">
        <f>+SUMIF('13.mell_ÖNKfeladatok2020'!$B$167:$B$321,'14.mell_Önk kiegészítés2020'!$A55,'13.mell_ÖNKfeladatok2020'!AA$167:AA$321)</f>
        <v>0</v>
      </c>
      <c r="O55" s="869">
        <f>+SUMIF('13.mell_ÖNKfeladatok2020'!$B$167:$B$321,'14.mell_Önk kiegészítés2020'!$A55,'13.mell_ÖNKfeladatok2020'!AE$167:AE$321)</f>
        <v>0</v>
      </c>
      <c r="P55" s="869">
        <f>+SUMIF('13.mell_ÖNKfeladatok2020'!$B$167:$B$321,'14.mell_Önk kiegészítés2020'!$A55,'13.mell_ÖNKfeladatok2020'!AM$167:AM$321)</f>
        <v>0</v>
      </c>
      <c r="Q55" s="869">
        <f>+SUMIF('13.mell_ÖNKfeladatok2020'!$B$167:$B$321,'14.mell_Önk kiegészítés2020'!$A55,'13.mell_ÖNKfeladatok2020'!AQ$167:AQ$321)</f>
        <v>0</v>
      </c>
      <c r="R55" s="869">
        <f>+SUMIF('13.mell_ÖNKfeladatok2020'!$B$167:$B$321,'14.mell_Önk kiegészítés2020'!$A55,'13.mell_ÖNKfeladatok2020'!AU$167:AU$321)</f>
        <v>0</v>
      </c>
      <c r="S55" s="732">
        <f>SUM(K55:R55)</f>
        <v>0</v>
      </c>
      <c r="T55" s="733">
        <f>S55-J55</f>
        <v>0</v>
      </c>
      <c r="U55" s="1105">
        <f>+ROUND(SUMIF('10.mell_támogatások2020'!$B$6:$B$137,'14.mell_Önk kiegészítés2020'!$A55,'10.mell_támogatások2020'!D$6:D$137)/1000,0)</f>
        <v>0</v>
      </c>
      <c r="V55" s="1083"/>
      <c r="W55" s="733">
        <f>+T55-U55-V55</f>
        <v>0</v>
      </c>
    </row>
    <row r="56" spans="1:42" s="535" customFormat="1" ht="12.75" thickBot="1">
      <c r="A56" s="344" t="s">
        <v>885</v>
      </c>
      <c r="B56" s="494" t="s">
        <v>860</v>
      </c>
      <c r="C56" s="549">
        <f>SUM(C55)</f>
        <v>0</v>
      </c>
      <c r="D56" s="549">
        <f t="shared" ref="D56:W56" si="39">SUM(D55)</f>
        <v>0</v>
      </c>
      <c r="E56" s="549">
        <f t="shared" si="39"/>
        <v>0</v>
      </c>
      <c r="F56" s="549">
        <f t="shared" si="39"/>
        <v>0</v>
      </c>
      <c r="G56" s="549">
        <f t="shared" si="39"/>
        <v>0</v>
      </c>
      <c r="H56" s="549">
        <f t="shared" si="39"/>
        <v>0</v>
      </c>
      <c r="I56" s="549">
        <f t="shared" si="39"/>
        <v>0</v>
      </c>
      <c r="J56" s="552">
        <f t="shared" si="39"/>
        <v>0</v>
      </c>
      <c r="K56" s="549">
        <f t="shared" si="39"/>
        <v>0</v>
      </c>
      <c r="L56" s="549">
        <f t="shared" si="39"/>
        <v>0</v>
      </c>
      <c r="M56" s="549">
        <f t="shared" si="39"/>
        <v>0</v>
      </c>
      <c r="N56" s="549">
        <f t="shared" si="39"/>
        <v>0</v>
      </c>
      <c r="O56" s="549">
        <f t="shared" si="39"/>
        <v>0</v>
      </c>
      <c r="P56" s="549">
        <f t="shared" si="39"/>
        <v>0</v>
      </c>
      <c r="Q56" s="549">
        <f t="shared" si="39"/>
        <v>0</v>
      </c>
      <c r="R56" s="549">
        <f t="shared" si="39"/>
        <v>0</v>
      </c>
      <c r="S56" s="552">
        <f t="shared" si="39"/>
        <v>0</v>
      </c>
      <c r="T56" s="552">
        <f t="shared" si="39"/>
        <v>0</v>
      </c>
      <c r="U56" s="1102">
        <f t="shared" si="39"/>
        <v>0</v>
      </c>
      <c r="V56" s="553">
        <f t="shared" si="39"/>
        <v>0</v>
      </c>
      <c r="W56" s="552">
        <f t="shared" si="39"/>
        <v>0</v>
      </c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</row>
    <row r="57" spans="1:42" ht="12.75" thickBot="1">
      <c r="A57" s="876">
        <f>+A55+1</f>
        <v>30</v>
      </c>
      <c r="B57" s="877" t="s">
        <v>1075</v>
      </c>
      <c r="C57" s="878">
        <f>+SUMIF('13.mell_ÖNKfeladatok2020'!$B$5:$B$159,'14.mell_Önk kiegészítés2020'!$A57,'13.mell_ÖNKfeladatok2020'!O$5:O$159)</f>
        <v>3240</v>
      </c>
      <c r="D57" s="878">
        <f>+SUMIF('13.mell_ÖNKfeladatok2020'!$B$5:$B$159,'14.mell_Önk kiegészítés2020'!$A57,'13.mell_ÖNKfeladatok2020'!S$5:S$159)</f>
        <v>17553</v>
      </c>
      <c r="E57" s="878">
        <f>+SUMIF('13.mell_ÖNKfeladatok2020'!$B$5:$B$159,'14.mell_Önk kiegészítés2020'!$A57,'13.mell_ÖNKfeladatok2020'!W$5:W$159)</f>
        <v>0</v>
      </c>
      <c r="F57" s="878">
        <f>+SUMIF('13.mell_ÖNKfeladatok2020'!$B$5:$B$159,'14.mell_Önk kiegészítés2020'!$A57,'13.mell_ÖNKfeladatok2020'!AA$5:AA$159)</f>
        <v>0</v>
      </c>
      <c r="G57" s="878">
        <f>+SUMIF('13.mell_ÖNKfeladatok2020'!$B$5:$B$159,'14.mell_Önk kiegészítés2020'!$A57,'13.mell_ÖNKfeladatok2020'!AI$5:AI$159)</f>
        <v>0</v>
      </c>
      <c r="H57" s="878">
        <f>+SUMIF('13.mell_ÖNKfeladatok2020'!$B$5:$B$159,'14.mell_Önk kiegészítés2020'!$A57,'13.mell_ÖNKfeladatok2020'!AM$5:AM$159)</f>
        <v>0</v>
      </c>
      <c r="I57" s="878">
        <f>+SUMIF('13.mell_ÖNKfeladatok2020'!$B$5:$B$159,'14.mell_Önk kiegészítés2020'!$A57,'13.mell_ÖNKfeladatok2020'!AQ$5:AQ$159)</f>
        <v>0</v>
      </c>
      <c r="J57" s="879">
        <f>SUM(C57:I57)</f>
        <v>20793</v>
      </c>
      <c r="K57" s="878">
        <f>+SUMIF('13.mell_ÖNKfeladatok2020'!$B$167:$B$321,'14.mell_Önk kiegészítés2020'!$A57,'13.mell_ÖNKfeladatok2020'!O$167:O$321)</f>
        <v>9352</v>
      </c>
      <c r="L57" s="878">
        <f>+SUMIF('13.mell_ÖNKfeladatok2020'!$B$167:$B$321,'14.mell_Önk kiegészítés2020'!$A57,'13.mell_ÖNKfeladatok2020'!S$167:S$321)</f>
        <v>1371</v>
      </c>
      <c r="M57" s="878">
        <f>+SUMIF('13.mell_ÖNKfeladatok2020'!$B$167:$B$321,'14.mell_Önk kiegészítés2020'!$A57,'13.mell_ÖNKfeladatok2020'!W$167:W$321)</f>
        <v>1056</v>
      </c>
      <c r="N57" s="878">
        <f>+SUMIF('13.mell_ÖNKfeladatok2020'!$B$167:$B$321,'14.mell_Önk kiegészítés2020'!$A57,'13.mell_ÖNKfeladatok2020'!AA$167:AA$321)</f>
        <v>0</v>
      </c>
      <c r="O57" s="878">
        <f>+SUMIF('13.mell_ÖNKfeladatok2020'!$B$167:$B$321,'14.mell_Önk kiegészítés2020'!$A57,'13.mell_ÖNKfeladatok2020'!AE$167:AE$321)</f>
        <v>8014</v>
      </c>
      <c r="P57" s="878">
        <f>+SUMIF('13.mell_ÖNKfeladatok2020'!$B$167:$B$321,'14.mell_Önk kiegészítés2020'!$A57,'13.mell_ÖNKfeladatok2020'!AM$167:AM$321)</f>
        <v>1000</v>
      </c>
      <c r="Q57" s="878">
        <f>+SUMIF('13.mell_ÖNKfeladatok2020'!$B$167:$B$321,'14.mell_Önk kiegészítés2020'!$A57,'13.mell_ÖNKfeladatok2020'!AQ$167:AQ$321)</f>
        <v>0</v>
      </c>
      <c r="R57" s="878">
        <f>+SUMIF('13.mell_ÖNKfeladatok2020'!$B$167:$B$321,'14.mell_Önk kiegészítés2020'!$A57,'13.mell_ÖNKfeladatok2020'!AU$167:AU$321)</f>
        <v>0</v>
      </c>
      <c r="S57" s="879">
        <f>SUM(K57:R57)</f>
        <v>20793</v>
      </c>
      <c r="T57" s="552">
        <f>S57-J57</f>
        <v>0</v>
      </c>
      <c r="U57" s="1108">
        <f>+ROUND(SUMIF('10.mell_támogatások2020'!$B$6:$B$137,'14.mell_Önk kiegészítés2020'!$A57,'10.mell_támogatások2020'!D$6:D$137)/1000,0)</f>
        <v>0</v>
      </c>
      <c r="V57" s="1086"/>
      <c r="W57" s="552">
        <f>+T57-U57-V57</f>
        <v>0</v>
      </c>
    </row>
    <row r="58" spans="1:42" s="535" customFormat="1" ht="12.75" thickBot="1">
      <c r="A58" s="504" t="s">
        <v>886</v>
      </c>
      <c r="B58" s="505" t="s">
        <v>861</v>
      </c>
      <c r="C58" s="549">
        <f>SUM(C57)</f>
        <v>3240</v>
      </c>
      <c r="D58" s="549">
        <f t="shared" ref="D58:W58" si="40">SUM(D57)</f>
        <v>17553</v>
      </c>
      <c r="E58" s="549">
        <f t="shared" si="40"/>
        <v>0</v>
      </c>
      <c r="F58" s="549">
        <f t="shared" si="40"/>
        <v>0</v>
      </c>
      <c r="G58" s="549">
        <f t="shared" si="40"/>
        <v>0</v>
      </c>
      <c r="H58" s="549">
        <f t="shared" si="40"/>
        <v>0</v>
      </c>
      <c r="I58" s="549">
        <f t="shared" si="40"/>
        <v>0</v>
      </c>
      <c r="J58" s="552">
        <f t="shared" si="40"/>
        <v>20793</v>
      </c>
      <c r="K58" s="549">
        <f t="shared" si="40"/>
        <v>9352</v>
      </c>
      <c r="L58" s="549">
        <f t="shared" si="40"/>
        <v>1371</v>
      </c>
      <c r="M58" s="549">
        <f t="shared" si="40"/>
        <v>1056</v>
      </c>
      <c r="N58" s="549">
        <f t="shared" si="40"/>
        <v>0</v>
      </c>
      <c r="O58" s="549">
        <f t="shared" si="40"/>
        <v>8014</v>
      </c>
      <c r="P58" s="549">
        <f t="shared" si="40"/>
        <v>1000</v>
      </c>
      <c r="Q58" s="549">
        <f t="shared" si="40"/>
        <v>0</v>
      </c>
      <c r="R58" s="549">
        <f t="shared" si="40"/>
        <v>0</v>
      </c>
      <c r="S58" s="552">
        <f t="shared" si="40"/>
        <v>20793</v>
      </c>
      <c r="T58" s="552">
        <f t="shared" si="40"/>
        <v>0</v>
      </c>
      <c r="U58" s="1102">
        <f t="shared" si="40"/>
        <v>0</v>
      </c>
      <c r="V58" s="553">
        <f t="shared" si="40"/>
        <v>0</v>
      </c>
      <c r="W58" s="552">
        <f t="shared" si="40"/>
        <v>0</v>
      </c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</row>
    <row r="59" spans="1:42" ht="12.75" thickBot="1">
      <c r="A59" s="876">
        <f>+A57+1</f>
        <v>31</v>
      </c>
      <c r="B59" s="877" t="s">
        <v>888</v>
      </c>
      <c r="C59" s="878">
        <f>+SUMIF('13.mell_ÖNKfeladatok2020'!$B$5:$B$159,'14.mell_Önk kiegészítés2020'!$A59,'13.mell_ÖNKfeladatok2020'!O$5:O$159)</f>
        <v>0</v>
      </c>
      <c r="D59" s="878">
        <f>+SUMIF('13.mell_ÖNKfeladatok2020'!$B$5:$B$159,'14.mell_Önk kiegészítés2020'!$A59,'13.mell_ÖNKfeladatok2020'!S$5:S$159)</f>
        <v>0</v>
      </c>
      <c r="E59" s="878">
        <f>+SUMIF('13.mell_ÖNKfeladatok2020'!$B$5:$B$159,'14.mell_Önk kiegészítés2020'!$A59,'13.mell_ÖNKfeladatok2020'!W$5:W$159)</f>
        <v>0</v>
      </c>
      <c r="F59" s="878">
        <f>+SUMIF('13.mell_ÖNKfeladatok2020'!$B$5:$B$159,'14.mell_Önk kiegészítés2020'!$A59,'13.mell_ÖNKfeladatok2020'!AA$5:AA$159)</f>
        <v>0</v>
      </c>
      <c r="G59" s="878">
        <f>+SUMIF('13.mell_ÖNKfeladatok2020'!$B$5:$B$159,'14.mell_Önk kiegészítés2020'!$A59,'13.mell_ÖNKfeladatok2020'!AI$5:AI$159)</f>
        <v>0</v>
      </c>
      <c r="H59" s="878">
        <f>+SUMIF('13.mell_ÖNKfeladatok2020'!$B$5:$B$159,'14.mell_Önk kiegészítés2020'!$A59,'13.mell_ÖNKfeladatok2020'!AM$5:AM$159)</f>
        <v>0</v>
      </c>
      <c r="I59" s="878">
        <f>+SUMIF('13.mell_ÖNKfeladatok2020'!$B$5:$B$159,'14.mell_Önk kiegészítés2020'!$A59,'13.mell_ÖNKfeladatok2020'!AQ$5:AQ$159)</f>
        <v>0</v>
      </c>
      <c r="J59" s="879">
        <f>SUM(C59:I59)</f>
        <v>0</v>
      </c>
      <c r="K59" s="878">
        <f>+SUMIF('13.mell_ÖNKfeladatok2020'!$B$167:$B$321,'14.mell_Önk kiegészítés2020'!$A59,'13.mell_ÖNKfeladatok2020'!O$167:O$321)</f>
        <v>0</v>
      </c>
      <c r="L59" s="878">
        <f>+SUMIF('13.mell_ÖNKfeladatok2020'!$B$167:$B$321,'14.mell_Önk kiegészítés2020'!$A59,'13.mell_ÖNKfeladatok2020'!S$167:S$321)</f>
        <v>0</v>
      </c>
      <c r="M59" s="878">
        <f>+SUMIF('13.mell_ÖNKfeladatok2020'!$B$167:$B$321,'14.mell_Önk kiegészítés2020'!$A59,'13.mell_ÖNKfeladatok2020'!W$167:W$321)</f>
        <v>0</v>
      </c>
      <c r="N59" s="878">
        <f>+SUMIF('13.mell_ÖNKfeladatok2020'!$B$167:$B$321,'14.mell_Önk kiegészítés2020'!$A59,'13.mell_ÖNKfeladatok2020'!AA$167:AA$321)</f>
        <v>0</v>
      </c>
      <c r="O59" s="878">
        <f>+SUMIF('13.mell_ÖNKfeladatok2020'!$B$167:$B$321,'14.mell_Önk kiegészítés2020'!$A59,'13.mell_ÖNKfeladatok2020'!AE$167:AE$321)</f>
        <v>0</v>
      </c>
      <c r="P59" s="878">
        <f>+SUMIF('13.mell_ÖNKfeladatok2020'!$B$167:$B$321,'14.mell_Önk kiegészítés2020'!$A59,'13.mell_ÖNKfeladatok2020'!AM$167:AM$321)</f>
        <v>0</v>
      </c>
      <c r="Q59" s="878">
        <f>+SUMIF('13.mell_ÖNKfeladatok2020'!$B$167:$B$321,'14.mell_Önk kiegészítés2020'!$A59,'13.mell_ÖNKfeladatok2020'!AQ$167:AQ$321)</f>
        <v>0</v>
      </c>
      <c r="R59" s="878">
        <f>+SUMIF('13.mell_ÖNKfeladatok2020'!$B$167:$B$321,'14.mell_Önk kiegészítés2020'!$A59,'13.mell_ÖNKfeladatok2020'!AU$167:AU$321)</f>
        <v>0</v>
      </c>
      <c r="S59" s="879">
        <f>SUM(K59:R59)</f>
        <v>0</v>
      </c>
      <c r="T59" s="552">
        <f>S59-J59</f>
        <v>0</v>
      </c>
      <c r="U59" s="1108">
        <f>+ROUND(SUMIF('10.mell_támogatások2020'!$B$6:$B$137,'14.mell_Önk kiegészítés2020'!$A59,'10.mell_támogatások2020'!D$6:D$137)/1000,0)</f>
        <v>0</v>
      </c>
      <c r="V59" s="1086"/>
      <c r="W59" s="552">
        <f>+T59-U59-V59</f>
        <v>0</v>
      </c>
    </row>
    <row r="60" spans="1:42" s="535" customFormat="1" ht="12.75" thickBot="1">
      <c r="A60" s="504" t="s">
        <v>887</v>
      </c>
      <c r="B60" s="505" t="s">
        <v>888</v>
      </c>
      <c r="C60" s="549">
        <f>SUM(C59)</f>
        <v>0</v>
      </c>
      <c r="D60" s="549">
        <f t="shared" ref="D60:W60" si="41">SUM(D59)</f>
        <v>0</v>
      </c>
      <c r="E60" s="549">
        <f t="shared" si="41"/>
        <v>0</v>
      </c>
      <c r="F60" s="549">
        <f t="shared" si="41"/>
        <v>0</v>
      </c>
      <c r="G60" s="549">
        <f t="shared" si="41"/>
        <v>0</v>
      </c>
      <c r="H60" s="549">
        <f t="shared" si="41"/>
        <v>0</v>
      </c>
      <c r="I60" s="549">
        <f t="shared" si="41"/>
        <v>0</v>
      </c>
      <c r="J60" s="552">
        <f t="shared" si="41"/>
        <v>0</v>
      </c>
      <c r="K60" s="549">
        <f t="shared" si="41"/>
        <v>0</v>
      </c>
      <c r="L60" s="549">
        <f t="shared" si="41"/>
        <v>0</v>
      </c>
      <c r="M60" s="549">
        <f t="shared" si="41"/>
        <v>0</v>
      </c>
      <c r="N60" s="549">
        <f t="shared" si="41"/>
        <v>0</v>
      </c>
      <c r="O60" s="549">
        <f t="shared" si="41"/>
        <v>0</v>
      </c>
      <c r="P60" s="549">
        <f t="shared" si="41"/>
        <v>0</v>
      </c>
      <c r="Q60" s="549">
        <f t="shared" si="41"/>
        <v>0</v>
      </c>
      <c r="R60" s="549">
        <f t="shared" si="41"/>
        <v>0</v>
      </c>
      <c r="S60" s="552">
        <f t="shared" si="41"/>
        <v>0</v>
      </c>
      <c r="T60" s="552">
        <f t="shared" si="41"/>
        <v>0</v>
      </c>
      <c r="U60" s="1102">
        <f t="shared" si="41"/>
        <v>0</v>
      </c>
      <c r="V60" s="553">
        <f t="shared" si="41"/>
        <v>0</v>
      </c>
      <c r="W60" s="552">
        <f t="shared" si="41"/>
        <v>0</v>
      </c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</row>
    <row r="61" spans="1:42" s="535" customFormat="1" ht="12.75" thickBot="1">
      <c r="A61" s="496" t="s">
        <v>552</v>
      </c>
      <c r="B61" s="508" t="s">
        <v>862</v>
      </c>
      <c r="C61" s="558">
        <f>+C56+C58+C60</f>
        <v>3240</v>
      </c>
      <c r="D61" s="558">
        <f t="shared" ref="D61:W61" si="42">+D56+D58+D60</f>
        <v>17553</v>
      </c>
      <c r="E61" s="558">
        <f t="shared" si="42"/>
        <v>0</v>
      </c>
      <c r="F61" s="558">
        <f t="shared" si="42"/>
        <v>0</v>
      </c>
      <c r="G61" s="558">
        <f t="shared" si="42"/>
        <v>0</v>
      </c>
      <c r="H61" s="558">
        <f t="shared" si="42"/>
        <v>0</v>
      </c>
      <c r="I61" s="558">
        <f t="shared" si="42"/>
        <v>0</v>
      </c>
      <c r="J61" s="561">
        <f t="shared" si="42"/>
        <v>20793</v>
      </c>
      <c r="K61" s="558">
        <f t="shared" si="42"/>
        <v>9352</v>
      </c>
      <c r="L61" s="558">
        <f t="shared" si="42"/>
        <v>1371</v>
      </c>
      <c r="M61" s="558">
        <f t="shared" si="42"/>
        <v>1056</v>
      </c>
      <c r="N61" s="558">
        <f t="shared" si="42"/>
        <v>0</v>
      </c>
      <c r="O61" s="558">
        <f t="shared" si="42"/>
        <v>8014</v>
      </c>
      <c r="P61" s="558">
        <f t="shared" si="42"/>
        <v>1000</v>
      </c>
      <c r="Q61" s="558">
        <f t="shared" si="42"/>
        <v>0</v>
      </c>
      <c r="R61" s="558">
        <f t="shared" si="42"/>
        <v>0</v>
      </c>
      <c r="S61" s="561">
        <f t="shared" si="42"/>
        <v>20793</v>
      </c>
      <c r="T61" s="561">
        <f t="shared" si="42"/>
        <v>0</v>
      </c>
      <c r="U61" s="1104">
        <f t="shared" si="42"/>
        <v>0</v>
      </c>
      <c r="V61" s="560">
        <f t="shared" si="42"/>
        <v>0</v>
      </c>
      <c r="W61" s="561">
        <f t="shared" si="42"/>
        <v>0</v>
      </c>
      <c r="Y61" s="535">
        <f>+'13.mell_ÖNKfeladatok2020'!$G$145-J61</f>
        <v>0</v>
      </c>
      <c r="Z61" s="535">
        <f>+'13.mell_ÖNKfeladatok2020'!$G$307-S61</f>
        <v>0</v>
      </c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</row>
    <row r="62" spans="1:42" s="195" customFormat="1" ht="12.75" thickBot="1">
      <c r="A62" s="522"/>
      <c r="B62" s="573"/>
      <c r="C62" s="562"/>
      <c r="D62" s="563"/>
      <c r="E62" s="563"/>
      <c r="F62" s="563"/>
      <c r="G62" s="563"/>
      <c r="H62" s="563"/>
      <c r="I62" s="564"/>
      <c r="J62" s="565"/>
      <c r="K62" s="574"/>
      <c r="L62" s="574"/>
      <c r="M62" s="574"/>
      <c r="N62" s="574"/>
      <c r="O62" s="574"/>
      <c r="P62" s="574"/>
      <c r="Q62" s="574"/>
      <c r="R62" s="574"/>
      <c r="S62" s="572"/>
      <c r="T62" s="572"/>
      <c r="U62" s="1110"/>
      <c r="V62" s="1088"/>
      <c r="W62" s="572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</row>
    <row r="63" spans="1:42" ht="12.75" thickBot="1">
      <c r="A63" s="825">
        <f>+A59+1</f>
        <v>32</v>
      </c>
      <c r="B63" s="731" t="s">
        <v>1152</v>
      </c>
      <c r="C63" s="869">
        <f>+SUMIF('13.mell_ÖNKfeladatok2020'!$B$5:$B$159,'14.mell_Önk kiegészítés2020'!$A63,'13.mell_ÖNKfeladatok2020'!O$5:O$159)</f>
        <v>0</v>
      </c>
      <c r="D63" s="869">
        <f>+SUMIF('13.mell_ÖNKfeladatok2020'!$B$5:$B$159,'14.mell_Önk kiegészítés2020'!$A63,'13.mell_ÖNKfeladatok2020'!S$5:S$159)</f>
        <v>0</v>
      </c>
      <c r="E63" s="869">
        <f>+SUMIF('13.mell_ÖNKfeladatok2020'!$B$5:$B$159,'14.mell_Önk kiegészítés2020'!$A63,'13.mell_ÖNKfeladatok2020'!W$5:W$159)</f>
        <v>0</v>
      </c>
      <c r="F63" s="869">
        <f>+SUMIF('13.mell_ÖNKfeladatok2020'!$B$5:$B$159,'14.mell_Önk kiegészítés2020'!$A63,'13.mell_ÖNKfeladatok2020'!AA$5:AA$159)</f>
        <v>0</v>
      </c>
      <c r="G63" s="869">
        <f>+SUMIF('13.mell_ÖNKfeladatok2020'!$B$5:$B$159,'14.mell_Önk kiegészítés2020'!$A63,'13.mell_ÖNKfeladatok2020'!AI$5:AI$159)</f>
        <v>0</v>
      </c>
      <c r="H63" s="869">
        <f>+SUMIF('13.mell_ÖNKfeladatok2020'!$B$5:$B$159,'14.mell_Önk kiegészítés2020'!$A63,'13.mell_ÖNKfeladatok2020'!AM$5:AM$159)</f>
        <v>0</v>
      </c>
      <c r="I63" s="869">
        <f>+SUMIF('13.mell_ÖNKfeladatok2020'!$B$5:$B$159,'14.mell_Önk kiegészítés2020'!$A63,'13.mell_ÖNKfeladatok2020'!AQ$5:AQ$159)</f>
        <v>0</v>
      </c>
      <c r="J63" s="732">
        <f>SUM(C63:I63)</f>
        <v>0</v>
      </c>
      <c r="K63" s="869">
        <f>+SUMIF('13.mell_ÖNKfeladatok2020'!$B$167:$B$321,'14.mell_Önk kiegészítés2020'!$A63,'13.mell_ÖNKfeladatok2020'!O$167:O$321)</f>
        <v>61539</v>
      </c>
      <c r="L63" s="869">
        <f>+SUMIF('13.mell_ÖNKfeladatok2020'!$B$167:$B$321,'14.mell_Önk kiegészítés2020'!$A63,'13.mell_ÖNKfeladatok2020'!S$167:S$321)</f>
        <v>10823</v>
      </c>
      <c r="M63" s="869">
        <f>+SUMIF('13.mell_ÖNKfeladatok2020'!$B$167:$B$321,'14.mell_Önk kiegészítés2020'!$A63,'13.mell_ÖNKfeladatok2020'!W$167:W$321)</f>
        <v>11238</v>
      </c>
      <c r="N63" s="869">
        <f>+SUMIF('13.mell_ÖNKfeladatok2020'!$B$167:$B$321,'14.mell_Önk kiegészítés2020'!$A63,'13.mell_ÖNKfeladatok2020'!AA$167:AA$321)</f>
        <v>0</v>
      </c>
      <c r="O63" s="869">
        <f>+SUMIF('13.mell_ÖNKfeladatok2020'!$B$167:$B$321,'14.mell_Önk kiegészítés2020'!$A63,'13.mell_ÖNKfeladatok2020'!AE$167:AE$321)</f>
        <v>0</v>
      </c>
      <c r="P63" s="869">
        <f>+SUMIF('13.mell_ÖNKfeladatok2020'!$B$167:$B$321,'14.mell_Önk kiegészítés2020'!$A63,'13.mell_ÖNKfeladatok2020'!AM$167:AM$321)</f>
        <v>0</v>
      </c>
      <c r="Q63" s="869">
        <f>+SUMIF('13.mell_ÖNKfeladatok2020'!$B$167:$B$321,'14.mell_Önk kiegészítés2020'!$A63,'13.mell_ÖNKfeladatok2020'!AQ$167:AQ$321)</f>
        <v>0</v>
      </c>
      <c r="R63" s="869">
        <f>+SUMIF('13.mell_ÖNKfeladatok2020'!$B$167:$B$321,'14.mell_Önk kiegészítés2020'!$A63,'13.mell_ÖNKfeladatok2020'!AU$167:AU$321)</f>
        <v>0</v>
      </c>
      <c r="S63" s="732">
        <f>SUM(K63:R63)</f>
        <v>83600</v>
      </c>
      <c r="T63" s="733">
        <f>S63-J63</f>
        <v>83600</v>
      </c>
      <c r="U63" s="1105">
        <f>+ROUND(SUMIF('10.mell_támogatások2020'!$B$6:$B$137,'14.mell_Önk kiegészítés2020'!$A63,'10.mell_támogatások2020'!D$6:D$137)/1000,0)</f>
        <v>73899</v>
      </c>
      <c r="V63" s="1083">
        <v>6630</v>
      </c>
      <c r="W63" s="733">
        <f>+T63-U63-V63</f>
        <v>3071</v>
      </c>
      <c r="AE63" s="262">
        <v>6630</v>
      </c>
    </row>
    <row r="64" spans="1:42" s="535" customFormat="1" ht="12.75" thickBot="1">
      <c r="A64" s="344" t="s">
        <v>1141</v>
      </c>
      <c r="B64" s="494" t="s">
        <v>1098</v>
      </c>
      <c r="C64" s="549">
        <f t="shared" ref="C64:W64" si="43">SUM(C63)</f>
        <v>0</v>
      </c>
      <c r="D64" s="549">
        <f t="shared" si="43"/>
        <v>0</v>
      </c>
      <c r="E64" s="549">
        <f t="shared" si="43"/>
        <v>0</v>
      </c>
      <c r="F64" s="549">
        <f t="shared" si="43"/>
        <v>0</v>
      </c>
      <c r="G64" s="549">
        <f t="shared" si="43"/>
        <v>0</v>
      </c>
      <c r="H64" s="549">
        <f t="shared" si="43"/>
        <v>0</v>
      </c>
      <c r="I64" s="549">
        <f t="shared" si="43"/>
        <v>0</v>
      </c>
      <c r="J64" s="552">
        <f t="shared" si="43"/>
        <v>0</v>
      </c>
      <c r="K64" s="549">
        <f t="shared" si="43"/>
        <v>61539</v>
      </c>
      <c r="L64" s="549">
        <f t="shared" si="43"/>
        <v>10823</v>
      </c>
      <c r="M64" s="549">
        <f t="shared" si="43"/>
        <v>11238</v>
      </c>
      <c r="N64" s="549">
        <f t="shared" si="43"/>
        <v>0</v>
      </c>
      <c r="O64" s="549">
        <f t="shared" si="43"/>
        <v>0</v>
      </c>
      <c r="P64" s="549">
        <f t="shared" si="43"/>
        <v>0</v>
      </c>
      <c r="Q64" s="549">
        <f t="shared" si="43"/>
        <v>0</v>
      </c>
      <c r="R64" s="549">
        <f t="shared" si="43"/>
        <v>0</v>
      </c>
      <c r="S64" s="552">
        <f t="shared" si="43"/>
        <v>83600</v>
      </c>
      <c r="T64" s="552">
        <f t="shared" si="43"/>
        <v>83600</v>
      </c>
      <c r="U64" s="1102">
        <f t="shared" si="43"/>
        <v>73899</v>
      </c>
      <c r="V64" s="553">
        <f t="shared" si="43"/>
        <v>6630</v>
      </c>
      <c r="W64" s="552">
        <f t="shared" si="43"/>
        <v>3071</v>
      </c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</row>
    <row r="65" spans="1:42" ht="12.75" thickBot="1">
      <c r="A65" s="876">
        <f>+A63+1</f>
        <v>33</v>
      </c>
      <c r="B65" s="877" t="s">
        <v>1100</v>
      </c>
      <c r="C65" s="878">
        <f>+SUMIF('13.mell_ÖNKfeladatok2020'!$B$5:$B$159,'14.mell_Önk kiegészítés2020'!$A65,'13.mell_ÖNKfeladatok2020'!O$5:O$159)</f>
        <v>0</v>
      </c>
      <c r="D65" s="878">
        <f>+SUMIF('13.mell_ÖNKfeladatok2020'!$B$5:$B$159,'14.mell_Önk kiegészítés2020'!$A65,'13.mell_ÖNKfeladatok2020'!S$5:S$159)</f>
        <v>0</v>
      </c>
      <c r="E65" s="878">
        <f>+SUMIF('13.mell_ÖNKfeladatok2020'!$B$5:$B$159,'14.mell_Önk kiegészítés2020'!$A65,'13.mell_ÖNKfeladatok2020'!W$5:W$159)</f>
        <v>0</v>
      </c>
      <c r="F65" s="878">
        <f>+SUMIF('13.mell_ÖNKfeladatok2020'!$B$5:$B$159,'14.mell_Önk kiegészítés2020'!$A65,'13.mell_ÖNKfeladatok2020'!AA$5:AA$159)</f>
        <v>0</v>
      </c>
      <c r="G65" s="878">
        <f>+SUMIF('13.mell_ÖNKfeladatok2020'!$B$5:$B$159,'14.mell_Önk kiegészítés2020'!$A65,'13.mell_ÖNKfeladatok2020'!AI$5:AI$159)</f>
        <v>0</v>
      </c>
      <c r="H65" s="878">
        <f>+SUMIF('13.mell_ÖNKfeladatok2020'!$B$5:$B$159,'14.mell_Önk kiegészítés2020'!$A65,'13.mell_ÖNKfeladatok2020'!AM$5:AM$159)</f>
        <v>0</v>
      </c>
      <c r="I65" s="878">
        <f>+SUMIF('13.mell_ÖNKfeladatok2020'!$B$5:$B$159,'14.mell_Önk kiegészítés2020'!$A65,'13.mell_ÖNKfeladatok2020'!AQ$5:AQ$159)</f>
        <v>0</v>
      </c>
      <c r="J65" s="879">
        <f>SUM(C65:I65)</f>
        <v>0</v>
      </c>
      <c r="K65" s="878">
        <f>+SUMIF('13.mell_ÖNKfeladatok2020'!$B$167:$B$321,'14.mell_Önk kiegészítés2020'!$A65,'13.mell_ÖNKfeladatok2020'!O$167:O$321)</f>
        <v>0</v>
      </c>
      <c r="L65" s="878">
        <f>+SUMIF('13.mell_ÖNKfeladatok2020'!$B$167:$B$321,'14.mell_Önk kiegészítés2020'!$A65,'13.mell_ÖNKfeladatok2020'!S$167:S$321)</f>
        <v>0</v>
      </c>
      <c r="M65" s="878">
        <f>+SUMIF('13.mell_ÖNKfeladatok2020'!$B$167:$B$321,'14.mell_Önk kiegészítés2020'!$A65,'13.mell_ÖNKfeladatok2020'!W$167:W$321)</f>
        <v>0</v>
      </c>
      <c r="N65" s="878">
        <f>+SUMIF('13.mell_ÖNKfeladatok2020'!$B$167:$B$321,'14.mell_Önk kiegészítés2020'!$A65,'13.mell_ÖNKfeladatok2020'!AA$167:AA$321)</f>
        <v>0</v>
      </c>
      <c r="O65" s="878">
        <f>+SUMIF('13.mell_ÖNKfeladatok2020'!$B$167:$B$321,'14.mell_Önk kiegészítés2020'!$A65,'13.mell_ÖNKfeladatok2020'!AE$167:AE$321)</f>
        <v>0</v>
      </c>
      <c r="P65" s="878">
        <f>+SUMIF('13.mell_ÖNKfeladatok2020'!$B$167:$B$321,'14.mell_Önk kiegészítés2020'!$A65,'13.mell_ÖNKfeladatok2020'!AM$167:AM$321)</f>
        <v>0</v>
      </c>
      <c r="Q65" s="878">
        <f>+SUMIF('13.mell_ÖNKfeladatok2020'!$B$167:$B$321,'14.mell_Önk kiegészítés2020'!$A65,'13.mell_ÖNKfeladatok2020'!AQ$167:AQ$321)</f>
        <v>0</v>
      </c>
      <c r="R65" s="878">
        <f>+SUMIF('13.mell_ÖNKfeladatok2020'!$B$167:$B$321,'14.mell_Önk kiegészítés2020'!$A65,'13.mell_ÖNKfeladatok2020'!AU$167:AU$321)</f>
        <v>0</v>
      </c>
      <c r="S65" s="879">
        <f>SUM(K65:R65)</f>
        <v>0</v>
      </c>
      <c r="T65" s="552">
        <f>S65-J65</f>
        <v>0</v>
      </c>
      <c r="U65" s="1108">
        <f>+ROUND(SUMIF('10.mell_támogatások2020'!$B$6:$B$137,'14.mell_Önk kiegészítés2020'!$A65,'10.mell_támogatások2020'!D$6:D$137)/1000,0)</f>
        <v>0</v>
      </c>
      <c r="V65" s="1086"/>
      <c r="W65" s="552">
        <f>+T65-U65-V65</f>
        <v>0</v>
      </c>
    </row>
    <row r="66" spans="1:42" s="535" customFormat="1" ht="12.75" thickBot="1">
      <c r="A66" s="504" t="s">
        <v>1142</v>
      </c>
      <c r="B66" s="505" t="s">
        <v>1099</v>
      </c>
      <c r="C66" s="549">
        <f t="shared" ref="C66:W66" si="44">SUM(C65)</f>
        <v>0</v>
      </c>
      <c r="D66" s="549">
        <f t="shared" si="44"/>
        <v>0</v>
      </c>
      <c r="E66" s="549">
        <f t="shared" si="44"/>
        <v>0</v>
      </c>
      <c r="F66" s="549">
        <f t="shared" si="44"/>
        <v>0</v>
      </c>
      <c r="G66" s="549">
        <f t="shared" si="44"/>
        <v>0</v>
      </c>
      <c r="H66" s="549">
        <f t="shared" si="44"/>
        <v>0</v>
      </c>
      <c r="I66" s="549">
        <f t="shared" si="44"/>
        <v>0</v>
      </c>
      <c r="J66" s="552">
        <f t="shared" si="44"/>
        <v>0</v>
      </c>
      <c r="K66" s="549">
        <f t="shared" si="44"/>
        <v>0</v>
      </c>
      <c r="L66" s="549">
        <f t="shared" si="44"/>
        <v>0</v>
      </c>
      <c r="M66" s="549">
        <f t="shared" si="44"/>
        <v>0</v>
      </c>
      <c r="N66" s="549">
        <f t="shared" si="44"/>
        <v>0</v>
      </c>
      <c r="O66" s="549">
        <f t="shared" si="44"/>
        <v>0</v>
      </c>
      <c r="P66" s="549">
        <f t="shared" si="44"/>
        <v>0</v>
      </c>
      <c r="Q66" s="549">
        <f t="shared" si="44"/>
        <v>0</v>
      </c>
      <c r="R66" s="549">
        <f t="shared" si="44"/>
        <v>0</v>
      </c>
      <c r="S66" s="552">
        <f t="shared" si="44"/>
        <v>0</v>
      </c>
      <c r="T66" s="552">
        <f t="shared" si="44"/>
        <v>0</v>
      </c>
      <c r="U66" s="1102">
        <f t="shared" si="44"/>
        <v>0</v>
      </c>
      <c r="V66" s="553">
        <f t="shared" si="44"/>
        <v>0</v>
      </c>
      <c r="W66" s="552">
        <f t="shared" si="44"/>
        <v>0</v>
      </c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</row>
    <row r="67" spans="1:42" ht="12.75" thickBot="1">
      <c r="A67" s="876">
        <f>+A65+1</f>
        <v>34</v>
      </c>
      <c r="B67" s="877" t="s">
        <v>1100</v>
      </c>
      <c r="C67" s="878">
        <f>+SUMIF('13.mell_ÖNKfeladatok2020'!$B$5:$B$159,'14.mell_Önk kiegészítés2020'!$A67,'13.mell_ÖNKfeladatok2020'!O$5:O$159)</f>
        <v>0</v>
      </c>
      <c r="D67" s="878">
        <f>+SUMIF('13.mell_ÖNKfeladatok2020'!$B$5:$B$159,'14.mell_Önk kiegészítés2020'!$A67,'13.mell_ÖNKfeladatok2020'!S$5:S$159)</f>
        <v>0</v>
      </c>
      <c r="E67" s="878">
        <f>+SUMIF('13.mell_ÖNKfeladatok2020'!$B$5:$B$159,'14.mell_Önk kiegészítés2020'!$A67,'13.mell_ÖNKfeladatok2020'!W$5:W$159)</f>
        <v>0</v>
      </c>
      <c r="F67" s="878">
        <f>+SUMIF('13.mell_ÖNKfeladatok2020'!$B$5:$B$159,'14.mell_Önk kiegészítés2020'!$A67,'13.mell_ÖNKfeladatok2020'!AA$5:AA$159)</f>
        <v>0</v>
      </c>
      <c r="G67" s="878">
        <f>+SUMIF('13.mell_ÖNKfeladatok2020'!$B$5:$B$159,'14.mell_Önk kiegészítés2020'!$A67,'13.mell_ÖNKfeladatok2020'!AI$5:AI$159)</f>
        <v>0</v>
      </c>
      <c r="H67" s="878">
        <f>+SUMIF('13.mell_ÖNKfeladatok2020'!$B$5:$B$159,'14.mell_Önk kiegészítés2020'!$A67,'13.mell_ÖNKfeladatok2020'!AM$5:AM$159)</f>
        <v>0</v>
      </c>
      <c r="I67" s="878">
        <f>+SUMIF('13.mell_ÖNKfeladatok2020'!$B$5:$B$159,'14.mell_Önk kiegészítés2020'!$A67,'13.mell_ÖNKfeladatok2020'!AQ$5:AQ$159)</f>
        <v>0</v>
      </c>
      <c r="J67" s="879">
        <f>SUM(C67:I67)</f>
        <v>0</v>
      </c>
      <c r="K67" s="878">
        <f>+SUMIF('13.mell_ÖNKfeladatok2020'!$B$167:$B$321,'14.mell_Önk kiegészítés2020'!$A67,'13.mell_ÖNKfeladatok2020'!O$167:O$321)</f>
        <v>0</v>
      </c>
      <c r="L67" s="878">
        <f>+SUMIF('13.mell_ÖNKfeladatok2020'!$B$167:$B$321,'14.mell_Önk kiegészítés2020'!$A67,'13.mell_ÖNKfeladatok2020'!S$167:S$321)</f>
        <v>0</v>
      </c>
      <c r="M67" s="878">
        <f>+SUMIF('13.mell_ÖNKfeladatok2020'!$B$167:$B$321,'14.mell_Önk kiegészítés2020'!$A67,'13.mell_ÖNKfeladatok2020'!W$167:W$321)</f>
        <v>0</v>
      </c>
      <c r="N67" s="878">
        <f>+SUMIF('13.mell_ÖNKfeladatok2020'!$B$167:$B$321,'14.mell_Önk kiegészítés2020'!$A67,'13.mell_ÖNKfeladatok2020'!AA$167:AA$321)</f>
        <v>0</v>
      </c>
      <c r="O67" s="878">
        <f>+SUMIF('13.mell_ÖNKfeladatok2020'!$B$167:$B$321,'14.mell_Önk kiegészítés2020'!$A67,'13.mell_ÖNKfeladatok2020'!AE$167:AE$321)</f>
        <v>0</v>
      </c>
      <c r="P67" s="878">
        <f>+SUMIF('13.mell_ÖNKfeladatok2020'!$B$167:$B$321,'14.mell_Önk kiegészítés2020'!$A67,'13.mell_ÖNKfeladatok2020'!AM$167:AM$321)</f>
        <v>0</v>
      </c>
      <c r="Q67" s="878">
        <f>+SUMIF('13.mell_ÖNKfeladatok2020'!$B$167:$B$321,'14.mell_Önk kiegészítés2020'!$A67,'13.mell_ÖNKfeladatok2020'!AQ$167:AQ$321)</f>
        <v>0</v>
      </c>
      <c r="R67" s="878">
        <f>+SUMIF('13.mell_ÖNKfeladatok2020'!$B$167:$B$321,'14.mell_Önk kiegészítés2020'!$A67,'13.mell_ÖNKfeladatok2020'!AU$167:AU$321)</f>
        <v>0</v>
      </c>
      <c r="S67" s="879">
        <f>SUM(K67:R67)</f>
        <v>0</v>
      </c>
      <c r="T67" s="552">
        <f>S67-J67</f>
        <v>0</v>
      </c>
      <c r="U67" s="1108">
        <f>+ROUND(SUMIF('10.mell_támogatások2020'!$B$6:$B$137,'14.mell_Önk kiegészítés2020'!$A67,'10.mell_támogatások2020'!D$6:D$137)/1000,0)</f>
        <v>0</v>
      </c>
      <c r="V67" s="1086"/>
      <c r="W67" s="552">
        <f>+T67-U67-V67</f>
        <v>0</v>
      </c>
    </row>
    <row r="68" spans="1:42" s="535" customFormat="1" ht="24.75" thickBot="1">
      <c r="A68" s="504" t="s">
        <v>1143</v>
      </c>
      <c r="B68" s="505" t="s">
        <v>1100</v>
      </c>
      <c r="C68" s="549">
        <f t="shared" ref="C68:W68" si="45">SUM(C67)</f>
        <v>0</v>
      </c>
      <c r="D68" s="549">
        <f t="shared" si="45"/>
        <v>0</v>
      </c>
      <c r="E68" s="549">
        <f t="shared" si="45"/>
        <v>0</v>
      </c>
      <c r="F68" s="549">
        <f t="shared" si="45"/>
        <v>0</v>
      </c>
      <c r="G68" s="549">
        <f t="shared" si="45"/>
        <v>0</v>
      </c>
      <c r="H68" s="549">
        <f t="shared" si="45"/>
        <v>0</v>
      </c>
      <c r="I68" s="549">
        <f t="shared" si="45"/>
        <v>0</v>
      </c>
      <c r="J68" s="552">
        <f t="shared" si="45"/>
        <v>0</v>
      </c>
      <c r="K68" s="549">
        <f t="shared" si="45"/>
        <v>0</v>
      </c>
      <c r="L68" s="549">
        <f t="shared" si="45"/>
        <v>0</v>
      </c>
      <c r="M68" s="549">
        <f t="shared" si="45"/>
        <v>0</v>
      </c>
      <c r="N68" s="549">
        <f t="shared" si="45"/>
        <v>0</v>
      </c>
      <c r="O68" s="549">
        <f t="shared" si="45"/>
        <v>0</v>
      </c>
      <c r="P68" s="549">
        <f t="shared" si="45"/>
        <v>0</v>
      </c>
      <c r="Q68" s="549">
        <f t="shared" si="45"/>
        <v>0</v>
      </c>
      <c r="R68" s="549">
        <f t="shared" si="45"/>
        <v>0</v>
      </c>
      <c r="S68" s="552">
        <f t="shared" si="45"/>
        <v>0</v>
      </c>
      <c r="T68" s="552">
        <f t="shared" si="45"/>
        <v>0</v>
      </c>
      <c r="U68" s="1102">
        <f t="shared" si="45"/>
        <v>0</v>
      </c>
      <c r="V68" s="553">
        <f t="shared" si="45"/>
        <v>0</v>
      </c>
      <c r="W68" s="552">
        <f t="shared" si="45"/>
        <v>0</v>
      </c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</row>
    <row r="69" spans="1:42" s="535" customFormat="1" ht="12.75" thickBot="1">
      <c r="A69" s="496" t="s">
        <v>42</v>
      </c>
      <c r="B69" s="508" t="s">
        <v>1101</v>
      </c>
      <c r="C69" s="558">
        <f t="shared" ref="C69:W69" si="46">+C64+C66+C68</f>
        <v>0</v>
      </c>
      <c r="D69" s="558">
        <f t="shared" si="46"/>
        <v>0</v>
      </c>
      <c r="E69" s="558">
        <f t="shared" si="46"/>
        <v>0</v>
      </c>
      <c r="F69" s="558">
        <f t="shared" si="46"/>
        <v>0</v>
      </c>
      <c r="G69" s="558">
        <f t="shared" si="46"/>
        <v>0</v>
      </c>
      <c r="H69" s="558">
        <f t="shared" si="46"/>
        <v>0</v>
      </c>
      <c r="I69" s="558">
        <f t="shared" si="46"/>
        <v>0</v>
      </c>
      <c r="J69" s="561">
        <f t="shared" si="46"/>
        <v>0</v>
      </c>
      <c r="K69" s="558">
        <f t="shared" si="46"/>
        <v>61539</v>
      </c>
      <c r="L69" s="558">
        <f t="shared" si="46"/>
        <v>10823</v>
      </c>
      <c r="M69" s="558">
        <f t="shared" si="46"/>
        <v>11238</v>
      </c>
      <c r="N69" s="558">
        <f t="shared" si="46"/>
        <v>0</v>
      </c>
      <c r="O69" s="558">
        <f t="shared" si="46"/>
        <v>0</v>
      </c>
      <c r="P69" s="558">
        <f t="shared" si="46"/>
        <v>0</v>
      </c>
      <c r="Q69" s="558">
        <f t="shared" si="46"/>
        <v>0</v>
      </c>
      <c r="R69" s="558">
        <f t="shared" si="46"/>
        <v>0</v>
      </c>
      <c r="S69" s="561">
        <f t="shared" si="46"/>
        <v>83600</v>
      </c>
      <c r="T69" s="561">
        <f t="shared" si="46"/>
        <v>83600</v>
      </c>
      <c r="U69" s="1104">
        <f t="shared" si="46"/>
        <v>73899</v>
      </c>
      <c r="V69" s="560">
        <f t="shared" si="46"/>
        <v>6630</v>
      </c>
      <c r="W69" s="561">
        <f t="shared" si="46"/>
        <v>3071</v>
      </c>
      <c r="Y69" s="535">
        <f>+'13.mell_ÖNKfeladatok2020'!$G$157-J69</f>
        <v>0</v>
      </c>
      <c r="Z69" s="535">
        <f>+'13.mell_ÖNKfeladatok2020'!$G$319-S69</f>
        <v>0</v>
      </c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</row>
    <row r="70" spans="1:42" s="195" customFormat="1" ht="12.75" thickBot="1">
      <c r="A70" s="522"/>
      <c r="B70" s="573"/>
      <c r="C70" s="562"/>
      <c r="D70" s="563"/>
      <c r="E70" s="563"/>
      <c r="F70" s="563"/>
      <c r="G70" s="563"/>
      <c r="H70" s="563"/>
      <c r="I70" s="564"/>
      <c r="J70" s="565"/>
      <c r="K70" s="574"/>
      <c r="L70" s="574"/>
      <c r="M70" s="574"/>
      <c r="N70" s="574"/>
      <c r="O70" s="574"/>
      <c r="P70" s="574"/>
      <c r="Q70" s="574"/>
      <c r="R70" s="574"/>
      <c r="S70" s="572"/>
      <c r="T70" s="572"/>
      <c r="U70" s="1110"/>
      <c r="V70" s="1088"/>
      <c r="W70" s="572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</row>
    <row r="71" spans="1:42" s="535" customFormat="1" ht="12.75" thickBot="1">
      <c r="A71" s="556" t="s">
        <v>41</v>
      </c>
      <c r="B71" s="557" t="s">
        <v>769</v>
      </c>
      <c r="C71" s="558">
        <f t="shared" ref="C71:W71" si="47">+C21+C33+C43+C53+C61+C69</f>
        <v>992226</v>
      </c>
      <c r="D71" s="558">
        <f t="shared" si="47"/>
        <v>414105</v>
      </c>
      <c r="E71" s="558">
        <f t="shared" si="47"/>
        <v>186868</v>
      </c>
      <c r="F71" s="558">
        <f t="shared" si="47"/>
        <v>0</v>
      </c>
      <c r="G71" s="558">
        <f t="shared" si="47"/>
        <v>32276</v>
      </c>
      <c r="H71" s="558">
        <f t="shared" si="47"/>
        <v>40350</v>
      </c>
      <c r="I71" s="558">
        <f t="shared" si="47"/>
        <v>1100</v>
      </c>
      <c r="J71" s="561">
        <f t="shared" si="47"/>
        <v>1666925</v>
      </c>
      <c r="K71" s="575">
        <f t="shared" si="47"/>
        <v>715534</v>
      </c>
      <c r="L71" s="575">
        <f t="shared" si="47"/>
        <v>130817</v>
      </c>
      <c r="M71" s="575">
        <f t="shared" si="47"/>
        <v>401997</v>
      </c>
      <c r="N71" s="575">
        <f t="shared" si="47"/>
        <v>52779</v>
      </c>
      <c r="O71" s="575">
        <f t="shared" si="47"/>
        <v>2717621</v>
      </c>
      <c r="P71" s="575">
        <f t="shared" si="47"/>
        <v>436722</v>
      </c>
      <c r="Q71" s="575">
        <f t="shared" si="47"/>
        <v>67258</v>
      </c>
      <c r="R71" s="575">
        <f t="shared" si="47"/>
        <v>0</v>
      </c>
      <c r="S71" s="576">
        <f t="shared" si="47"/>
        <v>4522728</v>
      </c>
      <c r="T71" s="576">
        <f t="shared" si="47"/>
        <v>2855803</v>
      </c>
      <c r="U71" s="1111">
        <f t="shared" si="47"/>
        <v>0</v>
      </c>
      <c r="V71" s="1089">
        <f t="shared" si="47"/>
        <v>2845803</v>
      </c>
      <c r="W71" s="576">
        <f t="shared" si="47"/>
        <v>10000</v>
      </c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</row>
    <row r="72" spans="1:42" s="535" customFormat="1" ht="12.75" thickBot="1">
      <c r="A72" s="586" t="s">
        <v>37</v>
      </c>
      <c r="B72" s="578" t="s">
        <v>770</v>
      </c>
      <c r="C72" s="579"/>
      <c r="D72" s="579"/>
      <c r="E72" s="579"/>
      <c r="F72" s="579">
        <f>+'1.mell._Össz_Mérleg2020'!$C$71</f>
        <v>2876249</v>
      </c>
      <c r="G72" s="579"/>
      <c r="H72" s="579"/>
      <c r="I72" s="579">
        <f>+'1.mell._Össz_Mérleg2020'!$C$86</f>
        <v>10000</v>
      </c>
      <c r="J72" s="585">
        <f>SUM(C72:I72)</f>
        <v>2886249</v>
      </c>
      <c r="K72" s="579"/>
      <c r="L72" s="579"/>
      <c r="M72" s="579"/>
      <c r="N72" s="579"/>
      <c r="O72" s="579">
        <f>+'1.mell._Össz_Mérleg2020'!$C$177</f>
        <v>30446</v>
      </c>
      <c r="P72" s="579"/>
      <c r="Q72" s="579"/>
      <c r="R72" s="579">
        <f>+'1.mell._Össz_Mérleg2020'!$C$192</f>
        <v>0</v>
      </c>
      <c r="S72" s="585">
        <f>SUM(K72:R72)</f>
        <v>30446</v>
      </c>
      <c r="T72" s="580">
        <f>S72-J72</f>
        <v>-2855803</v>
      </c>
      <c r="U72" s="1112"/>
      <c r="V72" s="1090">
        <v>-2845803</v>
      </c>
      <c r="W72" s="580">
        <f>+T72-U72-V72</f>
        <v>-10000</v>
      </c>
      <c r="AB72" s="262"/>
      <c r="AC72" s="262">
        <v>-2845803</v>
      </c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</row>
    <row r="73" spans="1:42" s="195" customFormat="1" ht="12.75" thickBot="1">
      <c r="A73" s="556" t="s">
        <v>1146</v>
      </c>
      <c r="B73" s="557" t="s">
        <v>771</v>
      </c>
      <c r="C73" s="558">
        <f>+C71+C72</f>
        <v>992226</v>
      </c>
      <c r="D73" s="558">
        <f t="shared" ref="D73:I73" si="48">+D71+D72</f>
        <v>414105</v>
      </c>
      <c r="E73" s="558">
        <f t="shared" si="48"/>
        <v>186868</v>
      </c>
      <c r="F73" s="558">
        <f t="shared" si="48"/>
        <v>2876249</v>
      </c>
      <c r="G73" s="558">
        <f t="shared" si="48"/>
        <v>32276</v>
      </c>
      <c r="H73" s="558">
        <f t="shared" si="48"/>
        <v>40350</v>
      </c>
      <c r="I73" s="558">
        <f t="shared" si="48"/>
        <v>11100</v>
      </c>
      <c r="J73" s="561">
        <f>+J71+J72</f>
        <v>4553174</v>
      </c>
      <c r="K73" s="558">
        <f t="shared" ref="K73:W73" si="49">+K71+K72</f>
        <v>715534</v>
      </c>
      <c r="L73" s="558">
        <f t="shared" si="49"/>
        <v>130817</v>
      </c>
      <c r="M73" s="558">
        <f t="shared" si="49"/>
        <v>401997</v>
      </c>
      <c r="N73" s="558">
        <f t="shared" si="49"/>
        <v>52779</v>
      </c>
      <c r="O73" s="558">
        <f t="shared" si="49"/>
        <v>2748067</v>
      </c>
      <c r="P73" s="558">
        <f t="shared" si="49"/>
        <v>436722</v>
      </c>
      <c r="Q73" s="558">
        <f t="shared" si="49"/>
        <v>67258</v>
      </c>
      <c r="R73" s="558">
        <f t="shared" si="49"/>
        <v>0</v>
      </c>
      <c r="S73" s="561">
        <f t="shared" si="49"/>
        <v>4553174</v>
      </c>
      <c r="T73" s="561">
        <f t="shared" si="49"/>
        <v>0</v>
      </c>
      <c r="U73" s="1104">
        <f t="shared" si="49"/>
        <v>0</v>
      </c>
      <c r="V73" s="560">
        <f t="shared" si="49"/>
        <v>0</v>
      </c>
      <c r="W73" s="561">
        <f t="shared" si="49"/>
        <v>0</v>
      </c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</row>
    <row r="74" spans="1:42" s="535" customFormat="1" ht="11.25" customHeight="1">
      <c r="A74" s="587"/>
      <c r="B74" s="577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</row>
    <row r="75" spans="1:42" ht="12.75" thickBot="1">
      <c r="W75" s="239" t="s">
        <v>457</v>
      </c>
    </row>
    <row r="76" spans="1:42" s="538" customFormat="1" ht="72.75" thickBot="1">
      <c r="A76" s="1429" t="s">
        <v>17</v>
      </c>
      <c r="B76" s="469" t="s">
        <v>1587</v>
      </c>
      <c r="C76" s="882" t="s">
        <v>762</v>
      </c>
      <c r="D76" s="355" t="s">
        <v>524</v>
      </c>
      <c r="E76" s="355" t="s">
        <v>763</v>
      </c>
      <c r="F76" s="355" t="s">
        <v>1147</v>
      </c>
      <c r="G76" s="355" t="s">
        <v>531</v>
      </c>
      <c r="H76" s="355" t="s">
        <v>532</v>
      </c>
      <c r="I76" s="354" t="s">
        <v>1148</v>
      </c>
      <c r="J76" s="297" t="s">
        <v>523</v>
      </c>
      <c r="K76" s="882" t="s">
        <v>46</v>
      </c>
      <c r="L76" s="355" t="s">
        <v>446</v>
      </c>
      <c r="M76" s="355" t="s">
        <v>447</v>
      </c>
      <c r="N76" s="355" t="s">
        <v>765</v>
      </c>
      <c r="O76" s="355" t="s">
        <v>1149</v>
      </c>
      <c r="P76" s="355" t="s">
        <v>450</v>
      </c>
      <c r="Q76" s="355" t="s">
        <v>451</v>
      </c>
      <c r="R76" s="292" t="s">
        <v>1150</v>
      </c>
      <c r="S76" s="297" t="s">
        <v>526</v>
      </c>
      <c r="T76" s="537" t="s">
        <v>755</v>
      </c>
      <c r="U76" s="1099" t="s">
        <v>1552</v>
      </c>
      <c r="V76" s="1079" t="s">
        <v>1551</v>
      </c>
      <c r="W76" s="537" t="s">
        <v>756</v>
      </c>
      <c r="AB76" s="965" t="s">
        <v>1157</v>
      </c>
      <c r="AC76" s="538" t="s">
        <v>1068</v>
      </c>
      <c r="AD76" s="538" t="s">
        <v>1043</v>
      </c>
      <c r="AE76" s="538" t="s">
        <v>1222</v>
      </c>
      <c r="AF76" s="538" t="s">
        <v>1155</v>
      </c>
      <c r="AG76" s="538" t="s">
        <v>1154</v>
      </c>
      <c r="AH76" s="538" t="s">
        <v>1153</v>
      </c>
      <c r="AI76" s="964" t="s">
        <v>1158</v>
      </c>
      <c r="AJ76" s="538" t="s">
        <v>1223</v>
      </c>
    </row>
    <row r="77" spans="1:42">
      <c r="A77" s="825">
        <v>1</v>
      </c>
      <c r="B77" s="731" t="s">
        <v>414</v>
      </c>
      <c r="C77" s="540">
        <f>+SUMIF('13.mell_ÖNKfeladatok2020'!$B$5:$B$159,'14.mell_Önk kiegészítés2020'!$A77,'13.mell_ÖNKfeladatok2020'!P$5:P$159)</f>
        <v>0</v>
      </c>
      <c r="D77" s="540">
        <f>+SUMIF('13.mell_ÖNKfeladatok2020'!$B$5:$B$159,'14.mell_Önk kiegészítés2020'!$A77,'13.mell_ÖNKfeladatok2020'!T$5:T$159)</f>
        <v>0</v>
      </c>
      <c r="E77" s="540">
        <f>+SUMIF('13.mell_ÖNKfeladatok2020'!$B$5:$B$159,'14.mell_Önk kiegészítés2020'!$A77,'13.mell_ÖNKfeladatok2020'!X$5:X$159)</f>
        <v>0</v>
      </c>
      <c r="F77" s="540">
        <f>+SUMIF('13.mell_ÖNKfeladatok2020'!$B$5:$B$159,'14.mell_Önk kiegészítés2020'!$A77,'13.mell_ÖNKfeladatok2020'!AB$5:AB$159)</f>
        <v>0</v>
      </c>
      <c r="G77" s="540">
        <f>+SUMIF('13.mell_ÖNKfeladatok2020'!$B$5:$B$159,'14.mell_Önk kiegészítés2020'!$A77,'13.mell_ÖNKfeladatok2020'!AJ$5:AJ$159)</f>
        <v>0</v>
      </c>
      <c r="H77" s="540">
        <f>+SUMIF('13.mell_ÖNKfeladatok2020'!$B$5:$B$159,'14.mell_Önk kiegészítés2020'!$A77,'13.mell_ÖNKfeladatok2020'!AN$5:AN$159)</f>
        <v>0</v>
      </c>
      <c r="I77" s="540">
        <f>+SUMIF('13.mell_ÖNKfeladatok2020'!$B$5:$B$159,'14.mell_Önk kiegészítés2020'!$A77,'13.mell_ÖNKfeladatok2020'!AR$5:AR$159)</f>
        <v>0</v>
      </c>
      <c r="J77" s="732">
        <f>SUM(C77:I77)</f>
        <v>0</v>
      </c>
      <c r="K77" s="540">
        <f>+SUMIF('13.mell_ÖNKfeladatok2020'!$B$167:$B$321,'14.mell_Önk kiegészítés2020'!$A77,'13.mell_ÖNKfeladatok2020'!P$167:P$321)</f>
        <v>43051.999999999993</v>
      </c>
      <c r="L77" s="540">
        <f>+SUMIF('13.mell_ÖNKfeladatok2020'!$B$167:$B$321,'14.mell_Önk kiegészítés2020'!$A77,'13.mell_ÖNKfeladatok2020'!T$167:T$321)</f>
        <v>6719</v>
      </c>
      <c r="M77" s="540">
        <f>+SUMIF('13.mell_ÖNKfeladatok2020'!$B$167:$B$321,'14.mell_Önk kiegészítés2020'!$A77,'13.mell_ÖNKfeladatok2020'!X$167:X$321)</f>
        <v>658</v>
      </c>
      <c r="N77" s="540">
        <f>+SUMIF('13.mell_ÖNKfeladatok2020'!$B$167:$B$321,'14.mell_Önk kiegészítés2020'!$A77,'13.mell_ÖNKfeladatok2020'!AB$167:AB$321)</f>
        <v>0</v>
      </c>
      <c r="O77" s="540">
        <f>+SUMIF('13.mell_ÖNKfeladatok2020'!$B$167:$B$321,'14.mell_Önk kiegészítés2020'!$A77,'13.mell_ÖNKfeladatok2020'!AF$167:AF$321)</f>
        <v>0</v>
      </c>
      <c r="P77" s="540">
        <f>+SUMIF('13.mell_ÖNKfeladatok2020'!$B$167:$B$321,'14.mell_Önk kiegészítés2020'!$A77,'13.mell_ÖNKfeladatok2020'!AN$167:AN$321)</f>
        <v>0</v>
      </c>
      <c r="Q77" s="540">
        <f>+SUMIF('13.mell_ÖNKfeladatok2020'!$B$167:$B$321,'14.mell_Önk kiegészítés2020'!$A77,'13.mell_ÖNKfeladatok2020'!AR$167:AR$321)</f>
        <v>0</v>
      </c>
      <c r="R77" s="540">
        <f>+SUMIF('13.mell_ÖNKfeladatok2020'!$B$167:$B$321,'14.mell_Önk kiegészítés2020'!$A77,'13.mell_ÖNKfeladatok2020'!AV$167:AV$321)</f>
        <v>0</v>
      </c>
      <c r="S77" s="732">
        <f>SUM(K77:R77)</f>
        <v>50428.999999999993</v>
      </c>
      <c r="T77" s="733">
        <f>S77-J77</f>
        <v>50428.999999999993</v>
      </c>
      <c r="U77" s="540">
        <f>+ROUND(SUMIF('10.mell_támogatások2020'!$B$6:$B$137,'14.mell_Önk kiegészítés2020'!$A77,'10.mell_támogatások2020'!E$6:E$137)/1000,0)</f>
        <v>1794</v>
      </c>
      <c r="V77" s="540"/>
      <c r="W77" s="733">
        <f>+T77-U77-V77</f>
        <v>48634.999999999993</v>
      </c>
    </row>
    <row r="78" spans="1:42">
      <c r="A78" s="826">
        <f>+A77+1</f>
        <v>2</v>
      </c>
      <c r="B78" s="539" t="s">
        <v>649</v>
      </c>
      <c r="C78" s="540">
        <f>+SUMIF('13.mell_ÖNKfeladatok2020'!$B$5:$B$159,'14.mell_Önk kiegészítés2020'!$A78,'13.mell_ÖNKfeladatok2020'!P$5:P$159)</f>
        <v>0</v>
      </c>
      <c r="D78" s="540">
        <f>+SUMIF('13.mell_ÖNKfeladatok2020'!$B$5:$B$159,'14.mell_Önk kiegészítés2020'!$A78,'13.mell_ÖNKfeladatok2020'!T$5:T$159)</f>
        <v>0</v>
      </c>
      <c r="E78" s="540">
        <f>+SUMIF('13.mell_ÖNKfeladatok2020'!$B$5:$B$159,'14.mell_Önk kiegészítés2020'!$A78,'13.mell_ÖNKfeladatok2020'!X$5:X$159)</f>
        <v>1500</v>
      </c>
      <c r="F78" s="540">
        <f>+SUMIF('13.mell_ÖNKfeladatok2020'!$B$5:$B$159,'14.mell_Önk kiegészítés2020'!$A78,'13.mell_ÖNKfeladatok2020'!AB$5:AB$159)</f>
        <v>0</v>
      </c>
      <c r="G78" s="540">
        <f>+SUMIF('13.mell_ÖNKfeladatok2020'!$B$5:$B$159,'14.mell_Önk kiegészítés2020'!$A78,'13.mell_ÖNKfeladatok2020'!AJ$5:AJ$159)</f>
        <v>0</v>
      </c>
      <c r="H78" s="540">
        <f>+SUMIF('13.mell_ÖNKfeladatok2020'!$B$5:$B$159,'14.mell_Önk kiegészítés2020'!$A78,'13.mell_ÖNKfeladatok2020'!AN$5:AN$159)</f>
        <v>0</v>
      </c>
      <c r="I78" s="540">
        <f>+SUMIF('13.mell_ÖNKfeladatok2020'!$B$5:$B$159,'14.mell_Önk kiegészítés2020'!$A78,'13.mell_ÖNKfeladatok2020'!AR$5:AR$159)</f>
        <v>0</v>
      </c>
      <c r="J78" s="581">
        <f>SUM(C78:I78)</f>
        <v>1500</v>
      </c>
      <c r="K78" s="540">
        <f>+SUMIF('13.mell_ÖNKfeladatok2020'!$B$167:$B$321,'14.mell_Önk kiegészítés2020'!$A78,'13.mell_ÖNKfeladatok2020'!P$167:P$321)</f>
        <v>0</v>
      </c>
      <c r="L78" s="540">
        <f>+SUMIF('13.mell_ÖNKfeladatok2020'!$B$167:$B$321,'14.mell_Önk kiegészítés2020'!$A78,'13.mell_ÖNKfeladatok2020'!T$167:T$321)</f>
        <v>0</v>
      </c>
      <c r="M78" s="540">
        <f>+SUMIF('13.mell_ÖNKfeladatok2020'!$B$167:$B$321,'14.mell_Önk kiegészítés2020'!$A78,'13.mell_ÖNKfeladatok2020'!X$167:X$321)</f>
        <v>2319</v>
      </c>
      <c r="N78" s="540">
        <f>+SUMIF('13.mell_ÖNKfeladatok2020'!$B$167:$B$321,'14.mell_Önk kiegészítés2020'!$A78,'13.mell_ÖNKfeladatok2020'!AB$167:AB$321)</f>
        <v>0</v>
      </c>
      <c r="O78" s="540">
        <f>+SUMIF('13.mell_ÖNKfeladatok2020'!$B$167:$B$321,'14.mell_Önk kiegészítés2020'!$A78,'13.mell_ÖNKfeladatok2020'!AF$167:AF$321)</f>
        <v>0</v>
      </c>
      <c r="P78" s="540">
        <f>+SUMIF('13.mell_ÖNKfeladatok2020'!$B$167:$B$321,'14.mell_Önk kiegészítés2020'!$A78,'13.mell_ÖNKfeladatok2020'!AN$167:AN$321)</f>
        <v>7000</v>
      </c>
      <c r="Q78" s="540">
        <f>+SUMIF('13.mell_ÖNKfeladatok2020'!$B$167:$B$321,'14.mell_Önk kiegészítés2020'!$A78,'13.mell_ÖNKfeladatok2020'!AR$167:AR$321)</f>
        <v>0</v>
      </c>
      <c r="R78" s="540">
        <f>+SUMIF('13.mell_ÖNKfeladatok2020'!$B$167:$B$321,'14.mell_Önk kiegészítés2020'!$A78,'13.mell_ÖNKfeladatok2020'!AV$167:AV$321)</f>
        <v>0</v>
      </c>
      <c r="S78" s="581">
        <f t="shared" ref="S78:S80" si="50">SUM(K78:R78)</f>
        <v>9319</v>
      </c>
      <c r="T78" s="541">
        <f>S78-J78</f>
        <v>7819</v>
      </c>
      <c r="U78" s="1100">
        <f>+ROUND(SUMIF('10.mell_támogatások2020'!$B$6:$B$137,'14.mell_Önk kiegészítés2020'!$A78,'10.mell_támogatások2020'!E$6:E$137)/1000,0)</f>
        <v>3460</v>
      </c>
      <c r="V78" s="1080"/>
      <c r="W78" s="541">
        <f t="shared" ref="W78:W84" si="51">+T78-U78-V78</f>
        <v>4359</v>
      </c>
    </row>
    <row r="79" spans="1:42">
      <c r="A79" s="826">
        <f>+A78+1</f>
        <v>3</v>
      </c>
      <c r="B79" s="542" t="s">
        <v>644</v>
      </c>
      <c r="C79" s="543">
        <f>+SUMIF('13.mell_ÖNKfeladatok2020'!$B$5:$B$159,'14.mell_Önk kiegészítés2020'!$A79,'13.mell_ÖNKfeladatok2020'!P$5:P$159)</f>
        <v>0</v>
      </c>
      <c r="D79" s="543">
        <f>+SUMIF('13.mell_ÖNKfeladatok2020'!$B$5:$B$159,'14.mell_Önk kiegészítés2020'!$A79,'13.mell_ÖNKfeladatok2020'!T$5:T$159)</f>
        <v>0</v>
      </c>
      <c r="E79" s="543">
        <f>+SUMIF('13.mell_ÖNKfeladatok2020'!$B$5:$B$159,'14.mell_Önk kiegészítés2020'!$A79,'13.mell_ÖNKfeladatok2020'!X$5:X$159)</f>
        <v>0</v>
      </c>
      <c r="F79" s="543">
        <f>+SUMIF('13.mell_ÖNKfeladatok2020'!$B$5:$B$159,'14.mell_Önk kiegészítés2020'!$A79,'13.mell_ÖNKfeladatok2020'!AB$5:AB$159)</f>
        <v>0</v>
      </c>
      <c r="G79" s="540">
        <f>+SUMIF('13.mell_ÖNKfeladatok2020'!$B$5:$B$159,'14.mell_Önk kiegészítés2020'!$A79,'13.mell_ÖNKfeladatok2020'!AJ$5:AJ$159)</f>
        <v>0</v>
      </c>
      <c r="H79" s="543">
        <f>+SUMIF('13.mell_ÖNKfeladatok2020'!$B$5:$B$159,'14.mell_Önk kiegészítés2020'!$A79,'13.mell_ÖNKfeladatok2020'!AN$5:AN$159)</f>
        <v>0</v>
      </c>
      <c r="I79" s="543">
        <f>+SUMIF('13.mell_ÖNKfeladatok2020'!$B$5:$B$159,'14.mell_Önk kiegészítés2020'!$A79,'13.mell_ÖNKfeladatok2020'!AR$5:AR$159)</f>
        <v>0</v>
      </c>
      <c r="J79" s="582">
        <f t="shared" ref="J79:J80" si="52">SUM(C79:I79)</f>
        <v>0</v>
      </c>
      <c r="K79" s="543">
        <f>+SUMIF('13.mell_ÖNKfeladatok2020'!$B$167:$B$321,'14.mell_Önk kiegészítés2020'!$A79,'13.mell_ÖNKfeladatok2020'!P$167:P$321)</f>
        <v>0</v>
      </c>
      <c r="L79" s="543">
        <f>+SUMIF('13.mell_ÖNKfeladatok2020'!$B$167:$B$321,'14.mell_Önk kiegészítés2020'!$A79,'13.mell_ÖNKfeladatok2020'!T$167:T$321)</f>
        <v>0</v>
      </c>
      <c r="M79" s="543">
        <f>+SUMIF('13.mell_ÖNKfeladatok2020'!$B$167:$B$321,'14.mell_Önk kiegészítés2020'!$A79,'13.mell_ÖNKfeladatok2020'!X$167:X$321)</f>
        <v>25000</v>
      </c>
      <c r="N79" s="543">
        <f>+SUMIF('13.mell_ÖNKfeladatok2020'!$B$167:$B$321,'14.mell_Önk kiegészítés2020'!$A79,'13.mell_ÖNKfeladatok2020'!AB$167:AB$321)</f>
        <v>0</v>
      </c>
      <c r="O79" s="543">
        <f>+SUMIF('13.mell_ÖNKfeladatok2020'!$B$167:$B$321,'14.mell_Önk kiegészítés2020'!$A79,'13.mell_ÖNKfeladatok2020'!AF$167:AF$321)</f>
        <v>0</v>
      </c>
      <c r="P79" s="543">
        <f>+SUMIF('13.mell_ÖNKfeladatok2020'!$B$167:$B$321,'14.mell_Önk kiegészítés2020'!$A79,'13.mell_ÖNKfeladatok2020'!AN$167:AN$321)</f>
        <v>0</v>
      </c>
      <c r="Q79" s="543">
        <f>+SUMIF('13.mell_ÖNKfeladatok2020'!$B$167:$B$321,'14.mell_Önk kiegészítés2020'!$A79,'13.mell_ÖNKfeladatok2020'!AR$167:AR$321)</f>
        <v>0</v>
      </c>
      <c r="R79" s="543">
        <f>+SUMIF('13.mell_ÖNKfeladatok2020'!$B$167:$B$321,'14.mell_Önk kiegészítés2020'!$A79,'13.mell_ÖNKfeladatok2020'!AV$167:AV$321)</f>
        <v>0</v>
      </c>
      <c r="S79" s="582">
        <f t="shared" si="50"/>
        <v>25000</v>
      </c>
      <c r="T79" s="544">
        <f t="shared" ref="T79:T80" si="53">S79-J79</f>
        <v>25000</v>
      </c>
      <c r="U79" s="1100">
        <f>+ROUND(SUMIF('10.mell_támogatások2020'!$B$6:$B$137,'14.mell_Önk kiegészítés2020'!$A79,'10.mell_támogatások2020'!E$6:E$137)/1000,0)</f>
        <v>26600</v>
      </c>
      <c r="V79" s="1080"/>
      <c r="W79" s="544">
        <f t="shared" si="51"/>
        <v>-1600</v>
      </c>
    </row>
    <row r="80" spans="1:42">
      <c r="A80" s="826">
        <f>+A79+1</f>
        <v>4</v>
      </c>
      <c r="B80" s="542" t="s">
        <v>646</v>
      </c>
      <c r="C80" s="543">
        <f>+SUMIF('13.mell_ÖNKfeladatok2020'!$B$5:$B$159,'14.mell_Önk kiegészítés2020'!$A80,'13.mell_ÖNKfeladatok2020'!P$5:P$159)</f>
        <v>0</v>
      </c>
      <c r="D80" s="543">
        <f>+SUMIF('13.mell_ÖNKfeladatok2020'!$B$5:$B$159,'14.mell_Önk kiegészítés2020'!$A80,'13.mell_ÖNKfeladatok2020'!T$5:T$159)</f>
        <v>0</v>
      </c>
      <c r="E80" s="543">
        <f>+SUMIF('13.mell_ÖNKfeladatok2020'!$B$5:$B$159,'14.mell_Önk kiegészítés2020'!$A80,'13.mell_ÖNKfeladatok2020'!X$5:X$159)</f>
        <v>0</v>
      </c>
      <c r="F80" s="543">
        <f>+SUMIF('13.mell_ÖNKfeladatok2020'!$B$5:$B$159,'14.mell_Önk kiegészítés2020'!$A80,'13.mell_ÖNKfeladatok2020'!AB$5:AB$159)</f>
        <v>0</v>
      </c>
      <c r="G80" s="540">
        <f>+SUMIF('13.mell_ÖNKfeladatok2020'!$B$5:$B$159,'14.mell_Önk kiegészítés2020'!$A80,'13.mell_ÖNKfeladatok2020'!AJ$5:AJ$159)</f>
        <v>0</v>
      </c>
      <c r="H80" s="543">
        <f>+SUMIF('13.mell_ÖNKfeladatok2020'!$B$5:$B$159,'14.mell_Önk kiegészítés2020'!$A80,'13.mell_ÖNKfeladatok2020'!AN$5:AN$159)</f>
        <v>0</v>
      </c>
      <c r="I80" s="543">
        <f>+SUMIF('13.mell_ÖNKfeladatok2020'!$B$5:$B$159,'14.mell_Önk kiegészítés2020'!$A80,'13.mell_ÖNKfeladatok2020'!AR$5:AR$159)</f>
        <v>0</v>
      </c>
      <c r="J80" s="582">
        <f t="shared" si="52"/>
        <v>0</v>
      </c>
      <c r="K80" s="543">
        <f>+SUMIF('13.mell_ÖNKfeladatok2020'!$B$167:$B$321,'14.mell_Önk kiegészítés2020'!$A80,'13.mell_ÖNKfeladatok2020'!P$167:P$321)</f>
        <v>0</v>
      </c>
      <c r="L80" s="543">
        <f>+SUMIF('13.mell_ÖNKfeladatok2020'!$B$167:$B$321,'14.mell_Önk kiegészítés2020'!$A80,'13.mell_ÖNKfeladatok2020'!T$167:T$321)</f>
        <v>0</v>
      </c>
      <c r="M80" s="543">
        <f>+SUMIF('13.mell_ÖNKfeladatok2020'!$B$167:$B$321,'14.mell_Önk kiegészítés2020'!$A80,'13.mell_ÖNKfeladatok2020'!X$167:X$321)</f>
        <v>13381</v>
      </c>
      <c r="N80" s="543">
        <f>+SUMIF('13.mell_ÖNKfeladatok2020'!$B$167:$B$321,'14.mell_Önk kiegészítés2020'!$A80,'13.mell_ÖNKfeladatok2020'!AB$167:AB$321)</f>
        <v>0</v>
      </c>
      <c r="O80" s="543">
        <f>+SUMIF('13.mell_ÖNKfeladatok2020'!$B$167:$B$321,'14.mell_Önk kiegészítés2020'!$A80,'13.mell_ÖNKfeladatok2020'!AF$167:AF$321)</f>
        <v>0</v>
      </c>
      <c r="P80" s="543">
        <f>+SUMIF('13.mell_ÖNKfeladatok2020'!$B$167:$B$321,'14.mell_Önk kiegészítés2020'!$A80,'13.mell_ÖNKfeladatok2020'!AN$167:AN$321)</f>
        <v>0</v>
      </c>
      <c r="Q80" s="543">
        <f>+SUMIF('13.mell_ÖNKfeladatok2020'!$B$167:$B$321,'14.mell_Önk kiegészítés2020'!$A80,'13.mell_ÖNKfeladatok2020'!AR$167:AR$321)</f>
        <v>0</v>
      </c>
      <c r="R80" s="543">
        <f>+SUMIF('13.mell_ÖNKfeladatok2020'!$B$167:$B$321,'14.mell_Önk kiegészítés2020'!$A80,'13.mell_ÖNKfeladatok2020'!AV$167:AV$321)</f>
        <v>0</v>
      </c>
      <c r="S80" s="582">
        <f t="shared" si="50"/>
        <v>13381</v>
      </c>
      <c r="T80" s="544">
        <f t="shared" si="53"/>
        <v>13381</v>
      </c>
      <c r="U80" s="1100">
        <f>+ROUND(SUMIF('10.mell_támogatások2020'!$B$6:$B$137,'14.mell_Önk kiegészítés2020'!$A80,'10.mell_támogatások2020'!E$6:E$137)/1000,0)</f>
        <v>15266</v>
      </c>
      <c r="V80" s="1080">
        <v>13930</v>
      </c>
      <c r="W80" s="544">
        <f t="shared" si="51"/>
        <v>-15815</v>
      </c>
      <c r="AI80" s="262">
        <v>13930</v>
      </c>
    </row>
    <row r="81" spans="1:42">
      <c r="A81" s="826">
        <f>+A80+1</f>
        <v>5</v>
      </c>
      <c r="B81" s="542" t="s">
        <v>643</v>
      </c>
      <c r="C81" s="543">
        <f>+SUMIF('13.mell_ÖNKfeladatok2020'!$B$5:$B$159,'14.mell_Önk kiegészítés2020'!$A81,'13.mell_ÖNKfeladatok2020'!P$5:P$159)</f>
        <v>0</v>
      </c>
      <c r="D81" s="543">
        <f>+SUMIF('13.mell_ÖNKfeladatok2020'!$B$5:$B$159,'14.mell_Önk kiegészítés2020'!$A81,'13.mell_ÖNKfeladatok2020'!T$5:T$159)</f>
        <v>0</v>
      </c>
      <c r="E81" s="543">
        <f>+SUMIF('13.mell_ÖNKfeladatok2020'!$B$5:$B$159,'14.mell_Önk kiegészítés2020'!$A81,'13.mell_ÖNKfeladatok2020'!X$5:X$159)</f>
        <v>0</v>
      </c>
      <c r="F81" s="543">
        <f>+SUMIF('13.mell_ÖNKfeladatok2020'!$B$5:$B$159,'14.mell_Önk kiegészítés2020'!$A81,'13.mell_ÖNKfeladatok2020'!AB$5:AB$159)</f>
        <v>0</v>
      </c>
      <c r="G81" s="540">
        <f>+SUMIF('13.mell_ÖNKfeladatok2020'!$B$5:$B$159,'14.mell_Önk kiegészítés2020'!$A81,'13.mell_ÖNKfeladatok2020'!AJ$5:AJ$159)</f>
        <v>0</v>
      </c>
      <c r="H81" s="543">
        <f>+SUMIF('13.mell_ÖNKfeladatok2020'!$B$5:$B$159,'14.mell_Önk kiegészítés2020'!$A81,'13.mell_ÖNKfeladatok2020'!AN$5:AN$159)</f>
        <v>0</v>
      </c>
      <c r="I81" s="543">
        <f>+SUMIF('13.mell_ÖNKfeladatok2020'!$B$5:$B$159,'14.mell_Önk kiegészítés2020'!$A81,'13.mell_ÖNKfeladatok2020'!AR$5:AR$159)</f>
        <v>0</v>
      </c>
      <c r="J81" s="582">
        <f>SUM(C81:I81)</f>
        <v>0</v>
      </c>
      <c r="K81" s="543">
        <f>+SUMIF('13.mell_ÖNKfeladatok2020'!$B$167:$B$321,'14.mell_Önk kiegészítés2020'!$A81,'13.mell_ÖNKfeladatok2020'!P$167:P$321)</f>
        <v>0</v>
      </c>
      <c r="L81" s="543">
        <f>+SUMIF('13.mell_ÖNKfeladatok2020'!$B$167:$B$321,'14.mell_Önk kiegészítés2020'!$A81,'13.mell_ÖNKfeladatok2020'!T$167:T$321)</f>
        <v>0</v>
      </c>
      <c r="M81" s="543">
        <f>+SUMIF('13.mell_ÖNKfeladatok2020'!$B$167:$B$321,'14.mell_Önk kiegészítés2020'!$A81,'13.mell_ÖNKfeladatok2020'!X$167:X$321)</f>
        <v>11899</v>
      </c>
      <c r="N81" s="543">
        <f>+SUMIF('13.mell_ÖNKfeladatok2020'!$B$167:$B$321,'14.mell_Önk kiegészítés2020'!$A81,'13.mell_ÖNKfeladatok2020'!AB$167:AB$321)</f>
        <v>0</v>
      </c>
      <c r="O81" s="543">
        <f>+SUMIF('13.mell_ÖNKfeladatok2020'!$B$167:$B$321,'14.mell_Önk kiegészítés2020'!$A81,'13.mell_ÖNKfeladatok2020'!AF$167:AF$321)</f>
        <v>0</v>
      </c>
      <c r="P81" s="543">
        <f>+SUMIF('13.mell_ÖNKfeladatok2020'!$B$167:$B$321,'14.mell_Önk kiegészítés2020'!$A81,'13.mell_ÖNKfeladatok2020'!AN$167:AN$321)</f>
        <v>0</v>
      </c>
      <c r="Q81" s="543">
        <f>+SUMIF('13.mell_ÖNKfeladatok2020'!$B$167:$B$321,'14.mell_Önk kiegészítés2020'!$A81,'13.mell_ÖNKfeladatok2020'!AR$167:AR$321)</f>
        <v>61258</v>
      </c>
      <c r="R81" s="543">
        <f>+SUMIF('13.mell_ÖNKfeladatok2020'!$B$167:$B$321,'14.mell_Önk kiegészítés2020'!$A81,'13.mell_ÖNKfeladatok2020'!AV$167:AV$321)</f>
        <v>0</v>
      </c>
      <c r="S81" s="582">
        <f>SUM(K81:R81)</f>
        <v>73157</v>
      </c>
      <c r="T81" s="544">
        <f>S81-J81</f>
        <v>73157</v>
      </c>
      <c r="U81" s="1100">
        <f>+ROUND(SUMIF('10.mell_támogatások2020'!$B$6:$B$137,'14.mell_Önk kiegészítés2020'!$A81,'10.mell_támogatások2020'!E$6:E$137)/1000,0)</f>
        <v>14918</v>
      </c>
      <c r="V81" s="1080"/>
      <c r="W81" s="544">
        <f t="shared" si="51"/>
        <v>58239</v>
      </c>
    </row>
    <row r="82" spans="1:42">
      <c r="A82" s="826">
        <f>+A81+1</f>
        <v>6</v>
      </c>
      <c r="B82" s="542" t="s">
        <v>1496</v>
      </c>
      <c r="C82" s="543">
        <f>+SUMIF('13.mell_ÖNKfeladatok2020'!$B$5:$B$159,'14.mell_Önk kiegészítés2020'!$A82,'13.mell_ÖNKfeladatok2020'!P$5:P$159)</f>
        <v>0</v>
      </c>
      <c r="D82" s="543">
        <f>+SUMIF('13.mell_ÖNKfeladatok2020'!$B$5:$B$159,'14.mell_Önk kiegészítés2020'!$A82,'13.mell_ÖNKfeladatok2020'!T$5:T$159)</f>
        <v>0</v>
      </c>
      <c r="E82" s="543">
        <f>+SUMIF('13.mell_ÖNKfeladatok2020'!$B$5:$B$159,'14.mell_Önk kiegészítés2020'!$A82,'13.mell_ÖNKfeladatok2020'!X$5:X$159)</f>
        <v>0</v>
      </c>
      <c r="F82" s="543">
        <f>+SUMIF('13.mell_ÖNKfeladatok2020'!$B$5:$B$159,'14.mell_Önk kiegészítés2020'!$A82,'13.mell_ÖNKfeladatok2020'!AB$5:AB$159)</f>
        <v>0</v>
      </c>
      <c r="G82" s="540">
        <f>+SUMIF('13.mell_ÖNKfeladatok2020'!$B$5:$B$159,'14.mell_Önk kiegészítés2020'!$A82,'13.mell_ÖNKfeladatok2020'!AJ$5:AJ$159)</f>
        <v>0</v>
      </c>
      <c r="H82" s="543">
        <f>+SUMIF('13.mell_ÖNKfeladatok2020'!$B$5:$B$159,'14.mell_Önk kiegészítés2020'!$A82,'13.mell_ÖNKfeladatok2020'!AN$5:AN$159)</f>
        <v>0</v>
      </c>
      <c r="I82" s="543">
        <f>+SUMIF('13.mell_ÖNKfeladatok2020'!$B$5:$B$159,'14.mell_Önk kiegészítés2020'!$A82,'13.mell_ÖNKfeladatok2020'!AR$5:AR$159)</f>
        <v>0</v>
      </c>
      <c r="J82" s="582">
        <f t="shared" ref="J82" si="54">SUM(C82:I82)</f>
        <v>0</v>
      </c>
      <c r="K82" s="543">
        <f>+SUMIF('13.mell_ÖNKfeladatok2020'!$B$167:$B$321,'14.mell_Önk kiegészítés2020'!$A82,'13.mell_ÖNKfeladatok2020'!P$167:P$321)</f>
        <v>0</v>
      </c>
      <c r="L82" s="543">
        <f>+SUMIF('13.mell_ÖNKfeladatok2020'!$B$167:$B$321,'14.mell_Önk kiegészítés2020'!$A82,'13.mell_ÖNKfeladatok2020'!T$167:T$321)</f>
        <v>0</v>
      </c>
      <c r="M82" s="543">
        <f>+SUMIF('13.mell_ÖNKfeladatok2020'!$B$167:$B$321,'14.mell_Önk kiegészítés2020'!$A82,'13.mell_ÖNKfeladatok2020'!X$167:X$321)</f>
        <v>0</v>
      </c>
      <c r="N82" s="543">
        <f>+SUMIF('13.mell_ÖNKfeladatok2020'!$B$167:$B$321,'14.mell_Önk kiegészítés2020'!$A82,'13.mell_ÖNKfeladatok2020'!AB$167:AB$321)</f>
        <v>49355</v>
      </c>
      <c r="O82" s="543">
        <f>+SUMIF('13.mell_ÖNKfeladatok2020'!$B$167:$B$321,'14.mell_Önk kiegészítés2020'!$A82,'13.mell_ÖNKfeladatok2020'!AF$167:AF$321)</f>
        <v>0</v>
      </c>
      <c r="P82" s="543">
        <f>+SUMIF('13.mell_ÖNKfeladatok2020'!$B$167:$B$321,'14.mell_Önk kiegészítés2020'!$A82,'13.mell_ÖNKfeladatok2020'!AN$167:AN$321)</f>
        <v>4500</v>
      </c>
      <c r="Q82" s="543">
        <f>+SUMIF('13.mell_ÖNKfeladatok2020'!$B$167:$B$321,'14.mell_Önk kiegészítés2020'!$A82,'13.mell_ÖNKfeladatok2020'!AR$167:AR$321)</f>
        <v>0</v>
      </c>
      <c r="R82" s="543">
        <f>+SUMIF('13.mell_ÖNKfeladatok2020'!$B$167:$B$321,'14.mell_Önk kiegészítés2020'!$A82,'13.mell_ÖNKfeladatok2020'!AV$167:AV$321)</f>
        <v>0</v>
      </c>
      <c r="S82" s="582">
        <f t="shared" ref="S82" si="55">SUM(K82:R82)</f>
        <v>53855</v>
      </c>
      <c r="T82" s="544">
        <f t="shared" ref="T82" si="56">S82-J82</f>
        <v>53855</v>
      </c>
      <c r="U82" s="1100">
        <f>+ROUND(SUMIF('10.mell_támogatások2020'!$B$6:$B$137,'14.mell_Önk kiegészítés2020'!$A82,'10.mell_támogatások2020'!E$6:E$137)/1000,0)</f>
        <v>122456</v>
      </c>
      <c r="V82" s="1080"/>
      <c r="W82" s="544">
        <f t="shared" si="51"/>
        <v>-68601</v>
      </c>
      <c r="Y82" s="880">
        <f>+W82+W86+W106+W107+W133-W106+(13319-3355)-39+8300</f>
        <v>-29535</v>
      </c>
      <c r="Z82" s="262" t="s">
        <v>1313</v>
      </c>
    </row>
    <row r="83" spans="1:42">
      <c r="A83" s="826">
        <f>A82+1</f>
        <v>7</v>
      </c>
      <c r="B83" s="542" t="s">
        <v>774</v>
      </c>
      <c r="C83" s="543">
        <f>+SUMIF('13.mell_ÖNKfeladatok2020'!$B$5:$B$159,'14.mell_Önk kiegészítés2020'!$A83,'13.mell_ÖNKfeladatok2020'!P$5:P$159)</f>
        <v>0</v>
      </c>
      <c r="D83" s="543">
        <f>+SUMIF('13.mell_ÖNKfeladatok2020'!$B$5:$B$159,'14.mell_Önk kiegészítés2020'!$A83,'13.mell_ÖNKfeladatok2020'!T$5:T$159)</f>
        <v>0</v>
      </c>
      <c r="E83" s="543">
        <f>+SUMIF('13.mell_ÖNKfeladatok2020'!$B$5:$B$159,'14.mell_Önk kiegészítés2020'!$A83,'13.mell_ÖNKfeladatok2020'!X$5:X$159)</f>
        <v>0</v>
      </c>
      <c r="F83" s="543">
        <f>+SUMIF('13.mell_ÖNKfeladatok2020'!$B$5:$B$159,'14.mell_Önk kiegészítés2020'!$A83,'13.mell_ÖNKfeladatok2020'!AB$5:AB$159)</f>
        <v>0</v>
      </c>
      <c r="G83" s="540">
        <f>+SUMIF('13.mell_ÖNKfeladatok2020'!$B$5:$B$159,'14.mell_Önk kiegészítés2020'!$A83,'13.mell_ÖNKfeladatok2020'!AJ$5:AJ$159)</f>
        <v>0</v>
      </c>
      <c r="H83" s="543">
        <f>+SUMIF('13.mell_ÖNKfeladatok2020'!$B$5:$B$159,'14.mell_Önk kiegészítés2020'!$A83,'13.mell_ÖNKfeladatok2020'!AN$5:AN$159)</f>
        <v>0</v>
      </c>
      <c r="I83" s="543">
        <f>+SUMIF('13.mell_ÖNKfeladatok2020'!$B$5:$B$159,'14.mell_Önk kiegészítés2020'!$A83,'13.mell_ÖNKfeladatok2020'!AR$5:AR$159)</f>
        <v>0</v>
      </c>
      <c r="J83" s="582">
        <f>SUM(C83:I83)</f>
        <v>0</v>
      </c>
      <c r="K83" s="543">
        <f>+SUMIF('13.mell_ÖNKfeladatok2020'!$B$167:$B$321,'14.mell_Önk kiegészítés2020'!$A83,'13.mell_ÖNKfeladatok2020'!P$167:P$321)</f>
        <v>0</v>
      </c>
      <c r="L83" s="543">
        <f>+SUMIF('13.mell_ÖNKfeladatok2020'!$B$167:$B$321,'14.mell_Önk kiegészítés2020'!$A83,'13.mell_ÖNKfeladatok2020'!T$167:T$321)</f>
        <v>0</v>
      </c>
      <c r="M83" s="543">
        <f>+SUMIF('13.mell_ÖNKfeladatok2020'!$B$167:$B$321,'14.mell_Önk kiegészítés2020'!$A83,'13.mell_ÖNKfeladatok2020'!X$167:X$321)</f>
        <v>0</v>
      </c>
      <c r="N83" s="543">
        <f>+SUMIF('13.mell_ÖNKfeladatok2020'!$B$167:$B$321,'14.mell_Önk kiegészítés2020'!$A83,'13.mell_ÖNKfeladatok2020'!AB$167:AB$321)</f>
        <v>0</v>
      </c>
      <c r="O83" s="543">
        <f>+SUMIF('13.mell_ÖNKfeladatok2020'!$B$167:$B$321,'14.mell_Önk kiegészítés2020'!$A83,'13.mell_ÖNKfeladatok2020'!AF$167:AF$321)</f>
        <v>0</v>
      </c>
      <c r="P83" s="543">
        <f>+SUMIF('13.mell_ÖNKfeladatok2020'!$B$167:$B$321,'14.mell_Önk kiegészítés2020'!$A83,'13.mell_ÖNKfeladatok2020'!AN$167:AN$321)</f>
        <v>0</v>
      </c>
      <c r="Q83" s="543">
        <f>+SUMIF('13.mell_ÖNKfeladatok2020'!$B$167:$B$321,'14.mell_Önk kiegészítés2020'!$A83,'13.mell_ÖNKfeladatok2020'!AR$167:AR$321)</f>
        <v>0</v>
      </c>
      <c r="R83" s="543">
        <f>+SUMIF('13.mell_ÖNKfeladatok2020'!$B$167:$B$321,'14.mell_Önk kiegészítés2020'!$A83,'13.mell_ÖNKfeladatok2020'!AV$167:AV$321)</f>
        <v>0</v>
      </c>
      <c r="S83" s="582">
        <f>SUM(K83:R83)</f>
        <v>0</v>
      </c>
      <c r="T83" s="544">
        <f>S83-J83</f>
        <v>0</v>
      </c>
      <c r="U83" s="1101">
        <f>+ROUND(SUMIF('10.mell_támogatások2020'!$B$6:$B$137,'14.mell_Önk kiegészítés2020'!$A83,'10.mell_támogatások2020'!E$6:E$137)/1000,0)</f>
        <v>0</v>
      </c>
      <c r="V83" s="1081"/>
      <c r="W83" s="544">
        <f t="shared" si="51"/>
        <v>0</v>
      </c>
    </row>
    <row r="84" spans="1:42" ht="12.75" thickBot="1">
      <c r="A84" s="826">
        <f>+A83+1</f>
        <v>8</v>
      </c>
      <c r="B84" s="545" t="s">
        <v>757</v>
      </c>
      <c r="C84" s="543">
        <f>+SUMIF('13.mell_ÖNKfeladatok2020'!$B$5:$B$159,'14.mell_Önk kiegészítés2020'!$A84,'13.mell_ÖNKfeladatok2020'!P$5:P$159)</f>
        <v>1182045</v>
      </c>
      <c r="D84" s="546">
        <f>+SUMIF('13.mell_ÖNKfeladatok2020'!$B$5:$B$159,'14.mell_Önk kiegészítés2020'!$A84,'13.mell_ÖNKfeladatok2020'!T$5:T$159)</f>
        <v>347952</v>
      </c>
      <c r="E84" s="546">
        <f>+SUMIF('13.mell_ÖNKfeladatok2020'!$B$5:$B$159,'14.mell_Önk kiegészítés2020'!$A84,'13.mell_ÖNKfeladatok2020'!X$5:X$159)</f>
        <v>121738</v>
      </c>
      <c r="F84" s="546">
        <f>+SUMIF('13.mell_ÖNKfeladatok2020'!$B$5:$B$159,'14.mell_Önk kiegészítés2020'!$A84,'13.mell_ÖNKfeladatok2020'!AB$5:AB$159)</f>
        <v>5490</v>
      </c>
      <c r="G84" s="540">
        <f>+SUMIF('13.mell_ÖNKfeladatok2020'!$B$5:$B$159,'14.mell_Önk kiegészítés2020'!$A84,'13.mell_ÖNKfeladatok2020'!AJ$5:AJ$159)</f>
        <v>32276</v>
      </c>
      <c r="H84" s="546">
        <f>+SUMIF('13.mell_ÖNKfeladatok2020'!$B$5:$B$159,'14.mell_Önk kiegészítés2020'!$A84,'13.mell_ÖNKfeladatok2020'!AN$5:AN$159)</f>
        <v>40350</v>
      </c>
      <c r="I84" s="546">
        <f>+SUMIF('13.mell_ÖNKfeladatok2020'!$B$5:$B$159,'14.mell_Önk kiegészítés2020'!$A84,'13.mell_ÖNKfeladatok2020'!AR$5:AR$159)</f>
        <v>0</v>
      </c>
      <c r="J84" s="582">
        <f t="shared" ref="J84" si="57">SUM(C84:I84)</f>
        <v>1729851</v>
      </c>
      <c r="K84" s="543">
        <f>+SUMIF('13.mell_ÖNKfeladatok2020'!$B$167:$B$321,'14.mell_Önk kiegészítés2020'!$A84,'13.mell_ÖNKfeladatok2020'!P$167:P$321)</f>
        <v>120139</v>
      </c>
      <c r="L84" s="543">
        <f>+SUMIF('13.mell_ÖNKfeladatok2020'!$B$167:$B$321,'14.mell_Önk kiegészítés2020'!$A84,'13.mell_ÖNKfeladatok2020'!T$167:T$321)</f>
        <v>12359</v>
      </c>
      <c r="M84" s="543">
        <f>+SUMIF('13.mell_ÖNKfeladatok2020'!$B$167:$B$321,'14.mell_Önk kiegészítés2020'!$A84,'13.mell_ÖNKfeladatok2020'!X$167:X$321)</f>
        <v>126908</v>
      </c>
      <c r="N84" s="543">
        <f>+SUMIF('13.mell_ÖNKfeladatok2020'!$B$167:$B$321,'14.mell_Önk kiegészítés2020'!$A84,'13.mell_ÖNKfeladatok2020'!AB$167:AB$321)</f>
        <v>0</v>
      </c>
      <c r="O84" s="543">
        <f>+SUMIF('13.mell_ÖNKfeladatok2020'!$B$167:$B$321,'14.mell_Önk kiegészítés2020'!$A84,'13.mell_ÖNKfeladatok2020'!AF$167:AF$321)</f>
        <v>3180376</v>
      </c>
      <c r="P84" s="543">
        <f>+SUMIF('13.mell_ÖNKfeladatok2020'!$B$167:$B$321,'14.mell_Önk kiegészítés2020'!$A84,'13.mell_ÖNKfeladatok2020'!AN$167:AN$321)</f>
        <v>91500</v>
      </c>
      <c r="Q84" s="543">
        <f>+SUMIF('13.mell_ÖNKfeladatok2020'!$B$167:$B$321,'14.mell_Önk kiegészítés2020'!$A84,'13.mell_ÖNKfeladatok2020'!AR$167:AR$321)</f>
        <v>0</v>
      </c>
      <c r="R84" s="543">
        <f>+SUMIF('13.mell_ÖNKfeladatok2020'!$B$167:$B$321,'14.mell_Önk kiegészítés2020'!$A84,'13.mell_ÖNKfeladatok2020'!AV$167:AV$321)</f>
        <v>0</v>
      </c>
      <c r="S84" s="582">
        <f t="shared" ref="S84" si="58">SUM(K84:R84)</f>
        <v>3531282</v>
      </c>
      <c r="T84" s="544">
        <f t="shared" ref="T84" si="59">S84-J84</f>
        <v>1801431</v>
      </c>
      <c r="U84" s="1101">
        <f>-ROUND('10.mell_támogatások2020'!E$137/1000,0)+ROUND(SUMIF('10.mell_támogatások2020'!$B$6:$B$137,'14.mell_Önk kiegészítés2020'!$A84,'10.mell_támogatások2020'!E$6:E$137)/1000,0)</f>
        <v>-801005</v>
      </c>
      <c r="V84" s="1081">
        <f>2845803-33049-10024-310+61637</f>
        <v>2864057</v>
      </c>
      <c r="W84" s="544">
        <f t="shared" si="51"/>
        <v>-261621</v>
      </c>
      <c r="AC84" s="262">
        <v>2845803</v>
      </c>
      <c r="AE84" s="262">
        <f>-26419-6630</f>
        <v>-33049</v>
      </c>
      <c r="AF84" s="262">
        <v>-10024</v>
      </c>
      <c r="AG84" s="262">
        <v>-310</v>
      </c>
      <c r="AI84" s="262">
        <f>11933+6559+43145</f>
        <v>61637</v>
      </c>
    </row>
    <row r="85" spans="1:42" s="535" customFormat="1" ht="12.75" thickBot="1">
      <c r="A85" s="547" t="s">
        <v>587</v>
      </c>
      <c r="B85" s="548" t="s">
        <v>410</v>
      </c>
      <c r="C85" s="549">
        <f>SUM(C77:C84)</f>
        <v>1182045</v>
      </c>
      <c r="D85" s="550">
        <f t="shared" ref="D85:W85" si="60">SUM(D77:D84)</f>
        <v>347952</v>
      </c>
      <c r="E85" s="550">
        <f t="shared" si="60"/>
        <v>123238</v>
      </c>
      <c r="F85" s="550">
        <f t="shared" si="60"/>
        <v>5490</v>
      </c>
      <c r="G85" s="550">
        <f t="shared" si="60"/>
        <v>32276</v>
      </c>
      <c r="H85" s="550">
        <f t="shared" si="60"/>
        <v>40350</v>
      </c>
      <c r="I85" s="551">
        <f t="shared" si="60"/>
        <v>0</v>
      </c>
      <c r="J85" s="552">
        <f t="shared" si="60"/>
        <v>1731351</v>
      </c>
      <c r="K85" s="549">
        <f t="shared" si="60"/>
        <v>163191</v>
      </c>
      <c r="L85" s="549">
        <f t="shared" si="60"/>
        <v>19078</v>
      </c>
      <c r="M85" s="549">
        <f t="shared" si="60"/>
        <v>180165</v>
      </c>
      <c r="N85" s="549">
        <f t="shared" si="60"/>
        <v>49355</v>
      </c>
      <c r="O85" s="549">
        <f t="shared" si="60"/>
        <v>3180376</v>
      </c>
      <c r="P85" s="549">
        <f t="shared" si="60"/>
        <v>103000</v>
      </c>
      <c r="Q85" s="549">
        <f t="shared" si="60"/>
        <v>61258</v>
      </c>
      <c r="R85" s="549">
        <f t="shared" si="60"/>
        <v>0</v>
      </c>
      <c r="S85" s="552">
        <f t="shared" si="60"/>
        <v>3756423</v>
      </c>
      <c r="T85" s="552">
        <f t="shared" si="60"/>
        <v>2025072</v>
      </c>
      <c r="U85" s="1102">
        <f t="shared" si="60"/>
        <v>-616511</v>
      </c>
      <c r="V85" s="553">
        <f t="shared" si="60"/>
        <v>2877987</v>
      </c>
      <c r="W85" s="552">
        <f t="shared" si="60"/>
        <v>-236404</v>
      </c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</row>
    <row r="86" spans="1:42" ht="12.75">
      <c r="A86" s="826">
        <f>+A84+1</f>
        <v>9</v>
      </c>
      <c r="B86" s="545" t="s">
        <v>772</v>
      </c>
      <c r="C86" s="546">
        <f>+SUMIF('13.mell_ÖNKfeladatok2020'!$B$5:$B$159,'14.mell_Önk kiegészítés2020'!$A86,'13.mell_ÖNKfeladatok2020'!P$5:P$159)</f>
        <v>0</v>
      </c>
      <c r="D86" s="546">
        <f>+SUMIF('13.mell_ÖNKfeladatok2020'!$B$5:$B$159,'14.mell_Önk kiegészítés2020'!$A86,'13.mell_ÖNKfeladatok2020'!T$5:T$159)</f>
        <v>0</v>
      </c>
      <c r="E86" s="546">
        <f>+SUMIF('13.mell_ÖNKfeladatok2020'!$B$5:$B$159,'14.mell_Önk kiegészítés2020'!$A86,'13.mell_ÖNKfeladatok2020'!X$5:X$159)</f>
        <v>0</v>
      </c>
      <c r="F86" s="546">
        <f>+SUMIF('13.mell_ÖNKfeladatok2020'!$B$5:$B$159,'14.mell_Önk kiegészítés2020'!$A86,'13.mell_ÖNKfeladatok2020'!AB$5:AB$159)</f>
        <v>0</v>
      </c>
      <c r="G86" s="546">
        <f>+SUMIF('13.mell_ÖNKfeladatok2020'!$B$5:$B$159,'14.mell_Önk kiegészítés2020'!$A86,'13.mell_ÖNKfeladatok2020'!AJ$5:AJ$159)</f>
        <v>0</v>
      </c>
      <c r="H86" s="546">
        <f>+SUMIF('13.mell_ÖNKfeladatok2020'!$B$5:$B$159,'14.mell_Önk kiegészítés2020'!$A86,'13.mell_ÖNKfeladatok2020'!AN$5:AN$159)</f>
        <v>0</v>
      </c>
      <c r="I86" s="546">
        <f>+SUMIF('13.mell_ÖNKfeladatok2020'!$B$5:$B$159,'14.mell_Önk kiegészítés2020'!$A86,'13.mell_ÖNKfeladatok2020'!AR$5:AR$159)</f>
        <v>0</v>
      </c>
      <c r="J86" s="583">
        <f>SUM(C86:I86)</f>
        <v>0</v>
      </c>
      <c r="K86" s="543">
        <f>+SUMIF('13.mell_ÖNKfeladatok2020'!$B$167:$B$321,'14.mell_Önk kiegészítés2020'!$A86,'13.mell_ÖNKfeladatok2020'!P$167:P$321)</f>
        <v>0</v>
      </c>
      <c r="L86" s="543">
        <f>+SUMIF('13.mell_ÖNKfeladatok2020'!$B$167:$B$321,'14.mell_Önk kiegészítés2020'!$A86,'13.mell_ÖNKfeladatok2020'!T$167:T$321)</f>
        <v>0</v>
      </c>
      <c r="M86" s="543">
        <f>+SUMIF('13.mell_ÖNKfeladatok2020'!$B$167:$B$321,'14.mell_Önk kiegészítés2020'!$A86,'13.mell_ÖNKfeladatok2020'!X$167:X$321)</f>
        <v>0</v>
      </c>
      <c r="N86" s="543">
        <f>+SUMIF('13.mell_ÖNKfeladatok2020'!$B$167:$B$321,'14.mell_Önk kiegészítés2020'!$A86,'13.mell_ÖNKfeladatok2020'!AB$167:AB$321)</f>
        <v>3424</v>
      </c>
      <c r="O86" s="543">
        <f>+SUMIF('13.mell_ÖNKfeladatok2020'!$B$167:$B$321,'14.mell_Önk kiegészítés2020'!$A86,'13.mell_ÖNKfeladatok2020'!AF$167:AF$321)</f>
        <v>0</v>
      </c>
      <c r="P86" s="543">
        <f>+SUMIF('13.mell_ÖNKfeladatok2020'!$B$167:$B$321,'14.mell_Önk kiegészítés2020'!$A86,'13.mell_ÖNKfeladatok2020'!AN$167:AN$321)</f>
        <v>0</v>
      </c>
      <c r="Q86" s="543">
        <f>+SUMIF('13.mell_ÖNKfeladatok2020'!$B$167:$B$321,'14.mell_Önk kiegészítés2020'!$A86,'13.mell_ÖNKfeladatok2020'!AR$167:AR$321)</f>
        <v>0</v>
      </c>
      <c r="R86" s="543">
        <f>+SUMIF('13.mell_ÖNKfeladatok2020'!$B$167:$B$321,'14.mell_Önk kiegészítés2020'!$A86,'13.mell_ÖNKfeladatok2020'!AV$167:AV$321)</f>
        <v>0</v>
      </c>
      <c r="S86" s="582">
        <f>SUM(K86:R86)</f>
        <v>3424</v>
      </c>
      <c r="T86" s="544">
        <f>S86-J86</f>
        <v>3424</v>
      </c>
      <c r="U86" s="1103">
        <f>+ROUND(SUMIF('10.mell_támogatások2020'!$B$6:$B$137,'14.mell_Önk kiegészítés2020'!$A86,'10.mell_támogatások2020'!E$6:E$137)/1000,0)</f>
        <v>0</v>
      </c>
      <c r="V86" s="1082"/>
      <c r="W86" s="544">
        <f t="shared" ref="W86:W87" si="61">+T86-U86-V86</f>
        <v>3424</v>
      </c>
    </row>
    <row r="87" spans="1:42" ht="12.75" thickBot="1">
      <c r="A87" s="826">
        <f>+A86+1</f>
        <v>10</v>
      </c>
      <c r="B87" s="545" t="s">
        <v>758</v>
      </c>
      <c r="C87" s="546">
        <f>+SUMIF('13.mell_ÖNKfeladatok2020'!$B$5:$B$159,'14.mell_Önk kiegészítés2020'!$A87,'13.mell_ÖNKfeladatok2020'!P$5:P$159)</f>
        <v>0</v>
      </c>
      <c r="D87" s="546">
        <f>+SUMIF('13.mell_ÖNKfeladatok2020'!$B$5:$B$159,'14.mell_Önk kiegészítés2020'!$A87,'13.mell_ÖNKfeladatok2020'!T$5:T$159)</f>
        <v>0</v>
      </c>
      <c r="E87" s="546">
        <f>+SUMIF('13.mell_ÖNKfeladatok2020'!$B$5:$B$159,'14.mell_Önk kiegészítés2020'!$A87,'13.mell_ÖNKfeladatok2020'!X$5:X$159)</f>
        <v>0</v>
      </c>
      <c r="F87" s="546">
        <f>+SUMIF('13.mell_ÖNKfeladatok2020'!$B$5:$B$159,'14.mell_Önk kiegészítés2020'!$A87,'13.mell_ÖNKfeladatok2020'!AB$5:AB$159)</f>
        <v>0</v>
      </c>
      <c r="G87" s="546">
        <f>+SUMIF('13.mell_ÖNKfeladatok2020'!$B$5:$B$159,'14.mell_Önk kiegészítés2020'!$A87,'13.mell_ÖNKfeladatok2020'!AJ$5:AJ$159)</f>
        <v>0</v>
      </c>
      <c r="H87" s="546">
        <f>+SUMIF('13.mell_ÖNKfeladatok2020'!$B$5:$B$159,'14.mell_Önk kiegészítés2020'!$A87,'13.mell_ÖNKfeladatok2020'!AN$5:AN$159)</f>
        <v>0</v>
      </c>
      <c r="I87" s="546">
        <f>+SUMIF('13.mell_ÖNKfeladatok2020'!$B$5:$B$159,'14.mell_Önk kiegészítés2020'!$A87,'13.mell_ÖNKfeladatok2020'!AR$5:AR$159)</f>
        <v>1100</v>
      </c>
      <c r="J87" s="583">
        <f t="shared" ref="J87" si="62">SUM(C87:I87)</f>
        <v>1100</v>
      </c>
      <c r="K87" s="543">
        <f>+SUMIF('13.mell_ÖNKfeladatok2020'!$B$167:$B$321,'14.mell_Önk kiegészítés2020'!$A87,'13.mell_ÖNKfeladatok2020'!P$167:P$321)</f>
        <v>0</v>
      </c>
      <c r="L87" s="543">
        <f>+SUMIF('13.mell_ÖNKfeladatok2020'!$B$167:$B$321,'14.mell_Önk kiegészítés2020'!$A87,'13.mell_ÖNKfeladatok2020'!T$167:T$321)</f>
        <v>0</v>
      </c>
      <c r="M87" s="543">
        <f>+SUMIF('13.mell_ÖNKfeladatok2020'!$B$167:$B$321,'14.mell_Önk kiegészítés2020'!$A87,'13.mell_ÖNKfeladatok2020'!X$167:X$321)</f>
        <v>2000</v>
      </c>
      <c r="N87" s="543">
        <f>+SUMIF('13.mell_ÖNKfeladatok2020'!$B$167:$B$321,'14.mell_Önk kiegészítés2020'!$A87,'13.mell_ÖNKfeladatok2020'!AB$167:AB$321)</f>
        <v>0</v>
      </c>
      <c r="O87" s="543">
        <f>+SUMIF('13.mell_ÖNKfeladatok2020'!$B$167:$B$321,'14.mell_Önk kiegészítés2020'!$A87,'13.mell_ÖNKfeladatok2020'!AF$167:AF$321)</f>
        <v>1000</v>
      </c>
      <c r="P87" s="543">
        <f>+SUMIF('13.mell_ÖNKfeladatok2020'!$B$167:$B$321,'14.mell_Önk kiegészítés2020'!$A87,'13.mell_ÖNKfeladatok2020'!AN$167:AN$321)</f>
        <v>345250</v>
      </c>
      <c r="Q87" s="543">
        <f>+SUMIF('13.mell_ÖNKfeladatok2020'!$B$167:$B$321,'14.mell_Önk kiegészítés2020'!$A87,'13.mell_ÖNKfeladatok2020'!AR$167:AR$321)</f>
        <v>0</v>
      </c>
      <c r="R87" s="543">
        <f>+SUMIF('13.mell_ÖNKfeladatok2020'!$B$167:$B$321,'14.mell_Önk kiegészítés2020'!$A87,'13.mell_ÖNKfeladatok2020'!AV$167:AV$321)</f>
        <v>0</v>
      </c>
      <c r="S87" s="582">
        <f>SUM(K87:R87)</f>
        <v>348250</v>
      </c>
      <c r="T87" s="544">
        <f t="shared" ref="T87" si="63">S87-J87</f>
        <v>347150</v>
      </c>
      <c r="U87" s="1101">
        <f>+ROUND(SUMIF('10.mell_támogatások2020'!$B$6:$B$137,'14.mell_Önk kiegészítés2020'!$A87,'10.mell_támogatások2020'!E$6:E$137)/1000,0)</f>
        <v>0</v>
      </c>
      <c r="V87" s="1081"/>
      <c r="W87" s="544">
        <f t="shared" si="61"/>
        <v>347150</v>
      </c>
    </row>
    <row r="88" spans="1:42" s="535" customFormat="1" ht="12.75" thickBot="1">
      <c r="A88" s="547" t="s">
        <v>588</v>
      </c>
      <c r="B88" s="548" t="s">
        <v>411</v>
      </c>
      <c r="C88" s="549">
        <f t="shared" ref="C88:U88" si="64">SUM(C86:C87)</f>
        <v>0</v>
      </c>
      <c r="D88" s="550">
        <f t="shared" si="64"/>
        <v>0</v>
      </c>
      <c r="E88" s="550">
        <f t="shared" si="64"/>
        <v>0</v>
      </c>
      <c r="F88" s="550">
        <f t="shared" si="64"/>
        <v>0</v>
      </c>
      <c r="G88" s="550">
        <f t="shared" si="64"/>
        <v>0</v>
      </c>
      <c r="H88" s="550">
        <f t="shared" si="64"/>
        <v>0</v>
      </c>
      <c r="I88" s="553">
        <f t="shared" si="64"/>
        <v>1100</v>
      </c>
      <c r="J88" s="552">
        <f t="shared" si="64"/>
        <v>1100</v>
      </c>
      <c r="K88" s="549">
        <f t="shared" si="64"/>
        <v>0</v>
      </c>
      <c r="L88" s="549">
        <f t="shared" si="64"/>
        <v>0</v>
      </c>
      <c r="M88" s="549">
        <f t="shared" si="64"/>
        <v>2000</v>
      </c>
      <c r="N88" s="549">
        <f t="shared" si="64"/>
        <v>3424</v>
      </c>
      <c r="O88" s="549">
        <f t="shared" si="64"/>
        <v>1000</v>
      </c>
      <c r="P88" s="549">
        <f t="shared" si="64"/>
        <v>345250</v>
      </c>
      <c r="Q88" s="549">
        <f t="shared" si="64"/>
        <v>0</v>
      </c>
      <c r="R88" s="549">
        <f t="shared" si="64"/>
        <v>0</v>
      </c>
      <c r="S88" s="552">
        <f t="shared" si="64"/>
        <v>351674</v>
      </c>
      <c r="T88" s="552">
        <f t="shared" si="64"/>
        <v>350574</v>
      </c>
      <c r="U88" s="1102">
        <f t="shared" si="64"/>
        <v>0</v>
      </c>
      <c r="V88" s="553">
        <f t="shared" ref="V88" si="65">SUM(V86:V87)</f>
        <v>0</v>
      </c>
      <c r="W88" s="552">
        <f t="shared" ref="W88" si="66">SUM(W86:W87)</f>
        <v>350574</v>
      </c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</row>
    <row r="89" spans="1:42" ht="12.75" thickBot="1">
      <c r="A89" s="826">
        <f>+A87+1</f>
        <v>11</v>
      </c>
      <c r="B89" s="554" t="s">
        <v>412</v>
      </c>
      <c r="C89" s="555">
        <f>+SUMIF('13.mell_ÖNKfeladatok2020'!$B$5:$B$159,'14.mell_Önk kiegészítés2020'!$A89,'13.mell_ÖNKfeladatok2020'!P$5:P$159)</f>
        <v>0</v>
      </c>
      <c r="D89" s="555">
        <f>+SUMIF('13.mell_ÖNKfeladatok2020'!$B$5:$B$159,'14.mell_Önk kiegészítés2020'!$A89,'13.mell_ÖNKfeladatok2020'!T$5:T$159)</f>
        <v>0</v>
      </c>
      <c r="E89" s="555">
        <f>+SUMIF('13.mell_ÖNKfeladatok2020'!$B$5:$B$159,'14.mell_Önk kiegészítés2020'!$A89,'13.mell_ÖNKfeladatok2020'!X$5:X$159)</f>
        <v>0</v>
      </c>
      <c r="F89" s="555">
        <f>+SUMIF('13.mell_ÖNKfeladatok2020'!$B$5:$B$159,'14.mell_Önk kiegészítés2020'!$A89,'13.mell_ÖNKfeladatok2020'!AB$5:AB$159)</f>
        <v>0</v>
      </c>
      <c r="G89" s="555">
        <f>+SUMIF('13.mell_ÖNKfeladatok2020'!$B$5:$B$159,'14.mell_Önk kiegészítés2020'!$A89,'13.mell_ÖNKfeladatok2020'!AJ$5:AJ$159)</f>
        <v>0</v>
      </c>
      <c r="H89" s="555">
        <f>+SUMIF('13.mell_ÖNKfeladatok2020'!$B$5:$B$159,'14.mell_Önk kiegészítés2020'!$A89,'13.mell_ÖNKfeladatok2020'!AN$5:AN$159)</f>
        <v>0</v>
      </c>
      <c r="I89" s="555">
        <f>+SUMIF('13.mell_ÖNKfeladatok2020'!$B$5:$B$159,'14.mell_Önk kiegészítés2020'!$A89,'13.mell_ÖNKfeladatok2020'!AR$5:AR$159)</f>
        <v>0</v>
      </c>
      <c r="J89" s="584">
        <f t="shared" ref="J89" si="67">SUM(C89:I89)</f>
        <v>0</v>
      </c>
      <c r="K89" s="543">
        <f>+SUMIF('13.mell_ÖNKfeladatok2020'!$B$167:$B$321,'14.mell_Önk kiegészítés2020'!$A89,'13.mell_ÖNKfeladatok2020'!P$167:P$321)</f>
        <v>0</v>
      </c>
      <c r="L89" s="543">
        <f>+SUMIF('13.mell_ÖNKfeladatok2020'!$B$167:$B$321,'14.mell_Önk kiegészítés2020'!$A89,'13.mell_ÖNKfeladatok2020'!T$167:T$321)</f>
        <v>0</v>
      </c>
      <c r="M89" s="543">
        <f>+SUMIF('13.mell_ÖNKfeladatok2020'!$B$167:$B$321,'14.mell_Önk kiegészítés2020'!$A89,'13.mell_ÖNKfeladatok2020'!X$167:X$321)</f>
        <v>0</v>
      </c>
      <c r="N89" s="543">
        <f>+SUMIF('13.mell_ÖNKfeladatok2020'!$B$167:$B$321,'14.mell_Önk kiegészítés2020'!$A89,'13.mell_ÖNKfeladatok2020'!AB$167:AB$321)</f>
        <v>0</v>
      </c>
      <c r="O89" s="543">
        <f>+SUMIF('13.mell_ÖNKfeladatok2020'!$B$167:$B$321,'14.mell_Önk kiegészítés2020'!$A89,'13.mell_ÖNKfeladatok2020'!AF$167:AF$321)</f>
        <v>0</v>
      </c>
      <c r="P89" s="543">
        <f>+SUMIF('13.mell_ÖNKfeladatok2020'!$B$167:$B$321,'14.mell_Önk kiegészítés2020'!$A89,'13.mell_ÖNKfeladatok2020'!AN$167:AN$321)</f>
        <v>0</v>
      </c>
      <c r="Q89" s="543">
        <f>+SUMIF('13.mell_ÖNKfeladatok2020'!$B$167:$B$321,'14.mell_Önk kiegészítés2020'!$A89,'13.mell_ÖNKfeladatok2020'!AR$167:AR$321)</f>
        <v>0</v>
      </c>
      <c r="R89" s="543">
        <f>+SUMIF('13.mell_ÖNKfeladatok2020'!$B$167:$B$321,'14.mell_Önk kiegészítés2020'!$A89,'13.mell_ÖNKfeladatok2020'!AV$167:AV$321)</f>
        <v>0</v>
      </c>
      <c r="S89" s="582">
        <f>SUM(K89:R89)</f>
        <v>0</v>
      </c>
      <c r="T89" s="544">
        <f t="shared" ref="T89" si="68">S89-J89</f>
        <v>0</v>
      </c>
      <c r="U89" s="1101">
        <f>+ROUND(SUMIF('10.mell_támogatások2020'!$B$6:$B$137,'14.mell_Önk kiegészítés2020'!$A89,'10.mell_támogatások2020'!E$6:E$137)/1000,0)</f>
        <v>0</v>
      </c>
      <c r="V89" s="1081"/>
      <c r="W89" s="544">
        <f>+T89-U89-V89</f>
        <v>0</v>
      </c>
    </row>
    <row r="90" spans="1:42" s="535" customFormat="1" ht="12.75" thickBot="1">
      <c r="A90" s="547" t="s">
        <v>589</v>
      </c>
      <c r="B90" s="548" t="s">
        <v>412</v>
      </c>
      <c r="C90" s="549">
        <f>SUM(C89)</f>
        <v>0</v>
      </c>
      <c r="D90" s="550">
        <f t="shared" ref="D90:W90" si="69">SUM(D89)</f>
        <v>0</v>
      </c>
      <c r="E90" s="550">
        <f t="shared" si="69"/>
        <v>0</v>
      </c>
      <c r="F90" s="550">
        <f t="shared" si="69"/>
        <v>0</v>
      </c>
      <c r="G90" s="550">
        <f t="shared" si="69"/>
        <v>0</v>
      </c>
      <c r="H90" s="550">
        <f t="shared" si="69"/>
        <v>0</v>
      </c>
      <c r="I90" s="553">
        <f t="shared" si="69"/>
        <v>0</v>
      </c>
      <c r="J90" s="552">
        <f t="shared" si="69"/>
        <v>0</v>
      </c>
      <c r="K90" s="549">
        <f t="shared" si="69"/>
        <v>0</v>
      </c>
      <c r="L90" s="549">
        <f t="shared" si="69"/>
        <v>0</v>
      </c>
      <c r="M90" s="549">
        <f t="shared" si="69"/>
        <v>0</v>
      </c>
      <c r="N90" s="549">
        <f t="shared" si="69"/>
        <v>0</v>
      </c>
      <c r="O90" s="549">
        <f t="shared" si="69"/>
        <v>0</v>
      </c>
      <c r="P90" s="549">
        <f t="shared" si="69"/>
        <v>0</v>
      </c>
      <c r="Q90" s="549">
        <f t="shared" si="69"/>
        <v>0</v>
      </c>
      <c r="R90" s="549">
        <f t="shared" si="69"/>
        <v>0</v>
      </c>
      <c r="S90" s="552">
        <f t="shared" si="69"/>
        <v>0</v>
      </c>
      <c r="T90" s="552">
        <f t="shared" si="69"/>
        <v>0</v>
      </c>
      <c r="U90" s="1102">
        <f t="shared" si="69"/>
        <v>0</v>
      </c>
      <c r="V90" s="553">
        <f t="shared" si="69"/>
        <v>0</v>
      </c>
      <c r="W90" s="552">
        <f t="shared" si="69"/>
        <v>0</v>
      </c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</row>
    <row r="91" spans="1:42" s="535" customFormat="1" ht="12.75" thickBot="1">
      <c r="A91" s="556" t="s">
        <v>23</v>
      </c>
      <c r="B91" s="557" t="s">
        <v>413</v>
      </c>
      <c r="C91" s="558">
        <f t="shared" ref="C91:W91" si="70">+C85+C88+C90</f>
        <v>1182045</v>
      </c>
      <c r="D91" s="559">
        <f t="shared" si="70"/>
        <v>347952</v>
      </c>
      <c r="E91" s="559">
        <f t="shared" si="70"/>
        <v>123238</v>
      </c>
      <c r="F91" s="559">
        <f t="shared" si="70"/>
        <v>5490</v>
      </c>
      <c r="G91" s="559">
        <f t="shared" si="70"/>
        <v>32276</v>
      </c>
      <c r="H91" s="559">
        <f t="shared" si="70"/>
        <v>40350</v>
      </c>
      <c r="I91" s="560">
        <f t="shared" si="70"/>
        <v>1100</v>
      </c>
      <c r="J91" s="561">
        <f t="shared" si="70"/>
        <v>1732451</v>
      </c>
      <c r="K91" s="558">
        <f t="shared" si="70"/>
        <v>163191</v>
      </c>
      <c r="L91" s="558">
        <f t="shared" si="70"/>
        <v>19078</v>
      </c>
      <c r="M91" s="558">
        <f t="shared" si="70"/>
        <v>182165</v>
      </c>
      <c r="N91" s="558">
        <f t="shared" si="70"/>
        <v>52779</v>
      </c>
      <c r="O91" s="558">
        <f t="shared" si="70"/>
        <v>3181376</v>
      </c>
      <c r="P91" s="558">
        <f t="shared" si="70"/>
        <v>448250</v>
      </c>
      <c r="Q91" s="558">
        <f t="shared" si="70"/>
        <v>61258</v>
      </c>
      <c r="R91" s="558">
        <f t="shared" si="70"/>
        <v>0</v>
      </c>
      <c r="S91" s="561">
        <f t="shared" si="70"/>
        <v>4108097</v>
      </c>
      <c r="T91" s="561">
        <f t="shared" si="70"/>
        <v>2375646</v>
      </c>
      <c r="U91" s="1104">
        <f t="shared" si="70"/>
        <v>-616511</v>
      </c>
      <c r="V91" s="560">
        <f t="shared" si="70"/>
        <v>2877987</v>
      </c>
      <c r="W91" s="561">
        <f t="shared" si="70"/>
        <v>114170</v>
      </c>
      <c r="Y91" s="535">
        <f>+'13.mell_ÖNKfeladatok2020'!$J$91-J91</f>
        <v>20604</v>
      </c>
      <c r="Z91" s="535">
        <f>+'13.mell_ÖNKfeladatok2020'!$J$253-S91</f>
        <v>-10969</v>
      </c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</row>
    <row r="92" spans="1:42" s="535" customFormat="1" ht="12.75" thickBot="1">
      <c r="A92" s="567"/>
      <c r="B92" s="568"/>
      <c r="C92" s="569"/>
      <c r="D92" s="569"/>
      <c r="E92" s="569"/>
      <c r="F92" s="569"/>
      <c r="G92" s="569"/>
      <c r="H92" s="569"/>
      <c r="I92" s="866"/>
      <c r="J92" s="572"/>
      <c r="K92" s="569"/>
      <c r="L92" s="569"/>
      <c r="M92" s="569"/>
      <c r="N92" s="569"/>
      <c r="O92" s="569"/>
      <c r="P92" s="569"/>
      <c r="Q92" s="569"/>
      <c r="R92" s="569"/>
      <c r="S92" s="572"/>
      <c r="T92" s="572"/>
      <c r="U92" s="866"/>
      <c r="V92" s="571"/>
      <c r="W92" s="57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</row>
    <row r="93" spans="1:42">
      <c r="A93" s="867">
        <f>+A89+1</f>
        <v>12</v>
      </c>
      <c r="B93" s="868" t="s">
        <v>773</v>
      </c>
      <c r="C93" s="555">
        <f>+SUMIF('13.mell_ÖNKfeladatok2020'!$B$5:$B$159,'14.mell_Önk kiegészítés2020'!$A93,'13.mell_ÖNKfeladatok2020'!P$5:P$159)</f>
        <v>0</v>
      </c>
      <c r="D93" s="555">
        <f>+SUMIF('13.mell_ÖNKfeladatok2020'!$B$5:$B$159,'14.mell_Önk kiegészítés2020'!$A93,'13.mell_ÖNKfeladatok2020'!T$5:T$159)</f>
        <v>0</v>
      </c>
      <c r="E93" s="555">
        <f>+SUMIF('13.mell_ÖNKfeladatok2020'!$B$5:$B$159,'14.mell_Önk kiegészítés2020'!$A93,'13.mell_ÖNKfeladatok2020'!X$5:X$159)</f>
        <v>0</v>
      </c>
      <c r="F93" s="555">
        <f>+SUMIF('13.mell_ÖNKfeladatok2020'!$B$5:$B$159,'14.mell_Önk kiegészítés2020'!$A93,'13.mell_ÖNKfeladatok2020'!AB$5:AB$159)</f>
        <v>0</v>
      </c>
      <c r="G93" s="555">
        <f>+SUMIF('13.mell_ÖNKfeladatok2020'!$B$5:$B$159,'14.mell_Önk kiegészítés2020'!$A93,'13.mell_ÖNKfeladatok2020'!AJ$5:AJ$159)</f>
        <v>0</v>
      </c>
      <c r="H93" s="555">
        <f>+SUMIF('13.mell_ÖNKfeladatok2020'!$B$5:$B$159,'14.mell_Önk kiegészítés2020'!$A93,'13.mell_ÖNKfeladatok2020'!AN$5:AN$159)</f>
        <v>0</v>
      </c>
      <c r="I93" s="555">
        <f>+SUMIF('13.mell_ÖNKfeladatok2020'!$B$5:$B$159,'14.mell_Önk kiegészítés2020'!$A93,'13.mell_ÖNKfeladatok2020'!AR$5:AR$159)</f>
        <v>0</v>
      </c>
      <c r="J93" s="581">
        <f>SUM(C93:I93)</f>
        <v>0</v>
      </c>
      <c r="K93" s="540">
        <f>+SUMIF('13.mell_ÖNKfeladatok2020'!$B$167:$B$321,'14.mell_Önk kiegészítés2020'!$A93,'13.mell_ÖNKfeladatok2020'!P$167:P$321)</f>
        <v>169546</v>
      </c>
      <c r="L93" s="540">
        <f>+SUMIF('13.mell_ÖNKfeladatok2020'!$B$167:$B$321,'14.mell_Önk kiegészítés2020'!$A93,'13.mell_ÖNKfeladatok2020'!T$167:T$321)</f>
        <v>32829</v>
      </c>
      <c r="M93" s="540">
        <f>+SUMIF('13.mell_ÖNKfeladatok2020'!$B$167:$B$321,'14.mell_Önk kiegészítés2020'!$A93,'13.mell_ÖNKfeladatok2020'!X$167:X$321)</f>
        <v>23213</v>
      </c>
      <c r="N93" s="540">
        <f>+SUMIF('13.mell_ÖNKfeladatok2020'!$B$167:$B$321,'14.mell_Önk kiegészítés2020'!$A93,'13.mell_ÖNKfeladatok2020'!AB$167:AB$321)</f>
        <v>0</v>
      </c>
      <c r="O93" s="540">
        <f>+SUMIF('13.mell_ÖNKfeladatok2020'!$B$167:$B$321,'14.mell_Önk kiegészítés2020'!$A93,'13.mell_ÖNKfeladatok2020'!AF$167:AF$321)</f>
        <v>0</v>
      </c>
      <c r="P93" s="540">
        <f>+SUMIF('13.mell_ÖNKfeladatok2020'!$B$167:$B$321,'14.mell_Önk kiegészítés2020'!$A93,'13.mell_ÖNKfeladatok2020'!AN$167:AN$321)</f>
        <v>4000</v>
      </c>
      <c r="Q93" s="540">
        <f>+SUMIF('13.mell_ÖNKfeladatok2020'!$B$167:$B$321,'14.mell_Önk kiegészítés2020'!$A93,'13.mell_ÖNKfeladatok2020'!AR$167:AR$321)</f>
        <v>0</v>
      </c>
      <c r="R93" s="540">
        <f>+SUMIF('13.mell_ÖNKfeladatok2020'!$B$167:$B$321,'14.mell_Önk kiegészítés2020'!$A93,'13.mell_ÖNKfeladatok2020'!AV$167:AV$321)</f>
        <v>0</v>
      </c>
      <c r="S93" s="581">
        <f>SUM(K93:R93)</f>
        <v>229588</v>
      </c>
      <c r="T93" s="541">
        <f>S93-J93</f>
        <v>229588</v>
      </c>
      <c r="U93" s="1100">
        <f>+ROUND(SUMIF('10.mell_támogatások2020'!$B$6:$B$137,'14.mell_Önk kiegészítés2020'!$A93,'10.mell_támogatások2020'!E$6:E$137)/1000,0)</f>
        <v>146755</v>
      </c>
      <c r="V93" s="1080">
        <f>26419+10024+92-77159</f>
        <v>-40624</v>
      </c>
      <c r="W93" s="541">
        <f t="shared" ref="W93:W95" si="71">+T93-U93-V93</f>
        <v>123457</v>
      </c>
      <c r="AE93" s="262">
        <v>26419</v>
      </c>
      <c r="AF93" s="262">
        <v>10024</v>
      </c>
      <c r="AG93" s="262">
        <f>(49+9)+(29+5)</f>
        <v>92</v>
      </c>
      <c r="AI93" s="262">
        <f>-13930-61637-1592</f>
        <v>-77159</v>
      </c>
    </row>
    <row r="94" spans="1:42">
      <c r="A94" s="826">
        <f>+A93+1</f>
        <v>13</v>
      </c>
      <c r="B94" s="542" t="s">
        <v>774</v>
      </c>
      <c r="C94" s="546">
        <f>+SUMIF('13.mell_ÖNKfeladatok2020'!$B$5:$B$159,'14.mell_Önk kiegészítés2020'!$A94,'13.mell_ÖNKfeladatok2020'!P$5:P$159)</f>
        <v>0</v>
      </c>
      <c r="D94" s="546">
        <f>+SUMIF('13.mell_ÖNKfeladatok2020'!$B$5:$B$159,'14.mell_Önk kiegészítés2020'!$A94,'13.mell_ÖNKfeladatok2020'!T$5:T$159)</f>
        <v>0</v>
      </c>
      <c r="E94" s="546">
        <f>+SUMIF('13.mell_ÖNKfeladatok2020'!$B$5:$B$159,'14.mell_Önk kiegészítés2020'!$A94,'13.mell_ÖNKfeladatok2020'!X$5:X$159)</f>
        <v>0</v>
      </c>
      <c r="F94" s="546">
        <f>+SUMIF('13.mell_ÖNKfeladatok2020'!$B$5:$B$159,'14.mell_Önk kiegészítés2020'!$A94,'13.mell_ÖNKfeladatok2020'!AB$5:AB$159)</f>
        <v>0</v>
      </c>
      <c r="G94" s="546">
        <f>+SUMIF('13.mell_ÖNKfeladatok2020'!$B$5:$B$159,'14.mell_Önk kiegészítés2020'!$A94,'13.mell_ÖNKfeladatok2020'!AJ$5:AJ$159)</f>
        <v>0</v>
      </c>
      <c r="H94" s="546">
        <f>+SUMIF('13.mell_ÖNKfeladatok2020'!$B$5:$B$159,'14.mell_Önk kiegészítés2020'!$A94,'13.mell_ÖNKfeladatok2020'!AN$5:AN$159)</f>
        <v>0</v>
      </c>
      <c r="I94" s="546">
        <f>+SUMIF('13.mell_ÖNKfeladatok2020'!$B$5:$B$159,'14.mell_Önk kiegészítés2020'!$A94,'13.mell_ÖNKfeladatok2020'!AR$5:AR$159)</f>
        <v>0</v>
      </c>
      <c r="J94" s="582">
        <f>SUM(C94:I94)</f>
        <v>0</v>
      </c>
      <c r="K94" s="543">
        <f>+SUMIF('13.mell_ÖNKfeladatok2020'!$B$167:$B$321,'14.mell_Önk kiegészítés2020'!$A94,'13.mell_ÖNKfeladatok2020'!P$167:P$321)</f>
        <v>0</v>
      </c>
      <c r="L94" s="543">
        <f>+SUMIF('13.mell_ÖNKfeladatok2020'!$B$167:$B$321,'14.mell_Önk kiegészítés2020'!$A94,'13.mell_ÖNKfeladatok2020'!T$167:T$321)</f>
        <v>0</v>
      </c>
      <c r="M94" s="543">
        <f>+SUMIF('13.mell_ÖNKfeladatok2020'!$B$167:$B$321,'14.mell_Önk kiegészítés2020'!$A94,'13.mell_ÖNKfeladatok2020'!X$167:X$321)</f>
        <v>0</v>
      </c>
      <c r="N94" s="543">
        <f>+SUMIF('13.mell_ÖNKfeladatok2020'!$B$167:$B$321,'14.mell_Önk kiegészítés2020'!$A94,'13.mell_ÖNKfeladatok2020'!AB$167:AB$321)</f>
        <v>0</v>
      </c>
      <c r="O94" s="543">
        <f>+SUMIF('13.mell_ÖNKfeladatok2020'!$B$167:$B$321,'14.mell_Önk kiegészítés2020'!$A94,'13.mell_ÖNKfeladatok2020'!AF$167:AF$321)</f>
        <v>0</v>
      </c>
      <c r="P94" s="543">
        <f>+SUMIF('13.mell_ÖNKfeladatok2020'!$B$167:$B$321,'14.mell_Önk kiegészítés2020'!$A94,'13.mell_ÖNKfeladatok2020'!AN$167:AN$321)</f>
        <v>0</v>
      </c>
      <c r="Q94" s="543">
        <f>+SUMIF('13.mell_ÖNKfeladatok2020'!$B$167:$B$321,'14.mell_Önk kiegészítés2020'!$A94,'13.mell_ÖNKfeladatok2020'!AR$167:AR$321)</f>
        <v>0</v>
      </c>
      <c r="R94" s="543">
        <f>+SUMIF('13.mell_ÖNKfeladatok2020'!$B$167:$B$321,'14.mell_Önk kiegészítés2020'!$A94,'13.mell_ÖNKfeladatok2020'!AV$167:AV$321)</f>
        <v>0</v>
      </c>
      <c r="S94" s="582">
        <f>SUM(K94:R94)</f>
        <v>0</v>
      </c>
      <c r="T94" s="544">
        <f>S94-J94</f>
        <v>0</v>
      </c>
      <c r="U94" s="1101">
        <f>+ROUND(SUMIF('10.mell_támogatások2020'!$B$6:$B$137,'14.mell_Önk kiegészítés2020'!$A94,'10.mell_támogatások2020'!E$6:E$137)/1000,0)</f>
        <v>0</v>
      </c>
      <c r="V94" s="1081"/>
      <c r="W94" s="544">
        <f t="shared" si="71"/>
        <v>0</v>
      </c>
    </row>
    <row r="95" spans="1:42" ht="12.75" thickBot="1">
      <c r="A95" s="826">
        <f>+A94+1</f>
        <v>14</v>
      </c>
      <c r="B95" s="545" t="s">
        <v>759</v>
      </c>
      <c r="C95" s="546">
        <f>+SUMIF('13.mell_ÖNKfeladatok2020'!$B$5:$B$159,'14.mell_Önk kiegészítés2020'!$A95,'13.mell_ÖNKfeladatok2020'!P$5:P$159)</f>
        <v>0</v>
      </c>
      <c r="D95" s="546">
        <f>+SUMIF('13.mell_ÖNKfeladatok2020'!$B$5:$B$159,'14.mell_Önk kiegészítés2020'!$A95,'13.mell_ÖNKfeladatok2020'!T$5:T$159)</f>
        <v>0</v>
      </c>
      <c r="E95" s="546">
        <f>+SUMIF('13.mell_ÖNKfeladatok2020'!$B$5:$B$159,'14.mell_Önk kiegészítés2020'!$A95,'13.mell_ÖNKfeladatok2020'!X$5:X$159)</f>
        <v>9308</v>
      </c>
      <c r="F95" s="546">
        <f>+SUMIF('13.mell_ÖNKfeladatok2020'!$B$5:$B$159,'14.mell_Önk kiegészítés2020'!$A95,'13.mell_ÖNKfeladatok2020'!AB$5:AB$159)</f>
        <v>0</v>
      </c>
      <c r="G95" s="546">
        <f>+SUMIF('13.mell_ÖNKfeladatok2020'!$B$5:$B$159,'14.mell_Önk kiegészítés2020'!$A95,'13.mell_ÖNKfeladatok2020'!AJ$5:AJ$159)</f>
        <v>0</v>
      </c>
      <c r="H95" s="546">
        <f>+SUMIF('13.mell_ÖNKfeladatok2020'!$B$5:$B$159,'14.mell_Önk kiegészítés2020'!$A95,'13.mell_ÖNKfeladatok2020'!AN$5:AN$159)</f>
        <v>0</v>
      </c>
      <c r="I95" s="546">
        <f>+SUMIF('13.mell_ÖNKfeladatok2020'!$B$5:$B$159,'14.mell_Önk kiegészítés2020'!$A95,'13.mell_ÖNKfeladatok2020'!AR$5:AR$159)</f>
        <v>0</v>
      </c>
      <c r="J95" s="582">
        <f>SUM(C95:I95)</f>
        <v>9308</v>
      </c>
      <c r="K95" s="543">
        <f>+SUMIF('13.mell_ÖNKfeladatok2020'!$B$167:$B$321,'14.mell_Önk kiegészítés2020'!$A95,'13.mell_ÖNKfeladatok2020'!P$167:P$321)</f>
        <v>105621</v>
      </c>
      <c r="L95" s="543">
        <f>+SUMIF('13.mell_ÖNKfeladatok2020'!$B$167:$B$321,'14.mell_Önk kiegészítés2020'!$A95,'13.mell_ÖNKfeladatok2020'!T$167:T$321)</f>
        <v>18800</v>
      </c>
      <c r="M95" s="543">
        <f>+SUMIF('13.mell_ÖNKfeladatok2020'!$B$167:$B$321,'14.mell_Önk kiegészítés2020'!$A95,'13.mell_ÖNKfeladatok2020'!X$167:X$321)</f>
        <v>13704</v>
      </c>
      <c r="N95" s="543">
        <f>+SUMIF('13.mell_ÖNKfeladatok2020'!$B$167:$B$321,'14.mell_Önk kiegészítés2020'!$A95,'13.mell_ÖNKfeladatok2020'!AB$167:AB$321)</f>
        <v>0</v>
      </c>
      <c r="O95" s="543">
        <f>+SUMIF('13.mell_ÖNKfeladatok2020'!$B$167:$B$321,'14.mell_Önk kiegészítés2020'!$A95,'13.mell_ÖNKfeladatok2020'!AF$167:AF$321)</f>
        <v>22631</v>
      </c>
      <c r="P95" s="543">
        <f>+SUMIF('13.mell_ÖNKfeladatok2020'!$B$167:$B$321,'14.mell_Önk kiegészítés2020'!$A95,'13.mell_ÖNKfeladatok2020'!AN$167:AN$321)</f>
        <v>0</v>
      </c>
      <c r="Q95" s="543">
        <f>+SUMIF('13.mell_ÖNKfeladatok2020'!$B$167:$B$321,'14.mell_Önk kiegészítés2020'!$A95,'13.mell_ÖNKfeladatok2020'!AR$167:AR$321)</f>
        <v>0</v>
      </c>
      <c r="R95" s="543">
        <f>+SUMIF('13.mell_ÖNKfeladatok2020'!$B$167:$B$321,'14.mell_Önk kiegészítés2020'!$A95,'13.mell_ÖNKfeladatok2020'!AV$167:AV$321)</f>
        <v>0</v>
      </c>
      <c r="S95" s="582">
        <f>SUM(K95:R95)</f>
        <v>160756</v>
      </c>
      <c r="T95" s="544">
        <f>S95-J95</f>
        <v>151448</v>
      </c>
      <c r="U95" s="1101">
        <f>+ROUND(SUMIF('10.mell_támogatások2020'!$B$6:$B$137,'14.mell_Önk kiegészítés2020'!$A95,'10.mell_támogatások2020'!E$6:E$137)/1000,0)</f>
        <v>0</v>
      </c>
      <c r="V95" s="1081"/>
      <c r="W95" s="544">
        <f t="shared" si="71"/>
        <v>151448</v>
      </c>
    </row>
    <row r="96" spans="1:42" s="535" customFormat="1" ht="12.75" thickBot="1">
      <c r="A96" s="547" t="s">
        <v>590</v>
      </c>
      <c r="B96" s="548" t="s">
        <v>869</v>
      </c>
      <c r="C96" s="549">
        <f t="shared" ref="C96:U96" si="72">SUM(C93:C95)</f>
        <v>0</v>
      </c>
      <c r="D96" s="550">
        <f t="shared" si="72"/>
        <v>0</v>
      </c>
      <c r="E96" s="550">
        <f t="shared" si="72"/>
        <v>9308</v>
      </c>
      <c r="F96" s="550">
        <f t="shared" si="72"/>
        <v>0</v>
      </c>
      <c r="G96" s="550">
        <f t="shared" si="72"/>
        <v>0</v>
      </c>
      <c r="H96" s="550">
        <f t="shared" si="72"/>
        <v>0</v>
      </c>
      <c r="I96" s="551">
        <f t="shared" si="72"/>
        <v>0</v>
      </c>
      <c r="J96" s="552">
        <f t="shared" si="72"/>
        <v>9308</v>
      </c>
      <c r="K96" s="549">
        <f t="shared" si="72"/>
        <v>275167</v>
      </c>
      <c r="L96" s="549">
        <f t="shared" si="72"/>
        <v>51629</v>
      </c>
      <c r="M96" s="549">
        <f t="shared" si="72"/>
        <v>36917</v>
      </c>
      <c r="N96" s="549">
        <f t="shared" si="72"/>
        <v>0</v>
      </c>
      <c r="O96" s="549">
        <f t="shared" si="72"/>
        <v>22631</v>
      </c>
      <c r="P96" s="549">
        <f t="shared" si="72"/>
        <v>4000</v>
      </c>
      <c r="Q96" s="549">
        <f t="shared" si="72"/>
        <v>0</v>
      </c>
      <c r="R96" s="549">
        <f t="shared" si="72"/>
        <v>0</v>
      </c>
      <c r="S96" s="552">
        <f t="shared" si="72"/>
        <v>390344</v>
      </c>
      <c r="T96" s="552">
        <f t="shared" si="72"/>
        <v>381036</v>
      </c>
      <c r="U96" s="1102">
        <f t="shared" si="72"/>
        <v>146755</v>
      </c>
      <c r="V96" s="553">
        <f t="shared" ref="V96" si="73">SUM(V93:V95)</f>
        <v>-40624</v>
      </c>
      <c r="W96" s="552">
        <f t="shared" ref="W96" si="74">SUM(W93:W95)</f>
        <v>274905</v>
      </c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</row>
    <row r="97" spans="1:42">
      <c r="A97" s="826">
        <f>+A95+1</f>
        <v>15</v>
      </c>
      <c r="B97" s="566" t="s">
        <v>416</v>
      </c>
      <c r="C97" s="540">
        <f>+SUMIF('13.mell_ÖNKfeladatok2020'!$B$5:$B$159,'14.mell_Önk kiegészítés2020'!$A97,'13.mell_ÖNKfeladatok2020'!P$5:P$159)</f>
        <v>0</v>
      </c>
      <c r="D97" s="540">
        <f>+SUMIF('13.mell_ÖNKfeladatok2020'!$B$5:$B$159,'14.mell_Önk kiegészítés2020'!$A97,'13.mell_ÖNKfeladatok2020'!T$5:T$159)</f>
        <v>0</v>
      </c>
      <c r="E97" s="540">
        <f>+SUMIF('13.mell_ÖNKfeladatok2020'!$B$5:$B$159,'14.mell_Önk kiegészítés2020'!$A97,'13.mell_ÖNKfeladatok2020'!X$5:X$159)</f>
        <v>32151</v>
      </c>
      <c r="F97" s="540">
        <f>+SUMIF('13.mell_ÖNKfeladatok2020'!$B$5:$B$159,'14.mell_Önk kiegészítés2020'!$A97,'13.mell_ÖNKfeladatok2020'!AB$5:AB$159)</f>
        <v>0</v>
      </c>
      <c r="G97" s="540">
        <f>+SUMIF('13.mell_ÖNKfeladatok2020'!$B$5:$B$159,'14.mell_Önk kiegészítés2020'!$A97,'13.mell_ÖNKfeladatok2020'!AJ$5:AJ$159)</f>
        <v>0</v>
      </c>
      <c r="H97" s="540">
        <f>+SUMIF('13.mell_ÖNKfeladatok2020'!$B$5:$B$159,'14.mell_Önk kiegészítés2020'!$A97,'13.mell_ÖNKfeladatok2020'!AN$5:AN$159)</f>
        <v>0</v>
      </c>
      <c r="I97" s="540">
        <f>+SUMIF('13.mell_ÖNKfeladatok2020'!$B$5:$B$159,'14.mell_Önk kiegészítés2020'!$A97,'13.mell_ÖNKfeladatok2020'!AR$5:AR$159)</f>
        <v>0</v>
      </c>
      <c r="J97" s="582">
        <f>SUM(C97:I97)</f>
        <v>32151</v>
      </c>
      <c r="K97" s="543">
        <f>+SUMIF('13.mell_ÖNKfeladatok2020'!$B$167:$B$321,'14.mell_Önk kiegészítés2020'!$A97,'13.mell_ÖNKfeladatok2020'!P$167:P$321)</f>
        <v>9229</v>
      </c>
      <c r="L97" s="543">
        <f>+SUMIF('13.mell_ÖNKfeladatok2020'!$B$167:$B$321,'14.mell_Önk kiegészítés2020'!$A97,'13.mell_ÖNKfeladatok2020'!T$167:T$321)</f>
        <v>1643</v>
      </c>
      <c r="M97" s="543">
        <f>+SUMIF('13.mell_ÖNKfeladatok2020'!$B$167:$B$321,'14.mell_Önk kiegészítés2020'!$A97,'13.mell_ÖNKfeladatok2020'!X$167:X$321)</f>
        <v>22728</v>
      </c>
      <c r="N97" s="543">
        <f>+SUMIF('13.mell_ÖNKfeladatok2020'!$B$167:$B$321,'14.mell_Önk kiegészítés2020'!$A97,'13.mell_ÖNKfeladatok2020'!AB$167:AB$321)</f>
        <v>0</v>
      </c>
      <c r="O97" s="543">
        <f>+SUMIF('13.mell_ÖNKfeladatok2020'!$B$167:$B$321,'14.mell_Önk kiegészítés2020'!$A97,'13.mell_ÖNKfeladatok2020'!AF$167:AF$321)</f>
        <v>0</v>
      </c>
      <c r="P97" s="543">
        <f>+SUMIF('13.mell_ÖNKfeladatok2020'!$B$167:$B$321,'14.mell_Önk kiegészítés2020'!$A97,'13.mell_ÖNKfeladatok2020'!AN$167:AN$321)</f>
        <v>0</v>
      </c>
      <c r="Q97" s="543">
        <f>+SUMIF('13.mell_ÖNKfeladatok2020'!$B$167:$B$321,'14.mell_Önk kiegészítés2020'!$A97,'13.mell_ÖNKfeladatok2020'!AR$167:AR$321)</f>
        <v>0</v>
      </c>
      <c r="R97" s="543">
        <f>+SUMIF('13.mell_ÖNKfeladatok2020'!$B$167:$B$321,'14.mell_Önk kiegészítés2020'!$A97,'13.mell_ÖNKfeladatok2020'!AV$167:AV$321)</f>
        <v>0</v>
      </c>
      <c r="S97" s="582">
        <f>SUM(K97:R97)</f>
        <v>33600</v>
      </c>
      <c r="T97" s="544">
        <f>S97-J97</f>
        <v>1449</v>
      </c>
      <c r="U97" s="1101">
        <f>+ROUND(SUMIF('10.mell_támogatások2020'!$B$6:$B$137,'14.mell_Önk kiegészítés2020'!$A97,'10.mell_támogatások2020'!E$6:E$137)/1000,0)</f>
        <v>0</v>
      </c>
      <c r="V97" s="1081"/>
      <c r="W97" s="544">
        <f t="shared" ref="W97:W99" si="75">+T97-U97-V97</f>
        <v>1449</v>
      </c>
    </row>
    <row r="98" spans="1:42">
      <c r="A98" s="826">
        <f>+A97+1</f>
        <v>16</v>
      </c>
      <c r="B98" s="545" t="s">
        <v>647</v>
      </c>
      <c r="C98" s="546">
        <f>+SUMIF('13.mell_ÖNKfeladatok2020'!$B$5:$B$159,'14.mell_Önk kiegészítés2020'!$A98,'13.mell_ÖNKfeladatok2020'!P$5:P$159)</f>
        <v>0</v>
      </c>
      <c r="D98" s="546">
        <f>+SUMIF('13.mell_ÖNKfeladatok2020'!$B$5:$B$159,'14.mell_Önk kiegészítés2020'!$A98,'13.mell_ÖNKfeladatok2020'!T$5:T$159)</f>
        <v>0</v>
      </c>
      <c r="E98" s="546">
        <f>+SUMIF('13.mell_ÖNKfeladatok2020'!$B$5:$B$159,'14.mell_Önk kiegészítés2020'!$A98,'13.mell_ÖNKfeladatok2020'!X$5:X$159)</f>
        <v>0</v>
      </c>
      <c r="F98" s="546">
        <f>+SUMIF('13.mell_ÖNKfeladatok2020'!$B$5:$B$159,'14.mell_Önk kiegészítés2020'!$A98,'13.mell_ÖNKfeladatok2020'!AB$5:AB$159)</f>
        <v>0</v>
      </c>
      <c r="G98" s="546">
        <f>+SUMIF('13.mell_ÖNKfeladatok2020'!$B$5:$B$159,'14.mell_Önk kiegészítés2020'!$A98,'13.mell_ÖNKfeladatok2020'!AJ$5:AJ$159)</f>
        <v>0</v>
      </c>
      <c r="H98" s="546">
        <f>+SUMIF('13.mell_ÖNKfeladatok2020'!$B$5:$B$159,'14.mell_Önk kiegészítés2020'!$A98,'13.mell_ÖNKfeladatok2020'!AN$5:AN$159)</f>
        <v>0</v>
      </c>
      <c r="I98" s="546">
        <f>+SUMIF('13.mell_ÖNKfeladatok2020'!$B$5:$B$159,'14.mell_Önk kiegészítés2020'!$A98,'13.mell_ÖNKfeladatok2020'!AR$5:AR$159)</f>
        <v>0</v>
      </c>
      <c r="J98" s="583">
        <f>SUM(C98:I98)</f>
        <v>0</v>
      </c>
      <c r="K98" s="543">
        <f>+SUMIF('13.mell_ÖNKfeladatok2020'!$B$167:$B$321,'14.mell_Önk kiegészítés2020'!$A98,'13.mell_ÖNKfeladatok2020'!P$167:P$321)</f>
        <v>5403</v>
      </c>
      <c r="L98" s="543">
        <f>+SUMIF('13.mell_ÖNKfeladatok2020'!$B$167:$B$321,'14.mell_Önk kiegészítés2020'!$A98,'13.mell_ÖNKfeladatok2020'!T$167:T$321)</f>
        <v>864</v>
      </c>
      <c r="M98" s="543">
        <f>+SUMIF('13.mell_ÖNKfeladatok2020'!$B$167:$B$321,'14.mell_Önk kiegészítés2020'!$A98,'13.mell_ÖNKfeladatok2020'!X$167:X$321)</f>
        <v>381</v>
      </c>
      <c r="N98" s="543">
        <f>+SUMIF('13.mell_ÖNKfeladatok2020'!$B$167:$B$321,'14.mell_Önk kiegészítés2020'!$A98,'13.mell_ÖNKfeladatok2020'!AB$167:AB$321)</f>
        <v>0</v>
      </c>
      <c r="O98" s="543">
        <f>+SUMIF('13.mell_ÖNKfeladatok2020'!$B$167:$B$321,'14.mell_Önk kiegészítés2020'!$A98,'13.mell_ÖNKfeladatok2020'!AF$167:AF$321)</f>
        <v>0</v>
      </c>
      <c r="P98" s="543">
        <f>+SUMIF('13.mell_ÖNKfeladatok2020'!$B$167:$B$321,'14.mell_Önk kiegészítés2020'!$A98,'13.mell_ÖNKfeladatok2020'!AN$167:AN$321)</f>
        <v>0</v>
      </c>
      <c r="Q98" s="543">
        <f>+SUMIF('13.mell_ÖNKfeladatok2020'!$B$167:$B$321,'14.mell_Önk kiegészítés2020'!$A98,'13.mell_ÖNKfeladatok2020'!AR$167:AR$321)</f>
        <v>0</v>
      </c>
      <c r="R98" s="543">
        <f>+SUMIF('13.mell_ÖNKfeladatok2020'!$B$167:$B$321,'14.mell_Önk kiegészítés2020'!$A98,'13.mell_ÖNKfeladatok2020'!AV$167:AV$321)</f>
        <v>0</v>
      </c>
      <c r="S98" s="582">
        <f>SUM(K98:R98)</f>
        <v>6648</v>
      </c>
      <c r="T98" s="544">
        <f>S98-J98</f>
        <v>6648</v>
      </c>
      <c r="U98" s="1101">
        <f>+ROUND(SUMIF('10.mell_támogatások2020'!$B$6:$B$137,'14.mell_Önk kiegészítés2020'!$A98,'10.mell_támogatások2020'!E$6:E$137)/1000,0)</f>
        <v>0</v>
      </c>
      <c r="V98" s="1081"/>
      <c r="W98" s="544">
        <f t="shared" si="75"/>
        <v>6648</v>
      </c>
    </row>
    <row r="99" spans="1:42" ht="12.75" thickBot="1">
      <c r="A99" s="826">
        <f>+A98+1</f>
        <v>17</v>
      </c>
      <c r="B99" s="545" t="s">
        <v>894</v>
      </c>
      <c r="C99" s="546">
        <f>+SUMIF('13.mell_ÖNKfeladatok2020'!$B$5:$B$159,'14.mell_Önk kiegészítés2020'!$A99,'13.mell_ÖNKfeladatok2020'!P$5:P$159)</f>
        <v>0</v>
      </c>
      <c r="D99" s="546">
        <f>+SUMIF('13.mell_ÖNKfeladatok2020'!$B$5:$B$159,'14.mell_Önk kiegészítés2020'!$A99,'13.mell_ÖNKfeladatok2020'!T$5:T$159)</f>
        <v>0</v>
      </c>
      <c r="E99" s="546">
        <f>+SUMIF('13.mell_ÖNKfeladatok2020'!$B$5:$B$159,'14.mell_Önk kiegészítés2020'!$A99,'13.mell_ÖNKfeladatok2020'!X$5:X$159)</f>
        <v>0</v>
      </c>
      <c r="F99" s="546">
        <f>+SUMIF('13.mell_ÖNKfeladatok2020'!$B$5:$B$159,'14.mell_Önk kiegészítés2020'!$A99,'13.mell_ÖNKfeladatok2020'!AB$5:AB$159)</f>
        <v>0</v>
      </c>
      <c r="G99" s="546">
        <f>+SUMIF('13.mell_ÖNKfeladatok2020'!$B$5:$B$159,'14.mell_Önk kiegészítés2020'!$A99,'13.mell_ÖNKfeladatok2020'!AJ$5:AJ$159)</f>
        <v>0</v>
      </c>
      <c r="H99" s="546">
        <f>+SUMIF('13.mell_ÖNKfeladatok2020'!$B$5:$B$159,'14.mell_Önk kiegészítés2020'!$A99,'13.mell_ÖNKfeladatok2020'!AN$5:AN$159)</f>
        <v>0</v>
      </c>
      <c r="I99" s="546">
        <f>+SUMIF('13.mell_ÖNKfeladatok2020'!$B$5:$B$159,'14.mell_Önk kiegészítés2020'!$A99,'13.mell_ÖNKfeladatok2020'!AR$5:AR$159)</f>
        <v>0</v>
      </c>
      <c r="J99" s="583">
        <f>SUM(C99:I99)</f>
        <v>0</v>
      </c>
      <c r="K99" s="543">
        <f>+SUMIF('13.mell_ÖNKfeladatok2020'!$B$167:$B$321,'14.mell_Önk kiegészítés2020'!$A99,'13.mell_ÖNKfeladatok2020'!P$167:P$321)</f>
        <v>0</v>
      </c>
      <c r="L99" s="543">
        <f>+SUMIF('13.mell_ÖNKfeladatok2020'!$B$167:$B$321,'14.mell_Önk kiegészítés2020'!$A99,'13.mell_ÖNKfeladatok2020'!T$167:T$321)</f>
        <v>0</v>
      </c>
      <c r="M99" s="543">
        <f>+SUMIF('13.mell_ÖNKfeladatok2020'!$B$167:$B$321,'14.mell_Önk kiegészítés2020'!$A99,'13.mell_ÖNKfeladatok2020'!X$167:X$321)</f>
        <v>0</v>
      </c>
      <c r="N99" s="543">
        <f>+SUMIF('13.mell_ÖNKfeladatok2020'!$B$167:$B$321,'14.mell_Önk kiegészítés2020'!$A99,'13.mell_ÖNKfeladatok2020'!AB$167:AB$321)</f>
        <v>0</v>
      </c>
      <c r="O99" s="543">
        <f>+SUMIF('13.mell_ÖNKfeladatok2020'!$B$167:$B$321,'14.mell_Önk kiegészítés2020'!$A99,'13.mell_ÖNKfeladatok2020'!AF$167:AF$321)</f>
        <v>0</v>
      </c>
      <c r="P99" s="543">
        <f>+SUMIF('13.mell_ÖNKfeladatok2020'!$B$167:$B$321,'14.mell_Önk kiegészítés2020'!$A99,'13.mell_ÖNKfeladatok2020'!AN$167:AN$321)</f>
        <v>0</v>
      </c>
      <c r="Q99" s="543">
        <f>+SUMIF('13.mell_ÖNKfeladatok2020'!$B$167:$B$321,'14.mell_Önk kiegészítés2020'!$A99,'13.mell_ÖNKfeladatok2020'!AR$167:AR$321)</f>
        <v>0</v>
      </c>
      <c r="R99" s="543">
        <f>+SUMIF('13.mell_ÖNKfeladatok2020'!$B$167:$B$321,'14.mell_Önk kiegészítés2020'!$A99,'13.mell_ÖNKfeladatok2020'!AV$167:AV$321)</f>
        <v>0</v>
      </c>
      <c r="S99" s="582">
        <f>SUM(K99:R99)</f>
        <v>0</v>
      </c>
      <c r="T99" s="544">
        <f>S99-J99</f>
        <v>0</v>
      </c>
      <c r="U99" s="1101">
        <f>+ROUND(SUMIF('10.mell_támogatások2020'!$B$6:$B$137,'14.mell_Önk kiegészítés2020'!$A99,'10.mell_támogatások2020'!E$6:E$137)/1000,0)</f>
        <v>0</v>
      </c>
      <c r="V99" s="1081"/>
      <c r="W99" s="544">
        <f t="shared" si="75"/>
        <v>0</v>
      </c>
    </row>
    <row r="100" spans="1:42" s="535" customFormat="1" ht="12.75" thickBot="1">
      <c r="A100" s="547" t="s">
        <v>632</v>
      </c>
      <c r="B100" s="548" t="s">
        <v>870</v>
      </c>
      <c r="C100" s="549">
        <f>SUM(C97:C99)</f>
        <v>0</v>
      </c>
      <c r="D100" s="550">
        <f t="shared" ref="D100:W100" si="76">SUM(D97:D99)</f>
        <v>0</v>
      </c>
      <c r="E100" s="550">
        <f t="shared" si="76"/>
        <v>32151</v>
      </c>
      <c r="F100" s="550">
        <f t="shared" si="76"/>
        <v>0</v>
      </c>
      <c r="G100" s="550">
        <f t="shared" si="76"/>
        <v>0</v>
      </c>
      <c r="H100" s="550">
        <f t="shared" si="76"/>
        <v>0</v>
      </c>
      <c r="I100" s="553">
        <f t="shared" si="76"/>
        <v>0</v>
      </c>
      <c r="J100" s="552">
        <f t="shared" si="76"/>
        <v>32151</v>
      </c>
      <c r="K100" s="549">
        <f t="shared" si="76"/>
        <v>14632</v>
      </c>
      <c r="L100" s="549">
        <f t="shared" si="76"/>
        <v>2507</v>
      </c>
      <c r="M100" s="549">
        <f t="shared" si="76"/>
        <v>23109</v>
      </c>
      <c r="N100" s="549">
        <f t="shared" si="76"/>
        <v>0</v>
      </c>
      <c r="O100" s="549">
        <f t="shared" si="76"/>
        <v>0</v>
      </c>
      <c r="P100" s="549">
        <f t="shared" si="76"/>
        <v>0</v>
      </c>
      <c r="Q100" s="549">
        <f t="shared" si="76"/>
        <v>0</v>
      </c>
      <c r="R100" s="549">
        <f t="shared" si="76"/>
        <v>0</v>
      </c>
      <c r="S100" s="552">
        <f t="shared" si="76"/>
        <v>40248</v>
      </c>
      <c r="T100" s="552">
        <f t="shared" si="76"/>
        <v>8097</v>
      </c>
      <c r="U100" s="1102">
        <f t="shared" si="76"/>
        <v>0</v>
      </c>
      <c r="V100" s="553">
        <f t="shared" si="76"/>
        <v>0</v>
      </c>
      <c r="W100" s="552">
        <f t="shared" si="76"/>
        <v>8097</v>
      </c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</row>
    <row r="101" spans="1:42" ht="12.75" thickBot="1">
      <c r="A101" s="826">
        <f>+A99+1</f>
        <v>18</v>
      </c>
      <c r="B101" s="554" t="s">
        <v>871</v>
      </c>
      <c r="C101" s="555">
        <f>+SUMIF('13.mell_ÖNKfeladatok2020'!$B$5:$B$159,'14.mell_Önk kiegészítés2020'!$A101,'13.mell_ÖNKfeladatok2020'!P$5:P$159)</f>
        <v>0</v>
      </c>
      <c r="D101" s="555">
        <f>+SUMIF('13.mell_ÖNKfeladatok2020'!$B$5:$B$159,'14.mell_Önk kiegészítés2020'!$A101,'13.mell_ÖNKfeladatok2020'!T$5:T$159)</f>
        <v>0</v>
      </c>
      <c r="E101" s="555">
        <f>+SUMIF('13.mell_ÖNKfeladatok2020'!$B$5:$B$159,'14.mell_Önk kiegészítés2020'!$A101,'13.mell_ÖNKfeladatok2020'!X$5:X$159)</f>
        <v>0</v>
      </c>
      <c r="F101" s="555">
        <f>+SUMIF('13.mell_ÖNKfeladatok2020'!$B$5:$B$159,'14.mell_Önk kiegészítés2020'!$A101,'13.mell_ÖNKfeladatok2020'!AB$5:AB$159)</f>
        <v>0</v>
      </c>
      <c r="G101" s="555">
        <f>+SUMIF('13.mell_ÖNKfeladatok2020'!$B$5:$B$159,'14.mell_Önk kiegészítés2020'!$A101,'13.mell_ÖNKfeladatok2020'!AJ$5:AJ$159)</f>
        <v>0</v>
      </c>
      <c r="H101" s="555">
        <f>+SUMIF('13.mell_ÖNKfeladatok2020'!$B$5:$B$159,'14.mell_Önk kiegészítés2020'!$A101,'13.mell_ÖNKfeladatok2020'!AN$5:AN$159)</f>
        <v>0</v>
      </c>
      <c r="I101" s="555">
        <f>+SUMIF('13.mell_ÖNKfeladatok2020'!$B$5:$B$159,'14.mell_Önk kiegészítés2020'!$A101,'13.mell_ÖNKfeladatok2020'!AR$5:AR$159)</f>
        <v>0</v>
      </c>
      <c r="J101" s="584">
        <f>SUM(C101:I101)</f>
        <v>0</v>
      </c>
      <c r="K101" s="543">
        <f>+SUMIF('13.mell_ÖNKfeladatok2020'!$B$167:$B$321,'14.mell_Önk kiegészítés2020'!$A101,'13.mell_ÖNKfeladatok2020'!P$167:P$321)</f>
        <v>0</v>
      </c>
      <c r="L101" s="543">
        <f>+SUMIF('13.mell_ÖNKfeladatok2020'!$B$167:$B$321,'14.mell_Önk kiegészítés2020'!$A101,'13.mell_ÖNKfeladatok2020'!T$167:T$321)</f>
        <v>0</v>
      </c>
      <c r="M101" s="543">
        <f>+SUMIF('13.mell_ÖNKfeladatok2020'!$B$167:$B$321,'14.mell_Önk kiegészítés2020'!$A101,'13.mell_ÖNKfeladatok2020'!X$167:X$321)</f>
        <v>0</v>
      </c>
      <c r="N101" s="543">
        <f>+SUMIF('13.mell_ÖNKfeladatok2020'!$B$167:$B$321,'14.mell_Önk kiegészítés2020'!$A101,'13.mell_ÖNKfeladatok2020'!AB$167:AB$321)</f>
        <v>0</v>
      </c>
      <c r="O101" s="543">
        <f>+SUMIF('13.mell_ÖNKfeladatok2020'!$B$167:$B$321,'14.mell_Önk kiegészítés2020'!$A101,'13.mell_ÖNKfeladatok2020'!AF$167:AF$321)</f>
        <v>0</v>
      </c>
      <c r="P101" s="543">
        <f>+SUMIF('13.mell_ÖNKfeladatok2020'!$B$167:$B$321,'14.mell_Önk kiegészítés2020'!$A101,'13.mell_ÖNKfeladatok2020'!AN$167:AN$321)</f>
        <v>0</v>
      </c>
      <c r="Q101" s="543">
        <f>+SUMIF('13.mell_ÖNKfeladatok2020'!$B$167:$B$321,'14.mell_Önk kiegészítés2020'!$A101,'13.mell_ÖNKfeladatok2020'!AR$167:AR$321)</f>
        <v>0</v>
      </c>
      <c r="R101" s="543">
        <f>+SUMIF('13.mell_ÖNKfeladatok2020'!$B$167:$B$321,'14.mell_Önk kiegészítés2020'!$A101,'13.mell_ÖNKfeladatok2020'!AV$167:AV$321)</f>
        <v>0</v>
      </c>
      <c r="S101" s="582">
        <f>SUM(K101:R101)</f>
        <v>0</v>
      </c>
      <c r="T101" s="544">
        <f>S101-J101</f>
        <v>0</v>
      </c>
      <c r="U101" s="1101">
        <f>+ROUND(SUMIF('10.mell_támogatások2020'!$B$6:$B$137,'14.mell_Önk kiegészítés2020'!$A101,'10.mell_támogatások2020'!E$6:E$137)/1000,0)</f>
        <v>0</v>
      </c>
      <c r="V101" s="1081"/>
      <c r="W101" s="544">
        <f>+T101-U101-V101</f>
        <v>0</v>
      </c>
    </row>
    <row r="102" spans="1:42" s="535" customFormat="1" ht="12.75" thickBot="1">
      <c r="A102" s="547" t="s">
        <v>746</v>
      </c>
      <c r="B102" s="548" t="s">
        <v>871</v>
      </c>
      <c r="C102" s="549">
        <f>SUM(C101)</f>
        <v>0</v>
      </c>
      <c r="D102" s="550">
        <f t="shared" ref="D102:W102" si="77">SUM(D101)</f>
        <v>0</v>
      </c>
      <c r="E102" s="550">
        <f t="shared" si="77"/>
        <v>0</v>
      </c>
      <c r="F102" s="550">
        <f t="shared" si="77"/>
        <v>0</v>
      </c>
      <c r="G102" s="550">
        <f t="shared" si="77"/>
        <v>0</v>
      </c>
      <c r="H102" s="550">
        <f t="shared" si="77"/>
        <v>0</v>
      </c>
      <c r="I102" s="553">
        <f t="shared" si="77"/>
        <v>0</v>
      </c>
      <c r="J102" s="552">
        <f t="shared" si="77"/>
        <v>0</v>
      </c>
      <c r="K102" s="549">
        <f t="shared" si="77"/>
        <v>0</v>
      </c>
      <c r="L102" s="549">
        <f t="shared" si="77"/>
        <v>0</v>
      </c>
      <c r="M102" s="549">
        <f t="shared" si="77"/>
        <v>0</v>
      </c>
      <c r="N102" s="549">
        <f t="shared" si="77"/>
        <v>0</v>
      </c>
      <c r="O102" s="549">
        <f t="shared" si="77"/>
        <v>0</v>
      </c>
      <c r="P102" s="549">
        <f t="shared" si="77"/>
        <v>0</v>
      </c>
      <c r="Q102" s="549">
        <f t="shared" si="77"/>
        <v>0</v>
      </c>
      <c r="R102" s="549">
        <f t="shared" si="77"/>
        <v>0</v>
      </c>
      <c r="S102" s="552">
        <f t="shared" si="77"/>
        <v>0</v>
      </c>
      <c r="T102" s="552">
        <f t="shared" si="77"/>
        <v>0</v>
      </c>
      <c r="U102" s="1102">
        <f t="shared" si="77"/>
        <v>0</v>
      </c>
      <c r="V102" s="553">
        <f t="shared" si="77"/>
        <v>0</v>
      </c>
      <c r="W102" s="552">
        <f t="shared" si="77"/>
        <v>0</v>
      </c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</row>
    <row r="103" spans="1:42" s="535" customFormat="1" ht="12.75" thickBot="1">
      <c r="A103" s="556" t="s">
        <v>22</v>
      </c>
      <c r="B103" s="557" t="s">
        <v>872</v>
      </c>
      <c r="C103" s="558">
        <f>+C96+C100+C102</f>
        <v>0</v>
      </c>
      <c r="D103" s="559">
        <f t="shared" ref="D103:W103" si="78">+D96+D100+D102</f>
        <v>0</v>
      </c>
      <c r="E103" s="559">
        <f t="shared" si="78"/>
        <v>41459</v>
      </c>
      <c r="F103" s="559">
        <f t="shared" si="78"/>
        <v>0</v>
      </c>
      <c r="G103" s="559">
        <f t="shared" si="78"/>
        <v>0</v>
      </c>
      <c r="H103" s="559">
        <f t="shared" si="78"/>
        <v>0</v>
      </c>
      <c r="I103" s="560">
        <f t="shared" si="78"/>
        <v>0</v>
      </c>
      <c r="J103" s="561">
        <f t="shared" si="78"/>
        <v>41459</v>
      </c>
      <c r="K103" s="558">
        <f t="shared" si="78"/>
        <v>289799</v>
      </c>
      <c r="L103" s="558">
        <f t="shared" si="78"/>
        <v>54136</v>
      </c>
      <c r="M103" s="558">
        <f t="shared" si="78"/>
        <v>60026</v>
      </c>
      <c r="N103" s="558">
        <f t="shared" si="78"/>
        <v>0</v>
      </c>
      <c r="O103" s="558">
        <f t="shared" si="78"/>
        <v>22631</v>
      </c>
      <c r="P103" s="558">
        <f t="shared" si="78"/>
        <v>4000</v>
      </c>
      <c r="Q103" s="558">
        <f t="shared" si="78"/>
        <v>0</v>
      </c>
      <c r="R103" s="558">
        <f t="shared" si="78"/>
        <v>0</v>
      </c>
      <c r="S103" s="561">
        <f t="shared" si="78"/>
        <v>430592</v>
      </c>
      <c r="T103" s="561">
        <f t="shared" si="78"/>
        <v>389133</v>
      </c>
      <c r="U103" s="1104">
        <f t="shared" si="78"/>
        <v>146755</v>
      </c>
      <c r="V103" s="560">
        <f t="shared" si="78"/>
        <v>-40624</v>
      </c>
      <c r="W103" s="561">
        <f t="shared" si="78"/>
        <v>283002</v>
      </c>
      <c r="Y103" s="535">
        <f>+'13.mell_ÖNKfeladatok2020'!$J$111-J103</f>
        <v>0</v>
      </c>
      <c r="Z103" s="535">
        <f>+'13.mell_ÖNKfeladatok2020'!$J$273-S103</f>
        <v>33</v>
      </c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</row>
    <row r="104" spans="1:42" s="535" customFormat="1" ht="12.75" thickBot="1">
      <c r="A104" s="567"/>
      <c r="B104" s="568"/>
      <c r="C104" s="569"/>
      <c r="D104" s="569"/>
      <c r="E104" s="569"/>
      <c r="F104" s="569"/>
      <c r="G104" s="569"/>
      <c r="H104" s="569"/>
      <c r="I104" s="866"/>
      <c r="J104" s="572"/>
      <c r="K104" s="569"/>
      <c r="L104" s="569"/>
      <c r="M104" s="569"/>
      <c r="N104" s="569"/>
      <c r="O104" s="569"/>
      <c r="P104" s="569"/>
      <c r="Q104" s="569"/>
      <c r="R104" s="569"/>
      <c r="S104" s="572"/>
      <c r="T104" s="572"/>
      <c r="U104" s="866"/>
      <c r="V104" s="571"/>
      <c r="W104" s="57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</row>
    <row r="105" spans="1:42">
      <c r="A105" s="825">
        <f>+A101+1</f>
        <v>19</v>
      </c>
      <c r="B105" s="731" t="s">
        <v>1078</v>
      </c>
      <c r="C105" s="869">
        <f>+SUMIF('13.mell_ÖNKfeladatok2020'!$B$5:$B$159,'14.mell_Önk kiegészítés2020'!$A105,'13.mell_ÖNKfeladatok2020'!P$5:P$159)</f>
        <v>0</v>
      </c>
      <c r="D105" s="869">
        <f>+SUMIF('13.mell_ÖNKfeladatok2020'!$B$5:$B$159,'14.mell_Önk kiegészítés2020'!$A105,'13.mell_ÖNKfeladatok2020'!T$5:T$159)</f>
        <v>0</v>
      </c>
      <c r="E105" s="869">
        <f>+SUMIF('13.mell_ÖNKfeladatok2020'!$B$5:$B$159,'14.mell_Önk kiegészítés2020'!$A105,'13.mell_ÖNKfeladatok2020'!X$5:X$159)</f>
        <v>0</v>
      </c>
      <c r="F105" s="869">
        <f>+SUMIF('13.mell_ÖNKfeladatok2020'!$B$5:$B$159,'14.mell_Önk kiegészítés2020'!$A105,'13.mell_ÖNKfeladatok2020'!AB$5:AB$159)</f>
        <v>0</v>
      </c>
      <c r="G105" s="869">
        <f>+SUMIF('13.mell_ÖNKfeladatok2020'!$B$5:$B$159,'14.mell_Önk kiegészítés2020'!$A105,'13.mell_ÖNKfeladatok2020'!AJ$5:AJ$159)</f>
        <v>0</v>
      </c>
      <c r="H105" s="869">
        <f>+SUMIF('13.mell_ÖNKfeladatok2020'!$B$5:$B$159,'14.mell_Önk kiegészítés2020'!$A105,'13.mell_ÖNKfeladatok2020'!AN$5:AN$159)</f>
        <v>0</v>
      </c>
      <c r="I105" s="869">
        <f>+SUMIF('13.mell_ÖNKfeladatok2020'!$B$5:$B$159,'14.mell_Önk kiegészítés2020'!$A105,'13.mell_ÖNKfeladatok2020'!AR$5:AR$159)</f>
        <v>0</v>
      </c>
      <c r="J105" s="732">
        <f>SUM(C105:I105)</f>
        <v>0</v>
      </c>
      <c r="K105" s="869">
        <f>+SUMIF('13.mell_ÖNKfeladatok2020'!$B$167:$B$321,'14.mell_Önk kiegészítés2020'!$A105,'13.mell_ÖNKfeladatok2020'!P$167:P$321)</f>
        <v>226582</v>
      </c>
      <c r="L105" s="869">
        <f>+SUMIF('13.mell_ÖNKfeladatok2020'!$B$167:$B$321,'14.mell_Önk kiegészítés2020'!$A105,'13.mell_ÖNKfeladatok2020'!T$167:T$321)</f>
        <v>44839</v>
      </c>
      <c r="M105" s="869">
        <f>+SUMIF('13.mell_ÖNKfeladatok2020'!$B$167:$B$321,'14.mell_Önk kiegészítés2020'!$A105,'13.mell_ÖNKfeladatok2020'!X$167:X$321)</f>
        <v>25891</v>
      </c>
      <c r="N105" s="869">
        <f>+SUMIF('13.mell_ÖNKfeladatok2020'!$B$167:$B$321,'14.mell_Önk kiegészítés2020'!$A105,'13.mell_ÖNKfeladatok2020'!AB$167:AB$321)</f>
        <v>0</v>
      </c>
      <c r="O105" s="869">
        <f>+SUMIF('13.mell_ÖNKfeladatok2020'!$B$167:$B$321,'14.mell_Önk kiegészítés2020'!$A105,'13.mell_ÖNKfeladatok2020'!AF$167:AF$321)</f>
        <v>110</v>
      </c>
      <c r="P105" s="869">
        <f>+SUMIF('13.mell_ÖNKfeladatok2020'!$B$167:$B$321,'14.mell_Önk kiegészítés2020'!$A105,'13.mell_ÖNKfeladatok2020'!AN$167:AN$321)</f>
        <v>1100</v>
      </c>
      <c r="Q105" s="869">
        <f>+SUMIF('13.mell_ÖNKfeladatok2020'!$B$167:$B$321,'14.mell_Önk kiegészítés2020'!$A105,'13.mell_ÖNKfeladatok2020'!AR$167:AR$321)</f>
        <v>0</v>
      </c>
      <c r="R105" s="869">
        <f>+SUMIF('13.mell_ÖNKfeladatok2020'!$B$167:$B$321,'14.mell_Önk kiegészítés2020'!$A105,'13.mell_ÖNKfeladatok2020'!AV$167:AV$321)</f>
        <v>0</v>
      </c>
      <c r="S105" s="732">
        <f>SUM(K105:R105)</f>
        <v>298522</v>
      </c>
      <c r="T105" s="733">
        <f>S105-J105</f>
        <v>298522</v>
      </c>
      <c r="U105" s="1105">
        <f>+ROUND(SUMIF('10.mell_támogatások2020'!$B$6:$B$137,'14.mell_Önk kiegészítés2020'!$A105,'10.mell_támogatások2020'!E$6:E$137)/1000,0)</f>
        <v>256541</v>
      </c>
      <c r="V105" s="1083">
        <v>49</v>
      </c>
      <c r="W105" s="733">
        <f t="shared" ref="W105:W107" si="79">+T105-U105-V105</f>
        <v>41932</v>
      </c>
      <c r="AG105" s="262">
        <f>(24+4)+(18+3)</f>
        <v>49</v>
      </c>
    </row>
    <row r="106" spans="1:42">
      <c r="A106" s="826">
        <f>+A105+1</f>
        <v>20</v>
      </c>
      <c r="B106" s="542" t="s">
        <v>1151</v>
      </c>
      <c r="C106" s="543">
        <f>+SUMIF('13.mell_ÖNKfeladatok2020'!$B$5:$B$159,'14.mell_Önk kiegészítés2020'!$A106,'13.mell_ÖNKfeladatok2020'!P$5:P$159)</f>
        <v>0</v>
      </c>
      <c r="D106" s="543">
        <f>+SUMIF('13.mell_ÖNKfeladatok2020'!$B$5:$B$159,'14.mell_Önk kiegészítés2020'!$A106,'13.mell_ÖNKfeladatok2020'!T$5:T$159)</f>
        <v>0</v>
      </c>
      <c r="E106" s="543">
        <f>+SUMIF('13.mell_ÖNKfeladatok2020'!$B$5:$B$159,'14.mell_Önk kiegészítés2020'!$A106,'13.mell_ÖNKfeladatok2020'!X$5:X$159)</f>
        <v>21571</v>
      </c>
      <c r="F106" s="543">
        <f>+SUMIF('13.mell_ÖNKfeladatok2020'!$B$5:$B$159,'14.mell_Önk kiegészítés2020'!$A106,'13.mell_ÖNKfeladatok2020'!AB$5:AB$159)</f>
        <v>0</v>
      </c>
      <c r="G106" s="543">
        <f>+SUMIF('13.mell_ÖNKfeladatok2020'!$B$5:$B$159,'14.mell_Önk kiegészítés2020'!$A106,'13.mell_ÖNKfeladatok2020'!AJ$5:AJ$159)</f>
        <v>0</v>
      </c>
      <c r="H106" s="543">
        <f>+SUMIF('13.mell_ÖNKfeladatok2020'!$B$5:$B$159,'14.mell_Önk kiegészítés2020'!$A106,'13.mell_ÖNKfeladatok2020'!AN$5:AN$159)</f>
        <v>0</v>
      </c>
      <c r="I106" s="543">
        <f>+SUMIF('13.mell_ÖNKfeladatok2020'!$B$5:$B$159,'14.mell_Önk kiegészítés2020'!$A106,'13.mell_ÖNKfeladatok2020'!AR$5:AR$159)</f>
        <v>0</v>
      </c>
      <c r="J106" s="582">
        <f>SUM(C106:I106)</f>
        <v>21571</v>
      </c>
      <c r="K106" s="543">
        <f>+SUMIF('13.mell_ÖNKfeladatok2020'!$B$167:$B$321,'14.mell_Önk kiegészítés2020'!$A106,'13.mell_ÖNKfeladatok2020'!P$167:P$321)</f>
        <v>0</v>
      </c>
      <c r="L106" s="543">
        <f>+SUMIF('13.mell_ÖNKfeladatok2020'!$B$167:$B$321,'14.mell_Önk kiegészítés2020'!$A106,'13.mell_ÖNKfeladatok2020'!T$167:T$321)</f>
        <v>0</v>
      </c>
      <c r="M106" s="543">
        <f>+SUMIF('13.mell_ÖNKfeladatok2020'!$B$167:$B$321,'14.mell_Önk kiegészítés2020'!$A106,'13.mell_ÖNKfeladatok2020'!X$167:X$321)</f>
        <v>93915</v>
      </c>
      <c r="N106" s="543">
        <f>+SUMIF('13.mell_ÖNKfeladatok2020'!$B$167:$B$321,'14.mell_Önk kiegészítés2020'!$A106,'13.mell_ÖNKfeladatok2020'!AB$167:AB$321)</f>
        <v>0</v>
      </c>
      <c r="O106" s="543">
        <f>+SUMIF('13.mell_ÖNKfeladatok2020'!$B$167:$B$321,'14.mell_Önk kiegészítés2020'!$A106,'13.mell_ÖNKfeladatok2020'!AF$167:AF$321)</f>
        <v>0</v>
      </c>
      <c r="P106" s="543">
        <f>+SUMIF('13.mell_ÖNKfeladatok2020'!$B$167:$B$321,'14.mell_Önk kiegészítés2020'!$A106,'13.mell_ÖNKfeladatok2020'!AN$167:AN$321)</f>
        <v>0</v>
      </c>
      <c r="Q106" s="543">
        <f>+SUMIF('13.mell_ÖNKfeladatok2020'!$B$167:$B$321,'14.mell_Önk kiegészítés2020'!$A106,'13.mell_ÖNKfeladatok2020'!AR$167:AR$321)</f>
        <v>0</v>
      </c>
      <c r="R106" s="543">
        <f>+SUMIF('13.mell_ÖNKfeladatok2020'!$B$167:$B$321,'14.mell_Önk kiegészítés2020'!$A106,'13.mell_ÖNKfeladatok2020'!AV$167:AV$321)</f>
        <v>0</v>
      </c>
      <c r="S106" s="582">
        <f>SUM(K106:R106)</f>
        <v>93915</v>
      </c>
      <c r="T106" s="544">
        <f>S106-J106</f>
        <v>72344</v>
      </c>
      <c r="U106" s="1101">
        <f>+ROUND(SUMIF('10.mell_támogatások2020'!$B$6:$B$137,'14.mell_Önk kiegészítés2020'!$A106,'10.mell_támogatások2020'!E$6:E$137)/1000,0)</f>
        <v>71117</v>
      </c>
      <c r="V106" s="1081">
        <v>1592</v>
      </c>
      <c r="W106" s="544">
        <f t="shared" si="79"/>
        <v>-365</v>
      </c>
      <c r="AI106" s="262">
        <v>1592</v>
      </c>
    </row>
    <row r="107" spans="1:42" ht="12.75" thickBot="1">
      <c r="A107" s="867">
        <f>+A106+1</f>
        <v>21</v>
      </c>
      <c r="B107" s="554" t="s">
        <v>1144</v>
      </c>
      <c r="C107" s="555">
        <f>+SUMIF('13.mell_ÖNKfeladatok2020'!$B$5:$B$159,'14.mell_Önk kiegészítés2020'!$A107,'13.mell_ÖNKfeladatok2020'!P$5:P$159)</f>
        <v>0</v>
      </c>
      <c r="D107" s="555">
        <f>+SUMIF('13.mell_ÖNKfeladatok2020'!$B$5:$B$159,'14.mell_Önk kiegészítés2020'!$A107,'13.mell_ÖNKfeladatok2020'!T$5:T$159)</f>
        <v>0</v>
      </c>
      <c r="E107" s="555">
        <f>+SUMIF('13.mell_ÖNKfeladatok2020'!$B$5:$B$159,'14.mell_Önk kiegészítés2020'!$A107,'13.mell_ÖNKfeladatok2020'!X$5:X$159)</f>
        <v>0</v>
      </c>
      <c r="F107" s="555">
        <f>+SUMIF('13.mell_ÖNKfeladatok2020'!$B$5:$B$159,'14.mell_Önk kiegészítés2020'!$A107,'13.mell_ÖNKfeladatok2020'!AB$5:AB$159)</f>
        <v>0</v>
      </c>
      <c r="G107" s="555">
        <f>+SUMIF('13.mell_ÖNKfeladatok2020'!$B$5:$B$159,'14.mell_Önk kiegészítés2020'!$A107,'13.mell_ÖNKfeladatok2020'!AJ$5:AJ$159)</f>
        <v>0</v>
      </c>
      <c r="H107" s="555">
        <f>+SUMIF('13.mell_ÖNKfeladatok2020'!$B$5:$B$159,'14.mell_Önk kiegészítés2020'!$A107,'13.mell_ÖNKfeladatok2020'!AN$5:AN$159)</f>
        <v>0</v>
      </c>
      <c r="I107" s="555">
        <f>+SUMIF('13.mell_ÖNKfeladatok2020'!$B$5:$B$159,'14.mell_Önk kiegészítés2020'!$A107,'13.mell_ÖNKfeladatok2020'!AR$5:AR$159)</f>
        <v>0</v>
      </c>
      <c r="J107" s="584">
        <f>SUM(C107:I107)</f>
        <v>0</v>
      </c>
      <c r="K107" s="540">
        <f>+SUMIF('13.mell_ÖNKfeladatok2020'!$B$167:$B$321,'14.mell_Önk kiegészítés2020'!$A107,'13.mell_ÖNKfeladatok2020'!P$167:P$321)</f>
        <v>33994</v>
      </c>
      <c r="L107" s="540">
        <f>+SUMIF('13.mell_ÖNKfeladatok2020'!$B$167:$B$321,'14.mell_Önk kiegészítés2020'!$A107,'13.mell_ÖNKfeladatok2020'!T$167:T$321)</f>
        <v>5975</v>
      </c>
      <c r="M107" s="540">
        <f>+SUMIF('13.mell_ÖNKfeladatok2020'!$B$167:$B$321,'14.mell_Önk kiegészítés2020'!$A107,'13.mell_ÖNKfeladatok2020'!X$167:X$321)</f>
        <v>4693</v>
      </c>
      <c r="N107" s="540">
        <f>+SUMIF('13.mell_ÖNKfeladatok2020'!$B$167:$B$321,'14.mell_Önk kiegészítés2020'!$A107,'13.mell_ÖNKfeladatok2020'!AB$167:AB$321)</f>
        <v>0</v>
      </c>
      <c r="O107" s="540">
        <f>+SUMIF('13.mell_ÖNKfeladatok2020'!$B$167:$B$321,'14.mell_Önk kiegészítés2020'!$A107,'13.mell_ÖNKfeladatok2020'!AF$167:AF$321)</f>
        <v>0</v>
      </c>
      <c r="P107" s="540">
        <f>+SUMIF('13.mell_ÖNKfeladatok2020'!$B$167:$B$321,'14.mell_Önk kiegészítés2020'!$A107,'13.mell_ÖNKfeladatok2020'!AN$167:AN$321)</f>
        <v>0</v>
      </c>
      <c r="Q107" s="540">
        <f>+SUMIF('13.mell_ÖNKfeladatok2020'!$B$167:$B$321,'14.mell_Önk kiegészítés2020'!$A107,'13.mell_ÖNKfeladatok2020'!AR$167:AR$321)</f>
        <v>0</v>
      </c>
      <c r="R107" s="540">
        <f>+SUMIF('13.mell_ÖNKfeladatok2020'!$B$167:$B$321,'14.mell_Önk kiegészítés2020'!$A107,'13.mell_ÖNKfeladatok2020'!AV$167:AV$321)</f>
        <v>0</v>
      </c>
      <c r="S107" s="581">
        <f>SUM(K107:R107)</f>
        <v>44662</v>
      </c>
      <c r="T107" s="541">
        <f>S107-J107</f>
        <v>44662</v>
      </c>
      <c r="U107" s="1100">
        <f>+ROUND(SUMIF('10.mell_támogatások2020'!$B$6:$B$137,'14.mell_Önk kiegészítés2020'!$A107,'10.mell_támogatások2020'!E$6:E$137)/1000,0)</f>
        <v>24592</v>
      </c>
      <c r="V107" s="1080"/>
      <c r="W107" s="541">
        <f t="shared" si="79"/>
        <v>20070</v>
      </c>
    </row>
    <row r="108" spans="1:42" s="535" customFormat="1" ht="12.75" thickBot="1">
      <c r="A108" s="344" t="s">
        <v>747</v>
      </c>
      <c r="B108" s="494" t="s">
        <v>417</v>
      </c>
      <c r="C108" s="549">
        <f>SUM(C105:C107)</f>
        <v>0</v>
      </c>
      <c r="D108" s="549">
        <f t="shared" ref="D108:W108" si="80">SUM(D105:D107)</f>
        <v>0</v>
      </c>
      <c r="E108" s="549">
        <f t="shared" si="80"/>
        <v>21571</v>
      </c>
      <c r="F108" s="549">
        <f t="shared" si="80"/>
        <v>0</v>
      </c>
      <c r="G108" s="549">
        <f t="shared" si="80"/>
        <v>0</v>
      </c>
      <c r="H108" s="549">
        <f t="shared" si="80"/>
        <v>0</v>
      </c>
      <c r="I108" s="549">
        <f t="shared" si="80"/>
        <v>0</v>
      </c>
      <c r="J108" s="552">
        <f t="shared" si="80"/>
        <v>21571</v>
      </c>
      <c r="K108" s="549">
        <f t="shared" si="80"/>
        <v>260576</v>
      </c>
      <c r="L108" s="549">
        <f t="shared" si="80"/>
        <v>50814</v>
      </c>
      <c r="M108" s="549">
        <f t="shared" si="80"/>
        <v>124499</v>
      </c>
      <c r="N108" s="549">
        <f t="shared" si="80"/>
        <v>0</v>
      </c>
      <c r="O108" s="549">
        <f t="shared" si="80"/>
        <v>110</v>
      </c>
      <c r="P108" s="549">
        <f t="shared" si="80"/>
        <v>1100</v>
      </c>
      <c r="Q108" s="549">
        <f t="shared" si="80"/>
        <v>0</v>
      </c>
      <c r="R108" s="549">
        <f t="shared" si="80"/>
        <v>0</v>
      </c>
      <c r="S108" s="552">
        <f t="shared" si="80"/>
        <v>437099</v>
      </c>
      <c r="T108" s="552">
        <f t="shared" si="80"/>
        <v>415528</v>
      </c>
      <c r="U108" s="1102">
        <f t="shared" si="80"/>
        <v>352250</v>
      </c>
      <c r="V108" s="553">
        <f t="shared" si="80"/>
        <v>1641</v>
      </c>
      <c r="W108" s="552">
        <f t="shared" si="80"/>
        <v>61637</v>
      </c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</row>
    <row r="109" spans="1:42" ht="12.75" thickBot="1">
      <c r="A109" s="870">
        <f>+A107+1</f>
        <v>22</v>
      </c>
      <c r="B109" s="554" t="s">
        <v>418</v>
      </c>
      <c r="C109" s="555">
        <f>+SUMIF('13.mell_ÖNKfeladatok2020'!$B$5:$B$159,'14.mell_Önk kiegészítés2020'!$A109,'13.mell_ÖNKfeladatok2020'!P$5:P$159)</f>
        <v>0</v>
      </c>
      <c r="D109" s="555">
        <f>+SUMIF('13.mell_ÖNKfeladatok2020'!$B$5:$B$159,'14.mell_Önk kiegészítés2020'!$A109,'13.mell_ÖNKfeladatok2020'!T$5:T$159)</f>
        <v>0</v>
      </c>
      <c r="E109" s="555">
        <f>+SUMIF('13.mell_ÖNKfeladatok2020'!$B$5:$B$159,'14.mell_Önk kiegészítés2020'!$A109,'13.mell_ÖNKfeladatok2020'!X$5:X$159)</f>
        <v>0</v>
      </c>
      <c r="F109" s="555">
        <f>+SUMIF('13.mell_ÖNKfeladatok2020'!$B$5:$B$159,'14.mell_Önk kiegészítés2020'!$A109,'13.mell_ÖNKfeladatok2020'!AB$5:AB$159)</f>
        <v>0</v>
      </c>
      <c r="G109" s="555">
        <f>+SUMIF('13.mell_ÖNKfeladatok2020'!$B$5:$B$159,'14.mell_Önk kiegészítés2020'!$A109,'13.mell_ÖNKfeladatok2020'!AJ$5:AJ$159)</f>
        <v>0</v>
      </c>
      <c r="H109" s="555">
        <f>+SUMIF('13.mell_ÖNKfeladatok2020'!$B$5:$B$159,'14.mell_Önk kiegészítés2020'!$A109,'13.mell_ÖNKfeladatok2020'!AN$5:AN$159)</f>
        <v>0</v>
      </c>
      <c r="I109" s="555">
        <f>+SUMIF('13.mell_ÖNKfeladatok2020'!$B$5:$B$159,'14.mell_Önk kiegészítés2020'!$A109,'13.mell_ÖNKfeladatok2020'!AR$5:AR$159)</f>
        <v>0</v>
      </c>
      <c r="J109" s="584">
        <f>SUM(C109:I109)</f>
        <v>0</v>
      </c>
      <c r="K109" s="546">
        <f>+SUMIF('13.mell_ÖNKfeladatok2020'!$B$167:$B$321,'14.mell_Önk kiegészítés2020'!$A109,'13.mell_ÖNKfeladatok2020'!P$167:P$321)</f>
        <v>0</v>
      </c>
      <c r="L109" s="546">
        <f>+SUMIF('13.mell_ÖNKfeladatok2020'!$B$167:$B$321,'14.mell_Önk kiegészítés2020'!$A109,'13.mell_ÖNKfeladatok2020'!T$167:T$321)</f>
        <v>0</v>
      </c>
      <c r="M109" s="546">
        <f>+SUMIF('13.mell_ÖNKfeladatok2020'!$B$167:$B$321,'14.mell_Önk kiegészítés2020'!$A109,'13.mell_ÖNKfeladatok2020'!X$167:X$321)</f>
        <v>0</v>
      </c>
      <c r="N109" s="546">
        <f>+SUMIF('13.mell_ÖNKfeladatok2020'!$B$167:$B$321,'14.mell_Önk kiegészítés2020'!$A109,'13.mell_ÖNKfeladatok2020'!AB$167:AB$321)</f>
        <v>0</v>
      </c>
      <c r="O109" s="546">
        <f>+SUMIF('13.mell_ÖNKfeladatok2020'!$B$167:$B$321,'14.mell_Önk kiegészítés2020'!$A109,'13.mell_ÖNKfeladatok2020'!AF$167:AF$321)</f>
        <v>0</v>
      </c>
      <c r="P109" s="546">
        <f>+SUMIF('13.mell_ÖNKfeladatok2020'!$B$167:$B$321,'14.mell_Önk kiegészítés2020'!$A109,'13.mell_ÖNKfeladatok2020'!AN$167:AN$321)</f>
        <v>0</v>
      </c>
      <c r="Q109" s="546">
        <f>+SUMIF('13.mell_ÖNKfeladatok2020'!$B$167:$B$321,'14.mell_Önk kiegészítés2020'!$A109,'13.mell_ÖNKfeladatok2020'!AR$167:AR$321)</f>
        <v>0</v>
      </c>
      <c r="R109" s="546">
        <f>+SUMIF('13.mell_ÖNKfeladatok2020'!$B$167:$B$321,'14.mell_Önk kiegészítés2020'!$A109,'13.mell_ÖNKfeladatok2020'!AV$167:AV$321)</f>
        <v>0</v>
      </c>
      <c r="S109" s="583">
        <f>SUM(K109:R109)</f>
        <v>0</v>
      </c>
      <c r="T109" s="871">
        <f>S109-J109</f>
        <v>0</v>
      </c>
      <c r="U109" s="1106">
        <f>+ROUND(SUMIF('10.mell_támogatások2020'!$B$6:$B$137,'14.mell_Önk kiegészítés2020'!$A109,'10.mell_támogatások2020'!E$6:E$137)/1000,0)</f>
        <v>0</v>
      </c>
      <c r="V109" s="1084"/>
      <c r="W109" s="871">
        <f>+T109-U109-V109</f>
        <v>0</v>
      </c>
    </row>
    <row r="110" spans="1:42" s="535" customFormat="1" ht="12.75" thickBot="1">
      <c r="A110" s="344" t="s">
        <v>748</v>
      </c>
      <c r="B110" s="494" t="s">
        <v>418</v>
      </c>
      <c r="C110" s="549">
        <f>SUM(C109)</f>
        <v>0</v>
      </c>
      <c r="D110" s="549">
        <f t="shared" ref="D110:W110" si="81">SUM(D109)</f>
        <v>0</v>
      </c>
      <c r="E110" s="549">
        <f t="shared" si="81"/>
        <v>0</v>
      </c>
      <c r="F110" s="549">
        <f t="shared" si="81"/>
        <v>0</v>
      </c>
      <c r="G110" s="549">
        <f t="shared" si="81"/>
        <v>0</v>
      </c>
      <c r="H110" s="549">
        <f t="shared" si="81"/>
        <v>0</v>
      </c>
      <c r="I110" s="549">
        <f t="shared" si="81"/>
        <v>0</v>
      </c>
      <c r="J110" s="552">
        <f t="shared" si="81"/>
        <v>0</v>
      </c>
      <c r="K110" s="549">
        <f t="shared" si="81"/>
        <v>0</v>
      </c>
      <c r="L110" s="549">
        <f t="shared" si="81"/>
        <v>0</v>
      </c>
      <c r="M110" s="549">
        <f t="shared" si="81"/>
        <v>0</v>
      </c>
      <c r="N110" s="549">
        <f t="shared" si="81"/>
        <v>0</v>
      </c>
      <c r="O110" s="549">
        <f t="shared" si="81"/>
        <v>0</v>
      </c>
      <c r="P110" s="549">
        <f t="shared" si="81"/>
        <v>0</v>
      </c>
      <c r="Q110" s="549">
        <f t="shared" si="81"/>
        <v>0</v>
      </c>
      <c r="R110" s="549">
        <f t="shared" si="81"/>
        <v>0</v>
      </c>
      <c r="S110" s="552">
        <f t="shared" si="81"/>
        <v>0</v>
      </c>
      <c r="T110" s="552">
        <f t="shared" si="81"/>
        <v>0</v>
      </c>
      <c r="U110" s="1102">
        <f t="shared" si="81"/>
        <v>0</v>
      </c>
      <c r="V110" s="553">
        <f t="shared" si="81"/>
        <v>0</v>
      </c>
      <c r="W110" s="552">
        <f t="shared" si="81"/>
        <v>0</v>
      </c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</row>
    <row r="111" spans="1:42" ht="12.75" thickBot="1">
      <c r="A111" s="870">
        <f>+A109+1</f>
        <v>23</v>
      </c>
      <c r="B111" s="554" t="s">
        <v>766</v>
      </c>
      <c r="C111" s="555">
        <f>+SUMIF('13.mell_ÖNKfeladatok2020'!$B$5:$B$159,'14.mell_Önk kiegészítés2020'!$A111,'13.mell_ÖNKfeladatok2020'!P$5:P$159)</f>
        <v>0</v>
      </c>
      <c r="D111" s="555">
        <f>+SUMIF('13.mell_ÖNKfeladatok2020'!$B$5:$B$159,'14.mell_Önk kiegészítés2020'!$A111,'13.mell_ÖNKfeladatok2020'!T$5:T$159)</f>
        <v>0</v>
      </c>
      <c r="E111" s="555">
        <f>+SUMIF('13.mell_ÖNKfeladatok2020'!$B$5:$B$159,'14.mell_Önk kiegészítés2020'!$A111,'13.mell_ÖNKfeladatok2020'!X$5:X$159)</f>
        <v>0</v>
      </c>
      <c r="F111" s="555">
        <f>+SUMIF('13.mell_ÖNKfeladatok2020'!$B$5:$B$159,'14.mell_Önk kiegészítés2020'!$A111,'13.mell_ÖNKfeladatok2020'!AB$5:AB$159)</f>
        <v>0</v>
      </c>
      <c r="G111" s="555">
        <f>+SUMIF('13.mell_ÖNKfeladatok2020'!$B$5:$B$159,'14.mell_Önk kiegészítés2020'!$A111,'13.mell_ÖNKfeladatok2020'!AJ$5:AJ$159)</f>
        <v>0</v>
      </c>
      <c r="H111" s="555">
        <f>+SUMIF('13.mell_ÖNKfeladatok2020'!$B$5:$B$159,'14.mell_Önk kiegészítés2020'!$A111,'13.mell_ÖNKfeladatok2020'!AN$5:AN$159)</f>
        <v>0</v>
      </c>
      <c r="I111" s="555">
        <f>+SUMIF('13.mell_ÖNKfeladatok2020'!$B$5:$B$159,'14.mell_Önk kiegészítés2020'!$A111,'13.mell_ÖNKfeladatok2020'!AR$5:AR$159)</f>
        <v>0</v>
      </c>
      <c r="J111" s="584">
        <f>SUM(C111:I111)</f>
        <v>0</v>
      </c>
      <c r="K111" s="546">
        <f>+SUMIF('13.mell_ÖNKfeladatok2020'!$B$167:$B$321,'14.mell_Önk kiegészítés2020'!$A111,'13.mell_ÖNKfeladatok2020'!P$167:P$321)</f>
        <v>0</v>
      </c>
      <c r="L111" s="546">
        <f>+SUMIF('13.mell_ÖNKfeladatok2020'!$B$167:$B$321,'14.mell_Önk kiegészítés2020'!$A111,'13.mell_ÖNKfeladatok2020'!T$167:T$321)</f>
        <v>0</v>
      </c>
      <c r="M111" s="546">
        <f>+SUMIF('13.mell_ÖNKfeladatok2020'!$B$167:$B$321,'14.mell_Önk kiegészítés2020'!$A111,'13.mell_ÖNKfeladatok2020'!X$167:X$321)</f>
        <v>0</v>
      </c>
      <c r="N111" s="546">
        <f>+SUMIF('13.mell_ÖNKfeladatok2020'!$B$167:$B$321,'14.mell_Önk kiegészítés2020'!$A111,'13.mell_ÖNKfeladatok2020'!AB$167:AB$321)</f>
        <v>0</v>
      </c>
      <c r="O111" s="546">
        <f>+SUMIF('13.mell_ÖNKfeladatok2020'!$B$167:$B$321,'14.mell_Önk kiegészítés2020'!$A111,'13.mell_ÖNKfeladatok2020'!AF$167:AF$321)</f>
        <v>0</v>
      </c>
      <c r="P111" s="546">
        <f>+SUMIF('13.mell_ÖNKfeladatok2020'!$B$167:$B$321,'14.mell_Önk kiegészítés2020'!$A111,'13.mell_ÖNKfeladatok2020'!AN$167:AN$321)</f>
        <v>0</v>
      </c>
      <c r="Q111" s="546">
        <f>+SUMIF('13.mell_ÖNKfeladatok2020'!$B$167:$B$321,'14.mell_Önk kiegészítés2020'!$A111,'13.mell_ÖNKfeladatok2020'!AR$167:AR$321)</f>
        <v>0</v>
      </c>
      <c r="R111" s="546">
        <f>+SUMIF('13.mell_ÖNKfeladatok2020'!$B$167:$B$321,'14.mell_Önk kiegészítés2020'!$A111,'13.mell_ÖNKfeladatok2020'!AV$167:AV$321)</f>
        <v>0</v>
      </c>
      <c r="S111" s="583">
        <f>SUM(K111:R111)</f>
        <v>0</v>
      </c>
      <c r="T111" s="871">
        <f>S111-J111</f>
        <v>0</v>
      </c>
      <c r="U111" s="1106">
        <f>+ROUND(SUMIF('10.mell_támogatások2020'!$B$6:$B$137,'14.mell_Önk kiegészítés2020'!$A111,'10.mell_támogatások2020'!E$6:E$137)/1000,0)</f>
        <v>0</v>
      </c>
      <c r="V111" s="1084"/>
      <c r="W111" s="871">
        <f>+T111-U111-V111</f>
        <v>0</v>
      </c>
    </row>
    <row r="112" spans="1:42" s="535" customFormat="1" ht="12.75" thickBot="1">
      <c r="A112" s="344" t="s">
        <v>749</v>
      </c>
      <c r="B112" s="494" t="s">
        <v>766</v>
      </c>
      <c r="C112" s="549">
        <f>SUM(C111)</f>
        <v>0</v>
      </c>
      <c r="D112" s="549">
        <f t="shared" ref="D112:W112" si="82">SUM(D111)</f>
        <v>0</v>
      </c>
      <c r="E112" s="549">
        <f t="shared" si="82"/>
        <v>0</v>
      </c>
      <c r="F112" s="549">
        <f t="shared" si="82"/>
        <v>0</v>
      </c>
      <c r="G112" s="549">
        <f t="shared" si="82"/>
        <v>0</v>
      </c>
      <c r="H112" s="549">
        <f t="shared" si="82"/>
        <v>0</v>
      </c>
      <c r="I112" s="549">
        <f t="shared" si="82"/>
        <v>0</v>
      </c>
      <c r="J112" s="552">
        <f t="shared" si="82"/>
        <v>0</v>
      </c>
      <c r="K112" s="549">
        <f t="shared" si="82"/>
        <v>0</v>
      </c>
      <c r="L112" s="549">
        <f t="shared" si="82"/>
        <v>0</v>
      </c>
      <c r="M112" s="549">
        <f t="shared" si="82"/>
        <v>0</v>
      </c>
      <c r="N112" s="549">
        <f t="shared" si="82"/>
        <v>0</v>
      </c>
      <c r="O112" s="549">
        <f t="shared" si="82"/>
        <v>0</v>
      </c>
      <c r="P112" s="549">
        <f t="shared" si="82"/>
        <v>0</v>
      </c>
      <c r="Q112" s="549">
        <f t="shared" si="82"/>
        <v>0</v>
      </c>
      <c r="R112" s="549">
        <f t="shared" si="82"/>
        <v>0</v>
      </c>
      <c r="S112" s="552">
        <f t="shared" si="82"/>
        <v>0</v>
      </c>
      <c r="T112" s="552">
        <f t="shared" si="82"/>
        <v>0</v>
      </c>
      <c r="U112" s="1102">
        <f t="shared" si="82"/>
        <v>0</v>
      </c>
      <c r="V112" s="553">
        <f t="shared" si="82"/>
        <v>0</v>
      </c>
      <c r="W112" s="552">
        <f t="shared" si="82"/>
        <v>0</v>
      </c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</row>
    <row r="113" spans="1:42" s="535" customFormat="1" ht="12.75" thickBot="1">
      <c r="A113" s="496" t="s">
        <v>21</v>
      </c>
      <c r="B113" s="508" t="s">
        <v>419</v>
      </c>
      <c r="C113" s="558">
        <f>+C108+C110+C112</f>
        <v>0</v>
      </c>
      <c r="D113" s="559">
        <f t="shared" ref="D113:W113" si="83">+D108+D110+D112</f>
        <v>0</v>
      </c>
      <c r="E113" s="559">
        <f t="shared" si="83"/>
        <v>21571</v>
      </c>
      <c r="F113" s="559">
        <f t="shared" si="83"/>
        <v>0</v>
      </c>
      <c r="G113" s="559">
        <f t="shared" si="83"/>
        <v>0</v>
      </c>
      <c r="H113" s="559">
        <f t="shared" si="83"/>
        <v>0</v>
      </c>
      <c r="I113" s="560">
        <f t="shared" si="83"/>
        <v>0</v>
      </c>
      <c r="J113" s="561">
        <f t="shared" si="83"/>
        <v>21571</v>
      </c>
      <c r="K113" s="558">
        <f t="shared" si="83"/>
        <v>260576</v>
      </c>
      <c r="L113" s="558">
        <f t="shared" si="83"/>
        <v>50814</v>
      </c>
      <c r="M113" s="558">
        <f t="shared" si="83"/>
        <v>124499</v>
      </c>
      <c r="N113" s="558">
        <f t="shared" si="83"/>
        <v>0</v>
      </c>
      <c r="O113" s="558">
        <f t="shared" si="83"/>
        <v>110</v>
      </c>
      <c r="P113" s="558">
        <f t="shared" si="83"/>
        <v>1100</v>
      </c>
      <c r="Q113" s="558">
        <f t="shared" si="83"/>
        <v>0</v>
      </c>
      <c r="R113" s="558">
        <f t="shared" si="83"/>
        <v>0</v>
      </c>
      <c r="S113" s="561">
        <f t="shared" si="83"/>
        <v>437099</v>
      </c>
      <c r="T113" s="561">
        <f t="shared" si="83"/>
        <v>415528</v>
      </c>
      <c r="U113" s="1104">
        <f t="shared" si="83"/>
        <v>352250</v>
      </c>
      <c r="V113" s="560">
        <f t="shared" si="83"/>
        <v>1641</v>
      </c>
      <c r="W113" s="561">
        <f t="shared" si="83"/>
        <v>61637</v>
      </c>
      <c r="Y113" s="535">
        <f>+'13.mell_ÖNKfeladatok2020'!$J$124-J113</f>
        <v>0</v>
      </c>
      <c r="Z113" s="535">
        <f>+'13.mell_ÖNKfeladatok2020'!$J$286-S113</f>
        <v>13340</v>
      </c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</row>
    <row r="114" spans="1:42" s="195" customFormat="1" ht="12.75" thickBot="1">
      <c r="A114" s="344"/>
      <c r="B114" s="494"/>
      <c r="C114" s="569"/>
      <c r="D114" s="570"/>
      <c r="E114" s="570"/>
      <c r="F114" s="570"/>
      <c r="G114" s="570"/>
      <c r="H114" s="570"/>
      <c r="I114" s="571"/>
      <c r="J114" s="572"/>
      <c r="K114" s="569"/>
      <c r="L114" s="569"/>
      <c r="M114" s="569"/>
      <c r="N114" s="569"/>
      <c r="O114" s="569"/>
      <c r="P114" s="569"/>
      <c r="Q114" s="569"/>
      <c r="R114" s="569"/>
      <c r="S114" s="572"/>
      <c r="T114" s="572"/>
      <c r="U114" s="866"/>
      <c r="V114" s="571"/>
      <c r="W114" s="572"/>
      <c r="AA114" s="262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</row>
    <row r="115" spans="1:42">
      <c r="A115" s="825">
        <f>+A111+1</f>
        <v>24</v>
      </c>
      <c r="B115" s="731" t="s">
        <v>1088</v>
      </c>
      <c r="C115" s="869">
        <f>+SUMIF('13.mell_ÖNKfeladatok2020'!$B$5:$B$159,'14.mell_Önk kiegészítés2020'!$A115,'13.mell_ÖNKfeladatok2020'!P$5:P$159)</f>
        <v>0</v>
      </c>
      <c r="D115" s="869">
        <f>+SUMIF('13.mell_ÖNKfeladatok2020'!$B$5:$B$159,'14.mell_Önk kiegészítés2020'!$A115,'13.mell_ÖNKfeladatok2020'!T$5:T$159)</f>
        <v>0</v>
      </c>
      <c r="E115" s="869">
        <f>+SUMIF('13.mell_ÖNKfeladatok2020'!$B$5:$B$159,'14.mell_Önk kiegészítés2020'!$A115,'13.mell_ÖNKfeladatok2020'!X$5:X$159)</f>
        <v>0</v>
      </c>
      <c r="F115" s="869">
        <f>+SUMIF('13.mell_ÖNKfeladatok2020'!$B$5:$B$159,'14.mell_Önk kiegészítés2020'!$A115,'13.mell_ÖNKfeladatok2020'!AB$5:AB$159)</f>
        <v>0</v>
      </c>
      <c r="G115" s="869">
        <f>+SUMIF('13.mell_ÖNKfeladatok2020'!$B$5:$B$159,'14.mell_Önk kiegészítés2020'!$A115,'13.mell_ÖNKfeladatok2020'!AJ$5:AJ$159)</f>
        <v>0</v>
      </c>
      <c r="H115" s="869">
        <f>+SUMIF('13.mell_ÖNKfeladatok2020'!$B$5:$B$159,'14.mell_Önk kiegészítés2020'!$A115,'13.mell_ÖNKfeladatok2020'!AN$5:AN$159)</f>
        <v>0</v>
      </c>
      <c r="I115" s="869">
        <f>+SUMIF('13.mell_ÖNKfeladatok2020'!$B$5:$B$159,'14.mell_Önk kiegészítés2020'!$A115,'13.mell_ÖNKfeladatok2020'!AR$5:AR$159)</f>
        <v>0</v>
      </c>
      <c r="J115" s="732">
        <f>SUM(C115:I115)</f>
        <v>0</v>
      </c>
      <c r="K115" s="869">
        <f>+SUMIF('13.mell_ÖNKfeladatok2020'!$B$167:$B$321,'14.mell_Önk kiegészítés2020'!$A115,'13.mell_ÖNKfeladatok2020'!P$167:P$321)</f>
        <v>0</v>
      </c>
      <c r="L115" s="869">
        <f>+SUMIF('13.mell_ÖNKfeladatok2020'!$B$167:$B$321,'14.mell_Önk kiegészítés2020'!$A115,'13.mell_ÖNKfeladatok2020'!T$167:T$321)</f>
        <v>0</v>
      </c>
      <c r="M115" s="869">
        <f>+SUMIF('13.mell_ÖNKfeladatok2020'!$B$167:$B$321,'14.mell_Önk kiegészítés2020'!$A115,'13.mell_ÖNKfeladatok2020'!X$167:X$321)</f>
        <v>1365</v>
      </c>
      <c r="N115" s="869">
        <f>+SUMIF('13.mell_ÖNKfeladatok2020'!$B$167:$B$321,'14.mell_Önk kiegészítés2020'!$A115,'13.mell_ÖNKfeladatok2020'!AB$167:AB$321)</f>
        <v>0</v>
      </c>
      <c r="O115" s="869">
        <f>+SUMIF('13.mell_ÖNKfeladatok2020'!$B$167:$B$321,'14.mell_Önk kiegészítés2020'!$A115,'13.mell_ÖNKfeladatok2020'!AF$167:AF$321)</f>
        <v>0</v>
      </c>
      <c r="P115" s="869">
        <f>+SUMIF('13.mell_ÖNKfeladatok2020'!$B$167:$B$321,'14.mell_Önk kiegészítés2020'!$A115,'13.mell_ÖNKfeladatok2020'!AN$167:AN$321)</f>
        <v>0</v>
      </c>
      <c r="Q115" s="869">
        <f>+SUMIF('13.mell_ÖNKfeladatok2020'!$B$167:$B$321,'14.mell_Önk kiegészítés2020'!$A115,'13.mell_ÖNKfeladatok2020'!AR$167:AR$321)</f>
        <v>0</v>
      </c>
      <c r="R115" s="869">
        <f>+SUMIF('13.mell_ÖNKfeladatok2020'!$B$167:$B$321,'14.mell_Önk kiegészítés2020'!$A115,'13.mell_ÖNKfeladatok2020'!AV$167:AV$321)</f>
        <v>0</v>
      </c>
      <c r="S115" s="732">
        <f>SUM(K115:R115)</f>
        <v>1365</v>
      </c>
      <c r="T115" s="733">
        <f>S115-J115</f>
        <v>1365</v>
      </c>
      <c r="U115" s="1105">
        <f>+ROUND(SUMIF('10.mell_támogatások2020'!$B$6:$B$137,'14.mell_Önk kiegészítés2020'!$A115,'10.mell_támogatások2020'!E$6:E$137)/1000,0)</f>
        <v>0</v>
      </c>
      <c r="V115" s="1083">
        <v>1321</v>
      </c>
      <c r="W115" s="733">
        <f t="shared" ref="W115:W117" si="84">+T115-U115-V115</f>
        <v>44</v>
      </c>
      <c r="AB115" s="262">
        <v>1321</v>
      </c>
    </row>
    <row r="116" spans="1:42">
      <c r="A116" s="826">
        <f>+A115+1</f>
        <v>25</v>
      </c>
      <c r="B116" s="542" t="s">
        <v>1145</v>
      </c>
      <c r="C116" s="543">
        <f>+SUMIF('13.mell_ÖNKfeladatok2020'!$B$5:$B$159,'14.mell_Önk kiegészítés2020'!$A116,'13.mell_ÖNKfeladatok2020'!P$5:P$159)</f>
        <v>0</v>
      </c>
      <c r="D116" s="543">
        <f>+SUMIF('13.mell_ÖNKfeladatok2020'!$B$5:$B$159,'14.mell_Önk kiegészítés2020'!$A116,'13.mell_ÖNKfeladatok2020'!T$5:T$159)</f>
        <v>0</v>
      </c>
      <c r="E116" s="543">
        <f>+SUMIF('13.mell_ÖNKfeladatok2020'!$B$5:$B$159,'14.mell_Önk kiegészítés2020'!$A116,'13.mell_ÖNKfeladatok2020'!X$5:X$159)</f>
        <v>500</v>
      </c>
      <c r="F116" s="543">
        <f>+SUMIF('13.mell_ÖNKfeladatok2020'!$B$5:$B$159,'14.mell_Önk kiegészítés2020'!$A116,'13.mell_ÖNKfeladatok2020'!AB$5:AB$159)</f>
        <v>0</v>
      </c>
      <c r="G116" s="543">
        <f>+SUMIF('13.mell_ÖNKfeladatok2020'!$B$5:$B$159,'14.mell_Önk kiegészítés2020'!$A116,'13.mell_ÖNKfeladatok2020'!AJ$5:AJ$159)</f>
        <v>0</v>
      </c>
      <c r="H116" s="543">
        <f>+SUMIF('13.mell_ÖNKfeladatok2020'!$B$5:$B$159,'14.mell_Önk kiegészítés2020'!$A116,'13.mell_ÖNKfeladatok2020'!AN$5:AN$159)</f>
        <v>0</v>
      </c>
      <c r="I116" s="543">
        <f>+SUMIF('13.mell_ÖNKfeladatok2020'!$B$5:$B$159,'14.mell_Önk kiegészítés2020'!$A116,'13.mell_ÖNKfeladatok2020'!AR$5:AR$159)</f>
        <v>0</v>
      </c>
      <c r="J116" s="582">
        <f>SUM(C116:I116)</f>
        <v>500</v>
      </c>
      <c r="K116" s="543">
        <f>+SUMIF('13.mell_ÖNKfeladatok2020'!$B$167:$B$321,'14.mell_Önk kiegészítés2020'!$A116,'13.mell_ÖNKfeladatok2020'!P$167:P$321)</f>
        <v>23890</v>
      </c>
      <c r="L116" s="543">
        <f>+SUMIF('13.mell_ÖNKfeladatok2020'!$B$167:$B$321,'14.mell_Önk kiegészítés2020'!$A116,'13.mell_ÖNKfeladatok2020'!T$167:T$321)</f>
        <v>4183</v>
      </c>
      <c r="M116" s="543">
        <f>+SUMIF('13.mell_ÖNKfeladatok2020'!$B$167:$B$321,'14.mell_Önk kiegészítés2020'!$A116,'13.mell_ÖNKfeladatok2020'!X$167:X$321)</f>
        <v>11708</v>
      </c>
      <c r="N116" s="543">
        <f>+SUMIF('13.mell_ÖNKfeladatok2020'!$B$167:$B$321,'14.mell_Önk kiegészítés2020'!$A116,'13.mell_ÖNKfeladatok2020'!AB$167:AB$321)</f>
        <v>0</v>
      </c>
      <c r="O116" s="543">
        <f>+SUMIF('13.mell_ÖNKfeladatok2020'!$B$167:$B$321,'14.mell_Önk kiegészítés2020'!$A116,'13.mell_ÖNKfeladatok2020'!AF$167:AF$321)</f>
        <v>329</v>
      </c>
      <c r="P116" s="543">
        <f>+SUMIF('13.mell_ÖNKfeladatok2020'!$B$167:$B$321,'14.mell_Önk kiegészítés2020'!$A116,'13.mell_ÖNKfeladatok2020'!AN$167:AN$321)</f>
        <v>7984</v>
      </c>
      <c r="Q116" s="543">
        <f>+SUMIF('13.mell_ÖNKfeladatok2020'!$B$167:$B$321,'14.mell_Önk kiegészítés2020'!$A116,'13.mell_ÖNKfeladatok2020'!AR$167:AR$321)</f>
        <v>0</v>
      </c>
      <c r="R116" s="543">
        <f>+SUMIF('13.mell_ÖNKfeladatok2020'!$B$167:$B$321,'14.mell_Önk kiegészítés2020'!$A116,'13.mell_ÖNKfeladatok2020'!AV$167:AV$321)</f>
        <v>0</v>
      </c>
      <c r="S116" s="582">
        <f>SUM(K116:R116)</f>
        <v>48094</v>
      </c>
      <c r="T116" s="544">
        <f>S116-J116</f>
        <v>47594</v>
      </c>
      <c r="U116" s="1101">
        <f>+ROUND(SUMIF('10.mell_támogatások2020'!$B$6:$B$137,'14.mell_Önk kiegészítés2020'!$A116,'10.mell_támogatások2020'!E$6:E$137)/1000,0)</f>
        <v>19209</v>
      </c>
      <c r="V116" s="1081">
        <f>-1321+43</f>
        <v>-1278</v>
      </c>
      <c r="W116" s="544">
        <f t="shared" si="84"/>
        <v>29663</v>
      </c>
      <c r="AB116" s="262">
        <v>-1321</v>
      </c>
      <c r="AG116" s="262">
        <f>(29+5)+(8+1)</f>
        <v>43</v>
      </c>
    </row>
    <row r="117" spans="1:42" ht="12.75" thickBot="1">
      <c r="A117" s="872">
        <f>+A116+1</f>
        <v>26</v>
      </c>
      <c r="B117" s="554" t="s">
        <v>1095</v>
      </c>
      <c r="C117" s="555">
        <f>+SUMIF('13.mell_ÖNKfeladatok2020'!$B$5:$B$159,'14.mell_Önk kiegészítés2020'!$A117,'13.mell_ÖNKfeladatok2020'!P$5:P$159)</f>
        <v>0</v>
      </c>
      <c r="D117" s="555">
        <f>+SUMIF('13.mell_ÖNKfeladatok2020'!$B$5:$B$159,'14.mell_Önk kiegészítés2020'!$A117,'13.mell_ÖNKfeladatok2020'!T$5:T$159)</f>
        <v>0</v>
      </c>
      <c r="E117" s="555">
        <f>+SUMIF('13.mell_ÖNKfeladatok2020'!$B$5:$B$159,'14.mell_Önk kiegészítés2020'!$A117,'13.mell_ÖNKfeladatok2020'!X$5:X$159)</f>
        <v>100</v>
      </c>
      <c r="F117" s="555">
        <f>+SUMIF('13.mell_ÖNKfeladatok2020'!$B$5:$B$159,'14.mell_Önk kiegészítés2020'!$A117,'13.mell_ÖNKfeladatok2020'!AB$5:AB$159)</f>
        <v>0</v>
      </c>
      <c r="G117" s="555">
        <f>+SUMIF('13.mell_ÖNKfeladatok2020'!$B$5:$B$159,'14.mell_Önk kiegészítés2020'!$A117,'13.mell_ÖNKfeladatok2020'!AJ$5:AJ$159)</f>
        <v>0</v>
      </c>
      <c r="H117" s="555">
        <f>+SUMIF('13.mell_ÖNKfeladatok2020'!$B$5:$B$159,'14.mell_Önk kiegészítés2020'!$A117,'13.mell_ÖNKfeladatok2020'!AN$5:AN$159)</f>
        <v>0</v>
      </c>
      <c r="I117" s="555">
        <f>+SUMIF('13.mell_ÖNKfeladatok2020'!$B$5:$B$159,'14.mell_Önk kiegészítés2020'!$A117,'13.mell_ÖNKfeladatok2020'!AR$5:AR$159)</f>
        <v>0</v>
      </c>
      <c r="J117" s="584">
        <f>SUM(C117:I117)</f>
        <v>100</v>
      </c>
      <c r="K117" s="555">
        <f>+SUMIF('13.mell_ÖNKfeladatok2020'!$B$167:$B$321,'14.mell_Önk kiegészítés2020'!$A117,'13.mell_ÖNKfeladatok2020'!P$167:P$321)</f>
        <v>3217</v>
      </c>
      <c r="L117" s="555">
        <f>+SUMIF('13.mell_ÖNKfeladatok2020'!$B$167:$B$321,'14.mell_Önk kiegészítés2020'!$A117,'13.mell_ÖNKfeladatok2020'!T$167:T$321)</f>
        <v>570</v>
      </c>
      <c r="M117" s="555">
        <f>+SUMIF('13.mell_ÖNKfeladatok2020'!$B$167:$B$321,'14.mell_Önk kiegészítés2020'!$A117,'13.mell_ÖNKfeladatok2020'!X$167:X$321)</f>
        <v>2330</v>
      </c>
      <c r="N117" s="555">
        <f>+SUMIF('13.mell_ÖNKfeladatok2020'!$B$167:$B$321,'14.mell_Önk kiegészítés2020'!$A117,'13.mell_ÖNKfeladatok2020'!AB$167:AB$321)</f>
        <v>0</v>
      </c>
      <c r="O117" s="555">
        <f>+SUMIF('13.mell_ÖNKfeladatok2020'!$B$167:$B$321,'14.mell_Önk kiegészítés2020'!$A117,'13.mell_ÖNKfeladatok2020'!AF$167:AF$321)</f>
        <v>0</v>
      </c>
      <c r="P117" s="555">
        <f>+SUMIF('13.mell_ÖNKfeladatok2020'!$B$167:$B$321,'14.mell_Önk kiegészítés2020'!$A117,'13.mell_ÖNKfeladatok2020'!AN$167:AN$321)</f>
        <v>2388</v>
      </c>
      <c r="Q117" s="555">
        <f>+SUMIF('13.mell_ÖNKfeladatok2020'!$B$167:$B$321,'14.mell_Önk kiegészítés2020'!$A117,'13.mell_ÖNKfeladatok2020'!AR$167:AR$321)</f>
        <v>0</v>
      </c>
      <c r="R117" s="555">
        <f>+SUMIF('13.mell_ÖNKfeladatok2020'!$B$167:$B$321,'14.mell_Önk kiegészítés2020'!$A117,'13.mell_ÖNKfeladatok2020'!AV$167:AV$321)</f>
        <v>0</v>
      </c>
      <c r="S117" s="584">
        <f>SUM(K117:R117)</f>
        <v>8505</v>
      </c>
      <c r="T117" s="873">
        <f>S117-J117</f>
        <v>8405</v>
      </c>
      <c r="U117" s="1107">
        <f>+ROUND(SUMIF('10.mell_támogatások2020'!$B$6:$B$137,'14.mell_Önk kiegészítés2020'!$A117,'10.mell_támogatások2020'!E$6:E$137)/1000,0)</f>
        <v>6679</v>
      </c>
      <c r="V117" s="1085"/>
      <c r="W117" s="873">
        <f t="shared" si="84"/>
        <v>1726</v>
      </c>
    </row>
    <row r="118" spans="1:42" s="535" customFormat="1" ht="12.75" thickBot="1">
      <c r="A118" s="344" t="s">
        <v>750</v>
      </c>
      <c r="B118" s="494" t="s">
        <v>420</v>
      </c>
      <c r="C118" s="549">
        <f>SUM(C115:C117)</f>
        <v>0</v>
      </c>
      <c r="D118" s="549">
        <f t="shared" ref="D118:W118" si="85">SUM(D115:D117)</f>
        <v>0</v>
      </c>
      <c r="E118" s="549">
        <f t="shared" si="85"/>
        <v>600</v>
      </c>
      <c r="F118" s="549">
        <f t="shared" si="85"/>
        <v>0</v>
      </c>
      <c r="G118" s="549">
        <f t="shared" si="85"/>
        <v>0</v>
      </c>
      <c r="H118" s="549">
        <f t="shared" si="85"/>
        <v>0</v>
      </c>
      <c r="I118" s="549">
        <f t="shared" si="85"/>
        <v>0</v>
      </c>
      <c r="J118" s="552">
        <f t="shared" si="85"/>
        <v>600</v>
      </c>
      <c r="K118" s="549">
        <f t="shared" si="85"/>
        <v>27107</v>
      </c>
      <c r="L118" s="549">
        <f t="shared" si="85"/>
        <v>4753</v>
      </c>
      <c r="M118" s="549">
        <f t="shared" si="85"/>
        <v>15403</v>
      </c>
      <c r="N118" s="549">
        <f t="shared" si="85"/>
        <v>0</v>
      </c>
      <c r="O118" s="549">
        <f t="shared" si="85"/>
        <v>329</v>
      </c>
      <c r="P118" s="549">
        <f t="shared" si="85"/>
        <v>10372</v>
      </c>
      <c r="Q118" s="549">
        <f t="shared" si="85"/>
        <v>0</v>
      </c>
      <c r="R118" s="549">
        <f t="shared" si="85"/>
        <v>0</v>
      </c>
      <c r="S118" s="552">
        <f t="shared" si="85"/>
        <v>57964</v>
      </c>
      <c r="T118" s="552">
        <f t="shared" si="85"/>
        <v>57364</v>
      </c>
      <c r="U118" s="1102">
        <f t="shared" si="85"/>
        <v>25888</v>
      </c>
      <c r="V118" s="553">
        <f t="shared" si="85"/>
        <v>43</v>
      </c>
      <c r="W118" s="552">
        <f t="shared" si="85"/>
        <v>31433</v>
      </c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</row>
    <row r="119" spans="1:42" ht="12.75" thickBot="1">
      <c r="A119" s="876">
        <f>+A117+1</f>
        <v>27</v>
      </c>
      <c r="B119" s="877" t="s">
        <v>752</v>
      </c>
      <c r="C119" s="878">
        <f>+SUMIF('13.mell_ÖNKfeladatok2020'!$B$5:$B$159,'14.mell_Önk kiegészítés2020'!$A119,'13.mell_ÖNKfeladatok2020'!P$5:P$159)</f>
        <v>0</v>
      </c>
      <c r="D119" s="878">
        <f>+SUMIF('13.mell_ÖNKfeladatok2020'!$B$5:$B$159,'14.mell_Önk kiegészítés2020'!$A119,'13.mell_ÖNKfeladatok2020'!T$5:T$159)</f>
        <v>0</v>
      </c>
      <c r="E119" s="878">
        <f>+SUMIF('13.mell_ÖNKfeladatok2020'!$B$5:$B$159,'14.mell_Önk kiegészítés2020'!$A119,'13.mell_ÖNKfeladatok2020'!X$5:X$159)</f>
        <v>0</v>
      </c>
      <c r="F119" s="878">
        <f>+SUMIF('13.mell_ÖNKfeladatok2020'!$B$5:$B$159,'14.mell_Önk kiegészítés2020'!$A119,'13.mell_ÖNKfeladatok2020'!AB$5:AB$159)</f>
        <v>0</v>
      </c>
      <c r="G119" s="878">
        <f>+SUMIF('13.mell_ÖNKfeladatok2020'!$B$5:$B$159,'14.mell_Önk kiegészítés2020'!$A119,'13.mell_ÖNKfeladatok2020'!AJ$5:AJ$159)</f>
        <v>0</v>
      </c>
      <c r="H119" s="878">
        <f>+SUMIF('13.mell_ÖNKfeladatok2020'!$B$5:$B$159,'14.mell_Önk kiegészítés2020'!$A119,'13.mell_ÖNKfeladatok2020'!AN$5:AN$159)</f>
        <v>0</v>
      </c>
      <c r="I119" s="878">
        <f>+SUMIF('13.mell_ÖNKfeladatok2020'!$B$5:$B$159,'14.mell_Önk kiegészítés2020'!$A119,'13.mell_ÖNKfeladatok2020'!AR$5:AR$159)</f>
        <v>0</v>
      </c>
      <c r="J119" s="879">
        <f>SUM(C119:I119)</f>
        <v>0</v>
      </c>
      <c r="K119" s="878">
        <f>+SUMIF('13.mell_ÖNKfeladatok2020'!$B$167:$B$321,'14.mell_Önk kiegészítés2020'!$A119,'13.mell_ÖNKfeladatok2020'!P$167:P$321)</f>
        <v>0</v>
      </c>
      <c r="L119" s="878">
        <f>+SUMIF('13.mell_ÖNKfeladatok2020'!$B$167:$B$321,'14.mell_Önk kiegészítés2020'!$A119,'13.mell_ÖNKfeladatok2020'!T$167:T$321)</f>
        <v>0</v>
      </c>
      <c r="M119" s="878">
        <f>+SUMIF('13.mell_ÖNKfeladatok2020'!$B$167:$B$321,'14.mell_Önk kiegészítés2020'!$A119,'13.mell_ÖNKfeladatok2020'!X$167:X$321)</f>
        <v>0</v>
      </c>
      <c r="N119" s="878">
        <f>+SUMIF('13.mell_ÖNKfeladatok2020'!$B$167:$B$321,'14.mell_Önk kiegészítés2020'!$A119,'13.mell_ÖNKfeladatok2020'!AB$167:AB$321)</f>
        <v>0</v>
      </c>
      <c r="O119" s="878">
        <f>+SUMIF('13.mell_ÖNKfeladatok2020'!$B$167:$B$321,'14.mell_Önk kiegészítés2020'!$A119,'13.mell_ÖNKfeladatok2020'!AF$167:AF$321)</f>
        <v>0</v>
      </c>
      <c r="P119" s="878">
        <f>+SUMIF('13.mell_ÖNKfeladatok2020'!$B$167:$B$321,'14.mell_Önk kiegészítés2020'!$A119,'13.mell_ÖNKfeladatok2020'!AN$167:AN$321)</f>
        <v>0</v>
      </c>
      <c r="Q119" s="878">
        <f>+SUMIF('13.mell_ÖNKfeladatok2020'!$B$167:$B$321,'14.mell_Önk kiegészítés2020'!$A119,'13.mell_ÖNKfeladatok2020'!AR$167:AR$321)</f>
        <v>0</v>
      </c>
      <c r="R119" s="878">
        <f>+SUMIF('13.mell_ÖNKfeladatok2020'!$B$167:$B$321,'14.mell_Önk kiegészítés2020'!$A119,'13.mell_ÖNKfeladatok2020'!AV$167:AV$321)</f>
        <v>0</v>
      </c>
      <c r="S119" s="879">
        <f>SUM(K119:R119)</f>
        <v>0</v>
      </c>
      <c r="T119" s="552">
        <f>S119-J119</f>
        <v>0</v>
      </c>
      <c r="U119" s="1108">
        <f>+ROUND(SUMIF('10.mell_támogatások2020'!$B$6:$B$137,'14.mell_Önk kiegészítés2020'!$A119,'10.mell_támogatások2020'!E$6:E$137)/1000,0)</f>
        <v>0</v>
      </c>
      <c r="V119" s="1086"/>
      <c r="W119" s="552">
        <f>+T119-U119-V119</f>
        <v>0</v>
      </c>
    </row>
    <row r="120" spans="1:42" s="535" customFormat="1" ht="12.75" thickBot="1">
      <c r="A120" s="504" t="s">
        <v>633</v>
      </c>
      <c r="B120" s="505" t="s">
        <v>752</v>
      </c>
      <c r="C120" s="874">
        <f>SUM(C119)</f>
        <v>0</v>
      </c>
      <c r="D120" s="874">
        <f t="shared" ref="D120:W120" si="86">SUM(D119)</f>
        <v>0</v>
      </c>
      <c r="E120" s="874">
        <f t="shared" si="86"/>
        <v>0</v>
      </c>
      <c r="F120" s="874">
        <f t="shared" si="86"/>
        <v>0</v>
      </c>
      <c r="G120" s="874">
        <f t="shared" si="86"/>
        <v>0</v>
      </c>
      <c r="H120" s="874">
        <f t="shared" si="86"/>
        <v>0</v>
      </c>
      <c r="I120" s="874">
        <f t="shared" si="86"/>
        <v>0</v>
      </c>
      <c r="J120" s="875">
        <f t="shared" si="86"/>
        <v>0</v>
      </c>
      <c r="K120" s="874">
        <f t="shared" si="86"/>
        <v>0</v>
      </c>
      <c r="L120" s="874">
        <f t="shared" si="86"/>
        <v>0</v>
      </c>
      <c r="M120" s="874">
        <f t="shared" si="86"/>
        <v>0</v>
      </c>
      <c r="N120" s="874">
        <f t="shared" si="86"/>
        <v>0</v>
      </c>
      <c r="O120" s="874">
        <f t="shared" si="86"/>
        <v>0</v>
      </c>
      <c r="P120" s="874">
        <f t="shared" si="86"/>
        <v>0</v>
      </c>
      <c r="Q120" s="874">
        <f t="shared" si="86"/>
        <v>0</v>
      </c>
      <c r="R120" s="874">
        <f t="shared" si="86"/>
        <v>0</v>
      </c>
      <c r="S120" s="875">
        <f t="shared" si="86"/>
        <v>0</v>
      </c>
      <c r="T120" s="875">
        <f t="shared" si="86"/>
        <v>0</v>
      </c>
      <c r="U120" s="1109">
        <f t="shared" si="86"/>
        <v>0</v>
      </c>
      <c r="V120" s="1087">
        <f t="shared" si="86"/>
        <v>0</v>
      </c>
      <c r="W120" s="875">
        <f t="shared" si="86"/>
        <v>0</v>
      </c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</row>
    <row r="121" spans="1:42" ht="12.75" thickBot="1">
      <c r="A121" s="876">
        <f>+A119+1</f>
        <v>28</v>
      </c>
      <c r="B121" s="877" t="s">
        <v>767</v>
      </c>
      <c r="C121" s="878">
        <f>+SUMIF('13.mell_ÖNKfeladatok2020'!$B$5:$B$159,'14.mell_Önk kiegészítés2020'!$A121,'13.mell_ÖNKfeladatok2020'!P$5:P$159)</f>
        <v>0</v>
      </c>
      <c r="D121" s="878">
        <f>+SUMIF('13.mell_ÖNKfeladatok2020'!$B$5:$B$159,'14.mell_Önk kiegészítés2020'!$A121,'13.mell_ÖNKfeladatok2020'!T$5:T$159)</f>
        <v>0</v>
      </c>
      <c r="E121" s="878">
        <f>+SUMIF('13.mell_ÖNKfeladatok2020'!$B$5:$B$159,'14.mell_Önk kiegészítés2020'!$A121,'13.mell_ÖNKfeladatok2020'!X$5:X$159)</f>
        <v>0</v>
      </c>
      <c r="F121" s="878">
        <f>+SUMIF('13.mell_ÖNKfeladatok2020'!$B$5:$B$159,'14.mell_Önk kiegészítés2020'!$A121,'13.mell_ÖNKfeladatok2020'!AB$5:AB$159)</f>
        <v>0</v>
      </c>
      <c r="G121" s="878">
        <f>+SUMIF('13.mell_ÖNKfeladatok2020'!$B$5:$B$159,'14.mell_Önk kiegészítés2020'!$A121,'13.mell_ÖNKfeladatok2020'!AJ$5:AJ$159)</f>
        <v>0</v>
      </c>
      <c r="H121" s="878">
        <f>+SUMIF('13.mell_ÖNKfeladatok2020'!$B$5:$B$159,'14.mell_Önk kiegészítés2020'!$A121,'13.mell_ÖNKfeladatok2020'!AN$5:AN$159)</f>
        <v>0</v>
      </c>
      <c r="I121" s="878">
        <f>+SUMIF('13.mell_ÖNKfeladatok2020'!$B$5:$B$159,'14.mell_Önk kiegészítés2020'!$A121,'13.mell_ÖNKfeladatok2020'!AR$5:AR$159)</f>
        <v>0</v>
      </c>
      <c r="J121" s="879">
        <f>SUM(C121:I121)</f>
        <v>0</v>
      </c>
      <c r="K121" s="878">
        <f>+SUMIF('13.mell_ÖNKfeladatok2020'!$B$167:$B$321,'14.mell_Önk kiegészítés2020'!$A121,'13.mell_ÖNKfeladatok2020'!P$167:P$321)</f>
        <v>0</v>
      </c>
      <c r="L121" s="878">
        <f>+SUMIF('13.mell_ÖNKfeladatok2020'!$B$167:$B$321,'14.mell_Önk kiegészítés2020'!$A121,'13.mell_ÖNKfeladatok2020'!T$167:T$321)</f>
        <v>0</v>
      </c>
      <c r="M121" s="878">
        <f>+SUMIF('13.mell_ÖNKfeladatok2020'!$B$167:$B$321,'14.mell_Önk kiegészítés2020'!$A121,'13.mell_ÖNKfeladatok2020'!X$167:X$321)</f>
        <v>0</v>
      </c>
      <c r="N121" s="878">
        <f>+SUMIF('13.mell_ÖNKfeladatok2020'!$B$167:$B$321,'14.mell_Önk kiegészítés2020'!$A121,'13.mell_ÖNKfeladatok2020'!AB$167:AB$321)</f>
        <v>0</v>
      </c>
      <c r="O121" s="878">
        <f>+SUMIF('13.mell_ÖNKfeladatok2020'!$B$167:$B$321,'14.mell_Önk kiegészítés2020'!$A121,'13.mell_ÖNKfeladatok2020'!AF$167:AF$321)</f>
        <v>0</v>
      </c>
      <c r="P121" s="878">
        <f>+SUMIF('13.mell_ÖNKfeladatok2020'!$B$167:$B$321,'14.mell_Önk kiegészítés2020'!$A121,'13.mell_ÖNKfeladatok2020'!AN$167:AN$321)</f>
        <v>0</v>
      </c>
      <c r="Q121" s="878">
        <f>+SUMIF('13.mell_ÖNKfeladatok2020'!$B$167:$B$321,'14.mell_Önk kiegészítés2020'!$A121,'13.mell_ÖNKfeladatok2020'!AR$167:AR$321)</f>
        <v>0</v>
      </c>
      <c r="R121" s="878">
        <f>+SUMIF('13.mell_ÖNKfeladatok2020'!$B$167:$B$321,'14.mell_Önk kiegészítés2020'!$A121,'13.mell_ÖNKfeladatok2020'!AV$167:AV$321)</f>
        <v>0</v>
      </c>
      <c r="S121" s="879">
        <f>SUM(K121:R121)</f>
        <v>0</v>
      </c>
      <c r="T121" s="552">
        <f>S121-J121</f>
        <v>0</v>
      </c>
      <c r="U121" s="1108">
        <f>+ROUND(SUMIF('10.mell_támogatások2020'!$B$6:$B$137,'14.mell_Önk kiegészítés2020'!$A121,'10.mell_támogatások2020'!E$6:E$137)/1000,0)</f>
        <v>0</v>
      </c>
      <c r="V121" s="1086"/>
      <c r="W121" s="552">
        <f>+T121-U121-V121</f>
        <v>0</v>
      </c>
    </row>
    <row r="122" spans="1:42" s="535" customFormat="1" ht="12.75" thickBot="1">
      <c r="A122" s="504" t="s">
        <v>751</v>
      </c>
      <c r="B122" s="505" t="s">
        <v>767</v>
      </c>
      <c r="C122" s="874">
        <f>SUM(C121)</f>
        <v>0</v>
      </c>
      <c r="D122" s="874">
        <f t="shared" ref="D122:W122" si="87">SUM(D121)</f>
        <v>0</v>
      </c>
      <c r="E122" s="874">
        <f t="shared" si="87"/>
        <v>0</v>
      </c>
      <c r="F122" s="874">
        <f t="shared" si="87"/>
        <v>0</v>
      </c>
      <c r="G122" s="874">
        <f t="shared" si="87"/>
        <v>0</v>
      </c>
      <c r="H122" s="874">
        <f t="shared" si="87"/>
        <v>0</v>
      </c>
      <c r="I122" s="874">
        <f t="shared" si="87"/>
        <v>0</v>
      </c>
      <c r="J122" s="875">
        <f t="shared" si="87"/>
        <v>0</v>
      </c>
      <c r="K122" s="874">
        <f t="shared" si="87"/>
        <v>0</v>
      </c>
      <c r="L122" s="874">
        <f t="shared" si="87"/>
        <v>0</v>
      </c>
      <c r="M122" s="874">
        <f t="shared" si="87"/>
        <v>0</v>
      </c>
      <c r="N122" s="874">
        <f t="shared" si="87"/>
        <v>0</v>
      </c>
      <c r="O122" s="874">
        <f t="shared" si="87"/>
        <v>0</v>
      </c>
      <c r="P122" s="874">
        <f t="shared" si="87"/>
        <v>0</v>
      </c>
      <c r="Q122" s="874">
        <f t="shared" si="87"/>
        <v>0</v>
      </c>
      <c r="R122" s="874">
        <f t="shared" si="87"/>
        <v>0</v>
      </c>
      <c r="S122" s="875">
        <f t="shared" si="87"/>
        <v>0</v>
      </c>
      <c r="T122" s="875">
        <f t="shared" si="87"/>
        <v>0</v>
      </c>
      <c r="U122" s="1109">
        <f t="shared" si="87"/>
        <v>0</v>
      </c>
      <c r="V122" s="1087">
        <f t="shared" si="87"/>
        <v>0</v>
      </c>
      <c r="W122" s="875">
        <f t="shared" si="87"/>
        <v>0</v>
      </c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</row>
    <row r="123" spans="1:42" s="535" customFormat="1" ht="12.75" thickBot="1">
      <c r="A123" s="496" t="s">
        <v>20</v>
      </c>
      <c r="B123" s="508" t="s">
        <v>422</v>
      </c>
      <c r="C123" s="558">
        <f>+C118+C120+C122</f>
        <v>0</v>
      </c>
      <c r="D123" s="559">
        <f t="shared" ref="D123:W123" si="88">+D118+D120+D122</f>
        <v>0</v>
      </c>
      <c r="E123" s="559">
        <f t="shared" si="88"/>
        <v>600</v>
      </c>
      <c r="F123" s="559">
        <f t="shared" si="88"/>
        <v>0</v>
      </c>
      <c r="G123" s="559">
        <f t="shared" si="88"/>
        <v>0</v>
      </c>
      <c r="H123" s="559">
        <f t="shared" si="88"/>
        <v>0</v>
      </c>
      <c r="I123" s="560">
        <f t="shared" si="88"/>
        <v>0</v>
      </c>
      <c r="J123" s="561">
        <f t="shared" si="88"/>
        <v>600</v>
      </c>
      <c r="K123" s="558">
        <f t="shared" si="88"/>
        <v>27107</v>
      </c>
      <c r="L123" s="558">
        <f t="shared" si="88"/>
        <v>4753</v>
      </c>
      <c r="M123" s="558">
        <f t="shared" si="88"/>
        <v>15403</v>
      </c>
      <c r="N123" s="558">
        <f t="shared" si="88"/>
        <v>0</v>
      </c>
      <c r="O123" s="558">
        <f t="shared" si="88"/>
        <v>329</v>
      </c>
      <c r="P123" s="558">
        <f t="shared" si="88"/>
        <v>10372</v>
      </c>
      <c r="Q123" s="558">
        <f t="shared" si="88"/>
        <v>0</v>
      </c>
      <c r="R123" s="558">
        <f t="shared" si="88"/>
        <v>0</v>
      </c>
      <c r="S123" s="561">
        <f t="shared" si="88"/>
        <v>57964</v>
      </c>
      <c r="T123" s="561">
        <f t="shared" si="88"/>
        <v>57364</v>
      </c>
      <c r="U123" s="1104">
        <f t="shared" si="88"/>
        <v>25888</v>
      </c>
      <c r="V123" s="560">
        <f t="shared" si="88"/>
        <v>43</v>
      </c>
      <c r="W123" s="561">
        <f t="shared" si="88"/>
        <v>31433</v>
      </c>
      <c r="Y123" s="535">
        <f>+'13.mell_ÖNKfeladatok2020'!$J$136-J123</f>
        <v>0</v>
      </c>
      <c r="Z123" s="535">
        <f>+'13.mell_ÖNKfeladatok2020'!$J$298-S123</f>
        <v>537</v>
      </c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</row>
    <row r="124" spans="1:42" s="195" customFormat="1" ht="12.75" thickBot="1">
      <c r="A124" s="522"/>
      <c r="B124" s="573"/>
      <c r="C124" s="562"/>
      <c r="D124" s="563"/>
      <c r="E124" s="563"/>
      <c r="F124" s="563"/>
      <c r="G124" s="563"/>
      <c r="H124" s="563"/>
      <c r="I124" s="564"/>
      <c r="J124" s="565"/>
      <c r="K124" s="574"/>
      <c r="L124" s="574"/>
      <c r="M124" s="574"/>
      <c r="N124" s="574"/>
      <c r="O124" s="574"/>
      <c r="P124" s="574"/>
      <c r="Q124" s="574"/>
      <c r="R124" s="574"/>
      <c r="S124" s="572"/>
      <c r="T124" s="572"/>
      <c r="U124" s="1110"/>
      <c r="V124" s="1088"/>
      <c r="W124" s="572"/>
      <c r="AA124" s="262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</row>
    <row r="125" spans="1:42" ht="12.75" thickBot="1">
      <c r="A125" s="825">
        <f>+A121+1</f>
        <v>29</v>
      </c>
      <c r="B125" s="731" t="s">
        <v>860</v>
      </c>
      <c r="C125" s="869">
        <f>+SUMIF('13.mell_ÖNKfeladatok2020'!$B$5:$B$159,'14.mell_Önk kiegészítés2020'!$A125,'13.mell_ÖNKfeladatok2020'!P$5:P$159)</f>
        <v>0</v>
      </c>
      <c r="D125" s="869">
        <f>+SUMIF('13.mell_ÖNKfeladatok2020'!$B$5:$B$159,'14.mell_Önk kiegészítés2020'!$A125,'13.mell_ÖNKfeladatok2020'!T$5:T$159)</f>
        <v>0</v>
      </c>
      <c r="E125" s="869">
        <f>+SUMIF('13.mell_ÖNKfeladatok2020'!$B$5:$B$159,'14.mell_Önk kiegészítés2020'!$A125,'13.mell_ÖNKfeladatok2020'!X$5:X$159)</f>
        <v>0</v>
      </c>
      <c r="F125" s="869">
        <f>+SUMIF('13.mell_ÖNKfeladatok2020'!$B$5:$B$159,'14.mell_Önk kiegészítés2020'!$A125,'13.mell_ÖNKfeladatok2020'!AB$5:AB$159)</f>
        <v>0</v>
      </c>
      <c r="G125" s="869">
        <f>+SUMIF('13.mell_ÖNKfeladatok2020'!$B$5:$B$159,'14.mell_Önk kiegészítés2020'!$A125,'13.mell_ÖNKfeladatok2020'!AJ$5:AJ$159)</f>
        <v>0</v>
      </c>
      <c r="H125" s="869">
        <f>+SUMIF('13.mell_ÖNKfeladatok2020'!$B$5:$B$159,'14.mell_Önk kiegészítés2020'!$A125,'13.mell_ÖNKfeladatok2020'!AN$5:AN$159)</f>
        <v>0</v>
      </c>
      <c r="I125" s="869">
        <f>+SUMIF('13.mell_ÖNKfeladatok2020'!$B$5:$B$159,'14.mell_Önk kiegészítés2020'!$A125,'13.mell_ÖNKfeladatok2020'!AR$5:AR$159)</f>
        <v>0</v>
      </c>
      <c r="J125" s="732">
        <f>SUM(C125:I125)</f>
        <v>0</v>
      </c>
      <c r="K125" s="869">
        <f>+SUMIF('13.mell_ÖNKfeladatok2020'!$B$167:$B$321,'14.mell_Önk kiegészítés2020'!$A125,'13.mell_ÖNKfeladatok2020'!P$167:P$321)</f>
        <v>0</v>
      </c>
      <c r="L125" s="869">
        <f>+SUMIF('13.mell_ÖNKfeladatok2020'!$B$167:$B$321,'14.mell_Önk kiegészítés2020'!$A125,'13.mell_ÖNKfeladatok2020'!T$167:T$321)</f>
        <v>0</v>
      </c>
      <c r="M125" s="869">
        <f>+SUMIF('13.mell_ÖNKfeladatok2020'!$B$167:$B$321,'14.mell_Önk kiegészítés2020'!$A125,'13.mell_ÖNKfeladatok2020'!X$167:X$321)</f>
        <v>0</v>
      </c>
      <c r="N125" s="869">
        <f>+SUMIF('13.mell_ÖNKfeladatok2020'!$B$167:$B$321,'14.mell_Önk kiegészítés2020'!$A125,'13.mell_ÖNKfeladatok2020'!AB$167:AB$321)</f>
        <v>0</v>
      </c>
      <c r="O125" s="869">
        <f>+SUMIF('13.mell_ÖNKfeladatok2020'!$B$167:$B$321,'14.mell_Önk kiegészítés2020'!$A125,'13.mell_ÖNKfeladatok2020'!AF$167:AF$321)</f>
        <v>0</v>
      </c>
      <c r="P125" s="869">
        <f>+SUMIF('13.mell_ÖNKfeladatok2020'!$B$167:$B$321,'14.mell_Önk kiegészítés2020'!$A125,'13.mell_ÖNKfeladatok2020'!AN$167:AN$321)</f>
        <v>0</v>
      </c>
      <c r="Q125" s="869">
        <f>+SUMIF('13.mell_ÖNKfeladatok2020'!$B$167:$B$321,'14.mell_Önk kiegészítés2020'!$A125,'13.mell_ÖNKfeladatok2020'!AR$167:AR$321)</f>
        <v>0</v>
      </c>
      <c r="R125" s="869">
        <f>+SUMIF('13.mell_ÖNKfeladatok2020'!$B$167:$B$321,'14.mell_Önk kiegészítés2020'!$A125,'13.mell_ÖNKfeladatok2020'!AV$167:AV$321)</f>
        <v>0</v>
      </c>
      <c r="S125" s="732">
        <f>SUM(K125:R125)</f>
        <v>0</v>
      </c>
      <c r="T125" s="733">
        <f>S125-J125</f>
        <v>0</v>
      </c>
      <c r="U125" s="1105">
        <f>+ROUND(SUMIF('10.mell_támogatások2020'!$B$6:$B$137,'14.mell_Önk kiegészítés2020'!$A125,'10.mell_támogatások2020'!E$6:E$137)/1000,0)</f>
        <v>0</v>
      </c>
      <c r="V125" s="1083"/>
      <c r="W125" s="733">
        <f>+T125-U125-V125</f>
        <v>0</v>
      </c>
    </row>
    <row r="126" spans="1:42" s="535" customFormat="1" ht="12.75" thickBot="1">
      <c r="A126" s="344" t="s">
        <v>885</v>
      </c>
      <c r="B126" s="494" t="s">
        <v>860</v>
      </c>
      <c r="C126" s="549">
        <f>SUM(C125)</f>
        <v>0</v>
      </c>
      <c r="D126" s="549">
        <f t="shared" ref="D126:W126" si="89">SUM(D125)</f>
        <v>0</v>
      </c>
      <c r="E126" s="549">
        <f t="shared" si="89"/>
        <v>0</v>
      </c>
      <c r="F126" s="549">
        <f t="shared" si="89"/>
        <v>0</v>
      </c>
      <c r="G126" s="549">
        <f t="shared" si="89"/>
        <v>0</v>
      </c>
      <c r="H126" s="549">
        <f t="shared" si="89"/>
        <v>0</v>
      </c>
      <c r="I126" s="549">
        <f t="shared" si="89"/>
        <v>0</v>
      </c>
      <c r="J126" s="552">
        <f t="shared" si="89"/>
        <v>0</v>
      </c>
      <c r="K126" s="549">
        <f t="shared" si="89"/>
        <v>0</v>
      </c>
      <c r="L126" s="549">
        <f t="shared" si="89"/>
        <v>0</v>
      </c>
      <c r="M126" s="549">
        <f t="shared" si="89"/>
        <v>0</v>
      </c>
      <c r="N126" s="549">
        <f t="shared" si="89"/>
        <v>0</v>
      </c>
      <c r="O126" s="549">
        <f t="shared" si="89"/>
        <v>0</v>
      </c>
      <c r="P126" s="549">
        <f t="shared" si="89"/>
        <v>0</v>
      </c>
      <c r="Q126" s="549">
        <f t="shared" si="89"/>
        <v>0</v>
      </c>
      <c r="R126" s="549">
        <f t="shared" si="89"/>
        <v>0</v>
      </c>
      <c r="S126" s="552">
        <f t="shared" si="89"/>
        <v>0</v>
      </c>
      <c r="T126" s="552">
        <f t="shared" si="89"/>
        <v>0</v>
      </c>
      <c r="U126" s="1102">
        <f t="shared" si="89"/>
        <v>0</v>
      </c>
      <c r="V126" s="553">
        <f t="shared" si="89"/>
        <v>0</v>
      </c>
      <c r="W126" s="552">
        <f t="shared" si="89"/>
        <v>0</v>
      </c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</row>
    <row r="127" spans="1:42" ht="12.75" thickBot="1">
      <c r="A127" s="876">
        <f>+A125+1</f>
        <v>30</v>
      </c>
      <c r="B127" s="877" t="s">
        <v>1075</v>
      </c>
      <c r="C127" s="878">
        <f>+SUMIF('13.mell_ÖNKfeladatok2020'!$B$5:$B$159,'14.mell_Önk kiegészítés2020'!$A127,'13.mell_ÖNKfeladatok2020'!P$5:P$159)</f>
        <v>3240</v>
      </c>
      <c r="D127" s="878">
        <f>+SUMIF('13.mell_ÖNKfeladatok2020'!$B$5:$B$159,'14.mell_Önk kiegészítés2020'!$A127,'13.mell_ÖNKfeladatok2020'!T$5:T$159)</f>
        <v>17553</v>
      </c>
      <c r="E127" s="878">
        <f>+SUMIF('13.mell_ÖNKfeladatok2020'!$B$5:$B$159,'14.mell_Önk kiegészítés2020'!$A127,'13.mell_ÖNKfeladatok2020'!X$5:X$159)</f>
        <v>0</v>
      </c>
      <c r="F127" s="878">
        <f>+SUMIF('13.mell_ÖNKfeladatok2020'!$B$5:$B$159,'14.mell_Önk kiegészítés2020'!$A127,'13.mell_ÖNKfeladatok2020'!AB$5:AB$159)</f>
        <v>0</v>
      </c>
      <c r="G127" s="878">
        <f>+SUMIF('13.mell_ÖNKfeladatok2020'!$B$5:$B$159,'14.mell_Önk kiegészítés2020'!$A127,'13.mell_ÖNKfeladatok2020'!AJ$5:AJ$159)</f>
        <v>0</v>
      </c>
      <c r="H127" s="878">
        <f>+SUMIF('13.mell_ÖNKfeladatok2020'!$B$5:$B$159,'14.mell_Önk kiegészítés2020'!$A127,'13.mell_ÖNKfeladatok2020'!AN$5:AN$159)</f>
        <v>0</v>
      </c>
      <c r="I127" s="878">
        <f>+SUMIF('13.mell_ÖNKfeladatok2020'!$B$5:$B$159,'14.mell_Önk kiegészítés2020'!$A127,'13.mell_ÖNKfeladatok2020'!AR$5:AR$159)</f>
        <v>0</v>
      </c>
      <c r="J127" s="879">
        <f>SUM(C127:I127)</f>
        <v>20793</v>
      </c>
      <c r="K127" s="878">
        <f>+SUMIF('13.mell_ÖNKfeladatok2020'!$B$167:$B$321,'14.mell_Önk kiegészítés2020'!$A127,'13.mell_ÖNKfeladatok2020'!P$167:P$321)</f>
        <v>9352</v>
      </c>
      <c r="L127" s="878">
        <f>+SUMIF('13.mell_ÖNKfeladatok2020'!$B$167:$B$321,'14.mell_Önk kiegészítés2020'!$A127,'13.mell_ÖNKfeladatok2020'!T$167:T$321)</f>
        <v>1371</v>
      </c>
      <c r="M127" s="878">
        <f>+SUMIF('13.mell_ÖNKfeladatok2020'!$B$167:$B$321,'14.mell_Önk kiegészítés2020'!$A127,'13.mell_ÖNKfeladatok2020'!X$167:X$321)</f>
        <v>1056</v>
      </c>
      <c r="N127" s="878">
        <f>+SUMIF('13.mell_ÖNKfeladatok2020'!$B$167:$B$321,'14.mell_Önk kiegészítés2020'!$A127,'13.mell_ÖNKfeladatok2020'!AB$167:AB$321)</f>
        <v>0</v>
      </c>
      <c r="O127" s="878">
        <f>+SUMIF('13.mell_ÖNKfeladatok2020'!$B$167:$B$321,'14.mell_Önk kiegészítés2020'!$A127,'13.mell_ÖNKfeladatok2020'!AF$167:AF$321)</f>
        <v>9038</v>
      </c>
      <c r="P127" s="878">
        <f>+SUMIF('13.mell_ÖNKfeladatok2020'!$B$167:$B$321,'14.mell_Önk kiegészítés2020'!$A127,'13.mell_ÖNKfeladatok2020'!AN$167:AN$321)</f>
        <v>0</v>
      </c>
      <c r="Q127" s="878">
        <f>+SUMIF('13.mell_ÖNKfeladatok2020'!$B$167:$B$321,'14.mell_Önk kiegészítés2020'!$A127,'13.mell_ÖNKfeladatok2020'!AR$167:AR$321)</f>
        <v>0</v>
      </c>
      <c r="R127" s="878">
        <f>+SUMIF('13.mell_ÖNKfeladatok2020'!$B$167:$B$321,'14.mell_Önk kiegészítés2020'!$A127,'13.mell_ÖNKfeladatok2020'!AV$167:AV$321)</f>
        <v>0</v>
      </c>
      <c r="S127" s="879">
        <f>SUM(K127:R127)</f>
        <v>20817</v>
      </c>
      <c r="T127" s="552">
        <f>S127-J127</f>
        <v>24</v>
      </c>
      <c r="U127" s="1108">
        <f>+ROUND(SUMIF('10.mell_támogatások2020'!$B$6:$B$137,'14.mell_Önk kiegészítés2020'!$A127,'10.mell_támogatások2020'!E$6:E$137)/1000,0)</f>
        <v>0</v>
      </c>
      <c r="V127" s="1086"/>
      <c r="W127" s="552">
        <f>+T127-U127-V127</f>
        <v>24</v>
      </c>
    </row>
    <row r="128" spans="1:42" s="535" customFormat="1" ht="12.75" thickBot="1">
      <c r="A128" s="504" t="s">
        <v>886</v>
      </c>
      <c r="B128" s="505" t="s">
        <v>861</v>
      </c>
      <c r="C128" s="549">
        <f>SUM(C127)</f>
        <v>3240</v>
      </c>
      <c r="D128" s="549">
        <f t="shared" ref="D128:W128" si="90">SUM(D127)</f>
        <v>17553</v>
      </c>
      <c r="E128" s="549">
        <f t="shared" si="90"/>
        <v>0</v>
      </c>
      <c r="F128" s="549">
        <f t="shared" si="90"/>
        <v>0</v>
      </c>
      <c r="G128" s="549">
        <f t="shared" si="90"/>
        <v>0</v>
      </c>
      <c r="H128" s="549">
        <f t="shared" si="90"/>
        <v>0</v>
      </c>
      <c r="I128" s="549">
        <f t="shared" si="90"/>
        <v>0</v>
      </c>
      <c r="J128" s="552">
        <f t="shared" si="90"/>
        <v>20793</v>
      </c>
      <c r="K128" s="549">
        <f t="shared" si="90"/>
        <v>9352</v>
      </c>
      <c r="L128" s="549">
        <f t="shared" si="90"/>
        <v>1371</v>
      </c>
      <c r="M128" s="549">
        <f t="shared" si="90"/>
        <v>1056</v>
      </c>
      <c r="N128" s="549">
        <f t="shared" si="90"/>
        <v>0</v>
      </c>
      <c r="O128" s="549">
        <f t="shared" si="90"/>
        <v>9038</v>
      </c>
      <c r="P128" s="549">
        <f t="shared" si="90"/>
        <v>0</v>
      </c>
      <c r="Q128" s="549">
        <f t="shared" si="90"/>
        <v>0</v>
      </c>
      <c r="R128" s="549">
        <f t="shared" si="90"/>
        <v>0</v>
      </c>
      <c r="S128" s="552">
        <f t="shared" si="90"/>
        <v>20817</v>
      </c>
      <c r="T128" s="552">
        <f t="shared" si="90"/>
        <v>24</v>
      </c>
      <c r="U128" s="1102">
        <f t="shared" si="90"/>
        <v>0</v>
      </c>
      <c r="V128" s="553">
        <f t="shared" si="90"/>
        <v>0</v>
      </c>
      <c r="W128" s="552">
        <f t="shared" si="90"/>
        <v>24</v>
      </c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</row>
    <row r="129" spans="1:42" ht="12.75" thickBot="1">
      <c r="A129" s="876">
        <f>+A127+1</f>
        <v>31</v>
      </c>
      <c r="B129" s="877" t="s">
        <v>888</v>
      </c>
      <c r="C129" s="878">
        <f>+SUMIF('13.mell_ÖNKfeladatok2020'!$B$5:$B$159,'14.mell_Önk kiegészítés2020'!$A129,'13.mell_ÖNKfeladatok2020'!P$5:P$159)</f>
        <v>0</v>
      </c>
      <c r="D129" s="878">
        <f>+SUMIF('13.mell_ÖNKfeladatok2020'!$B$5:$B$159,'14.mell_Önk kiegészítés2020'!$A129,'13.mell_ÖNKfeladatok2020'!T$5:T$159)</f>
        <v>0</v>
      </c>
      <c r="E129" s="878">
        <f>+SUMIF('13.mell_ÖNKfeladatok2020'!$B$5:$B$159,'14.mell_Önk kiegészítés2020'!$A129,'13.mell_ÖNKfeladatok2020'!X$5:X$159)</f>
        <v>0</v>
      </c>
      <c r="F129" s="878">
        <f>+SUMIF('13.mell_ÖNKfeladatok2020'!$B$5:$B$159,'14.mell_Önk kiegészítés2020'!$A129,'13.mell_ÖNKfeladatok2020'!AB$5:AB$159)</f>
        <v>0</v>
      </c>
      <c r="G129" s="878">
        <f>+SUMIF('13.mell_ÖNKfeladatok2020'!$B$5:$B$159,'14.mell_Önk kiegészítés2020'!$A129,'13.mell_ÖNKfeladatok2020'!AJ$5:AJ$159)</f>
        <v>0</v>
      </c>
      <c r="H129" s="878">
        <f>+SUMIF('13.mell_ÖNKfeladatok2020'!$B$5:$B$159,'14.mell_Önk kiegészítés2020'!$A129,'13.mell_ÖNKfeladatok2020'!AN$5:AN$159)</f>
        <v>0</v>
      </c>
      <c r="I129" s="878">
        <f>+SUMIF('13.mell_ÖNKfeladatok2020'!$B$5:$B$159,'14.mell_Önk kiegészítés2020'!$A129,'13.mell_ÖNKfeladatok2020'!AR$5:AR$159)</f>
        <v>0</v>
      </c>
      <c r="J129" s="879">
        <f>SUM(C129:I129)</f>
        <v>0</v>
      </c>
      <c r="K129" s="878">
        <f>+SUMIF('13.mell_ÖNKfeladatok2020'!$B$167:$B$321,'14.mell_Önk kiegészítés2020'!$A129,'13.mell_ÖNKfeladatok2020'!P$167:P$321)</f>
        <v>0</v>
      </c>
      <c r="L129" s="878">
        <f>+SUMIF('13.mell_ÖNKfeladatok2020'!$B$167:$B$321,'14.mell_Önk kiegészítés2020'!$A129,'13.mell_ÖNKfeladatok2020'!T$167:T$321)</f>
        <v>0</v>
      </c>
      <c r="M129" s="878">
        <f>+SUMIF('13.mell_ÖNKfeladatok2020'!$B$167:$B$321,'14.mell_Önk kiegészítés2020'!$A129,'13.mell_ÖNKfeladatok2020'!X$167:X$321)</f>
        <v>0</v>
      </c>
      <c r="N129" s="878">
        <f>+SUMIF('13.mell_ÖNKfeladatok2020'!$B$167:$B$321,'14.mell_Önk kiegészítés2020'!$A129,'13.mell_ÖNKfeladatok2020'!AB$167:AB$321)</f>
        <v>0</v>
      </c>
      <c r="O129" s="878">
        <f>+SUMIF('13.mell_ÖNKfeladatok2020'!$B$167:$B$321,'14.mell_Önk kiegészítés2020'!$A129,'13.mell_ÖNKfeladatok2020'!AF$167:AF$321)</f>
        <v>0</v>
      </c>
      <c r="P129" s="878">
        <f>+SUMIF('13.mell_ÖNKfeladatok2020'!$B$167:$B$321,'14.mell_Önk kiegészítés2020'!$A129,'13.mell_ÖNKfeladatok2020'!AN$167:AN$321)</f>
        <v>0</v>
      </c>
      <c r="Q129" s="878">
        <f>+SUMIF('13.mell_ÖNKfeladatok2020'!$B$167:$B$321,'14.mell_Önk kiegészítés2020'!$A129,'13.mell_ÖNKfeladatok2020'!AR$167:AR$321)</f>
        <v>0</v>
      </c>
      <c r="R129" s="878">
        <f>+SUMIF('13.mell_ÖNKfeladatok2020'!$B$167:$B$321,'14.mell_Önk kiegészítés2020'!$A129,'13.mell_ÖNKfeladatok2020'!AV$167:AV$321)</f>
        <v>0</v>
      </c>
      <c r="S129" s="879">
        <f>SUM(K129:R129)</f>
        <v>0</v>
      </c>
      <c r="T129" s="552">
        <f>S129-J129</f>
        <v>0</v>
      </c>
      <c r="U129" s="1108">
        <f>+ROUND(SUMIF('10.mell_támogatások2020'!$B$6:$B$137,'14.mell_Önk kiegészítés2020'!$A129,'10.mell_támogatások2020'!E$6:E$137)/1000,0)</f>
        <v>0</v>
      </c>
      <c r="V129" s="1086"/>
      <c r="W129" s="552">
        <f>+T129-U129-V129</f>
        <v>0</v>
      </c>
    </row>
    <row r="130" spans="1:42" s="535" customFormat="1" ht="12.75" thickBot="1">
      <c r="A130" s="504" t="s">
        <v>887</v>
      </c>
      <c r="B130" s="505" t="s">
        <v>888</v>
      </c>
      <c r="C130" s="549">
        <f>SUM(C129)</f>
        <v>0</v>
      </c>
      <c r="D130" s="549">
        <f t="shared" ref="D130:W130" si="91">SUM(D129)</f>
        <v>0</v>
      </c>
      <c r="E130" s="549">
        <f t="shared" si="91"/>
        <v>0</v>
      </c>
      <c r="F130" s="549">
        <f t="shared" si="91"/>
        <v>0</v>
      </c>
      <c r="G130" s="549">
        <f t="shared" si="91"/>
        <v>0</v>
      </c>
      <c r="H130" s="549">
        <f t="shared" si="91"/>
        <v>0</v>
      </c>
      <c r="I130" s="549">
        <f t="shared" si="91"/>
        <v>0</v>
      </c>
      <c r="J130" s="552">
        <f t="shared" si="91"/>
        <v>0</v>
      </c>
      <c r="K130" s="549">
        <f t="shared" si="91"/>
        <v>0</v>
      </c>
      <c r="L130" s="549">
        <f t="shared" si="91"/>
        <v>0</v>
      </c>
      <c r="M130" s="549">
        <f t="shared" si="91"/>
        <v>0</v>
      </c>
      <c r="N130" s="549">
        <f t="shared" si="91"/>
        <v>0</v>
      </c>
      <c r="O130" s="549">
        <f t="shared" si="91"/>
        <v>0</v>
      </c>
      <c r="P130" s="549">
        <f t="shared" si="91"/>
        <v>0</v>
      </c>
      <c r="Q130" s="549">
        <f t="shared" si="91"/>
        <v>0</v>
      </c>
      <c r="R130" s="549">
        <f t="shared" si="91"/>
        <v>0</v>
      </c>
      <c r="S130" s="552">
        <f t="shared" si="91"/>
        <v>0</v>
      </c>
      <c r="T130" s="552">
        <f t="shared" si="91"/>
        <v>0</v>
      </c>
      <c r="U130" s="1102">
        <f t="shared" si="91"/>
        <v>0</v>
      </c>
      <c r="V130" s="553">
        <f t="shared" si="91"/>
        <v>0</v>
      </c>
      <c r="W130" s="552">
        <f t="shared" si="91"/>
        <v>0</v>
      </c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</row>
    <row r="131" spans="1:42" s="535" customFormat="1" ht="12.75" thickBot="1">
      <c r="A131" s="496" t="s">
        <v>552</v>
      </c>
      <c r="B131" s="508" t="s">
        <v>862</v>
      </c>
      <c r="C131" s="558">
        <f>+C126+C128+C130</f>
        <v>3240</v>
      </c>
      <c r="D131" s="558">
        <f t="shared" ref="D131:W131" si="92">+D126+D128+D130</f>
        <v>17553</v>
      </c>
      <c r="E131" s="558">
        <f t="shared" si="92"/>
        <v>0</v>
      </c>
      <c r="F131" s="558">
        <f t="shared" si="92"/>
        <v>0</v>
      </c>
      <c r="G131" s="558">
        <f t="shared" si="92"/>
        <v>0</v>
      </c>
      <c r="H131" s="558">
        <f t="shared" si="92"/>
        <v>0</v>
      </c>
      <c r="I131" s="558">
        <f t="shared" si="92"/>
        <v>0</v>
      </c>
      <c r="J131" s="561">
        <f t="shared" si="92"/>
        <v>20793</v>
      </c>
      <c r="K131" s="558">
        <f t="shared" si="92"/>
        <v>9352</v>
      </c>
      <c r="L131" s="558">
        <f t="shared" si="92"/>
        <v>1371</v>
      </c>
      <c r="M131" s="558">
        <f t="shared" si="92"/>
        <v>1056</v>
      </c>
      <c r="N131" s="558">
        <f t="shared" si="92"/>
        <v>0</v>
      </c>
      <c r="O131" s="558">
        <f t="shared" si="92"/>
        <v>9038</v>
      </c>
      <c r="P131" s="558">
        <f t="shared" si="92"/>
        <v>0</v>
      </c>
      <c r="Q131" s="558">
        <f t="shared" si="92"/>
        <v>0</v>
      </c>
      <c r="R131" s="558">
        <f t="shared" si="92"/>
        <v>0</v>
      </c>
      <c r="S131" s="561">
        <f t="shared" si="92"/>
        <v>20817</v>
      </c>
      <c r="T131" s="561">
        <f t="shared" si="92"/>
        <v>24</v>
      </c>
      <c r="U131" s="1104">
        <f t="shared" si="92"/>
        <v>0</v>
      </c>
      <c r="V131" s="560">
        <f t="shared" si="92"/>
        <v>0</v>
      </c>
      <c r="W131" s="561">
        <f t="shared" si="92"/>
        <v>24</v>
      </c>
      <c r="Y131" s="535">
        <f>+'13.mell_ÖNKfeladatok2020'!$J$145-J131</f>
        <v>0</v>
      </c>
      <c r="Z131" s="535">
        <f>+'13.mell_ÖNKfeladatok2020'!$J$307-S131</f>
        <v>0</v>
      </c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</row>
    <row r="132" spans="1:42" s="195" customFormat="1" ht="12.75" thickBot="1">
      <c r="A132" s="522"/>
      <c r="B132" s="573"/>
      <c r="C132" s="562"/>
      <c r="D132" s="563"/>
      <c r="E132" s="563"/>
      <c r="F132" s="563"/>
      <c r="G132" s="563"/>
      <c r="H132" s="563"/>
      <c r="I132" s="564"/>
      <c r="J132" s="565"/>
      <c r="K132" s="574"/>
      <c r="L132" s="574"/>
      <c r="M132" s="574"/>
      <c r="N132" s="574"/>
      <c r="O132" s="574"/>
      <c r="P132" s="574"/>
      <c r="Q132" s="574"/>
      <c r="R132" s="574"/>
      <c r="S132" s="572"/>
      <c r="T132" s="572"/>
      <c r="U132" s="1110"/>
      <c r="V132" s="1088"/>
      <c r="W132" s="572"/>
      <c r="AA132" s="262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</row>
    <row r="133" spans="1:42" ht="12.75" thickBot="1">
      <c r="A133" s="825">
        <f>+A129+1</f>
        <v>32</v>
      </c>
      <c r="B133" s="731" t="s">
        <v>1152</v>
      </c>
      <c r="C133" s="869">
        <f>+SUMIF('13.mell_ÖNKfeladatok2020'!$B$5:$B$159,'14.mell_Önk kiegészítés2020'!$A133,'13.mell_ÖNKfeladatok2020'!P$5:P$159)</f>
        <v>0</v>
      </c>
      <c r="D133" s="869">
        <f>+SUMIF('13.mell_ÖNKfeladatok2020'!$B$5:$B$159,'14.mell_Önk kiegészítés2020'!$A133,'13.mell_ÖNKfeladatok2020'!T$5:T$159)</f>
        <v>0</v>
      </c>
      <c r="E133" s="869">
        <f>+SUMIF('13.mell_ÖNKfeladatok2020'!$B$5:$B$159,'14.mell_Önk kiegészítés2020'!$A133,'13.mell_ÖNKfeladatok2020'!X$5:X$159)</f>
        <v>0</v>
      </c>
      <c r="F133" s="869">
        <f>+SUMIF('13.mell_ÖNKfeladatok2020'!$B$5:$B$159,'14.mell_Önk kiegészítés2020'!$A133,'13.mell_ÖNKfeladatok2020'!AB$5:AB$159)</f>
        <v>0</v>
      </c>
      <c r="G133" s="869">
        <f>+SUMIF('13.mell_ÖNKfeladatok2020'!$B$5:$B$159,'14.mell_Önk kiegészítés2020'!$A133,'13.mell_ÖNKfeladatok2020'!AJ$5:AJ$159)</f>
        <v>0</v>
      </c>
      <c r="H133" s="869">
        <f>+SUMIF('13.mell_ÖNKfeladatok2020'!$B$5:$B$159,'14.mell_Önk kiegészítés2020'!$A133,'13.mell_ÖNKfeladatok2020'!AN$5:AN$159)</f>
        <v>0</v>
      </c>
      <c r="I133" s="869">
        <f>+SUMIF('13.mell_ÖNKfeladatok2020'!$B$5:$B$159,'14.mell_Önk kiegészítés2020'!$A133,'13.mell_ÖNKfeladatok2020'!AR$5:AR$159)</f>
        <v>0</v>
      </c>
      <c r="J133" s="732">
        <f>SUM(C133:I133)</f>
        <v>0</v>
      </c>
      <c r="K133" s="869">
        <f>+SUMIF('13.mell_ÖNKfeladatok2020'!$B$167:$B$321,'14.mell_Önk kiegészítés2020'!$A133,'13.mell_ÖNKfeladatok2020'!P$167:P$321)</f>
        <v>71872</v>
      </c>
      <c r="L133" s="869">
        <f>+SUMIF('13.mell_ÖNKfeladatok2020'!$B$167:$B$321,'14.mell_Önk kiegészítés2020'!$A133,'13.mell_ÖNKfeladatok2020'!T$167:T$321)</f>
        <v>12571</v>
      </c>
      <c r="M133" s="869">
        <f>+SUMIF('13.mell_ÖNKfeladatok2020'!$B$167:$B$321,'14.mell_Önk kiegészítés2020'!$A133,'13.mell_ÖNKfeladatok2020'!X$167:X$321)</f>
        <v>11238</v>
      </c>
      <c r="N133" s="869">
        <f>+SUMIF('13.mell_ÖNKfeladatok2020'!$B$167:$B$321,'14.mell_Önk kiegészítés2020'!$A133,'13.mell_ÖNKfeladatok2020'!AB$167:AB$321)</f>
        <v>0</v>
      </c>
      <c r="O133" s="869">
        <f>+SUMIF('13.mell_ÖNKfeladatok2020'!$B$167:$B$321,'14.mell_Önk kiegészítés2020'!$A133,'13.mell_ÖNKfeladatok2020'!AF$167:AF$321)</f>
        <v>40</v>
      </c>
      <c r="P133" s="869">
        <f>+SUMIF('13.mell_ÖNKfeladatok2020'!$B$167:$B$321,'14.mell_Önk kiegészítés2020'!$A133,'13.mell_ÖNKfeladatok2020'!AN$167:AN$321)</f>
        <v>0</v>
      </c>
      <c r="Q133" s="869">
        <f>+SUMIF('13.mell_ÖNKfeladatok2020'!$B$167:$B$321,'14.mell_Önk kiegészítés2020'!$A133,'13.mell_ÖNKfeladatok2020'!AR$167:AR$321)</f>
        <v>0</v>
      </c>
      <c r="R133" s="869">
        <f>+SUMIF('13.mell_ÖNKfeladatok2020'!$B$167:$B$321,'14.mell_Önk kiegészítés2020'!$A133,'13.mell_ÖNKfeladatok2020'!AV$167:AV$321)</f>
        <v>0</v>
      </c>
      <c r="S133" s="732">
        <f>SUM(K133:R133)</f>
        <v>95721</v>
      </c>
      <c r="T133" s="733">
        <f>S133-J133</f>
        <v>95721</v>
      </c>
      <c r="U133" s="1105">
        <f>+ROUND(SUMIF('10.mell_támogatások2020'!$B$6:$B$137,'14.mell_Önk kiegészítés2020'!$A133,'10.mell_támogatások2020'!E$6:E$137)/1000,0)</f>
        <v>91618</v>
      </c>
      <c r="V133" s="1083">
        <f>6630+126</f>
        <v>6756</v>
      </c>
      <c r="W133" s="733">
        <f>+T133-U133-V133</f>
        <v>-2653</v>
      </c>
      <c r="AE133" s="262">
        <v>6630</v>
      </c>
      <c r="AG133" s="262">
        <f>(77+13)+(31+5)</f>
        <v>126</v>
      </c>
    </row>
    <row r="134" spans="1:42" s="535" customFormat="1" ht="12.75" thickBot="1">
      <c r="A134" s="344" t="s">
        <v>1141</v>
      </c>
      <c r="B134" s="494" t="s">
        <v>1098</v>
      </c>
      <c r="C134" s="549">
        <f t="shared" ref="C134:W134" si="93">SUM(C133)</f>
        <v>0</v>
      </c>
      <c r="D134" s="549">
        <f t="shared" si="93"/>
        <v>0</v>
      </c>
      <c r="E134" s="549">
        <f t="shared" si="93"/>
        <v>0</v>
      </c>
      <c r="F134" s="549">
        <f t="shared" si="93"/>
        <v>0</v>
      </c>
      <c r="G134" s="549">
        <f t="shared" si="93"/>
        <v>0</v>
      </c>
      <c r="H134" s="549">
        <f t="shared" si="93"/>
        <v>0</v>
      </c>
      <c r="I134" s="549">
        <f t="shared" si="93"/>
        <v>0</v>
      </c>
      <c r="J134" s="552">
        <f t="shared" si="93"/>
        <v>0</v>
      </c>
      <c r="K134" s="549">
        <f t="shared" si="93"/>
        <v>71872</v>
      </c>
      <c r="L134" s="549">
        <f t="shared" si="93"/>
        <v>12571</v>
      </c>
      <c r="M134" s="549">
        <f t="shared" si="93"/>
        <v>11238</v>
      </c>
      <c r="N134" s="549">
        <f t="shared" si="93"/>
        <v>0</v>
      </c>
      <c r="O134" s="549">
        <f t="shared" si="93"/>
        <v>40</v>
      </c>
      <c r="P134" s="549">
        <f t="shared" si="93"/>
        <v>0</v>
      </c>
      <c r="Q134" s="549">
        <f t="shared" si="93"/>
        <v>0</v>
      </c>
      <c r="R134" s="549">
        <f t="shared" si="93"/>
        <v>0</v>
      </c>
      <c r="S134" s="552">
        <f t="shared" si="93"/>
        <v>95721</v>
      </c>
      <c r="T134" s="552">
        <f t="shared" si="93"/>
        <v>95721</v>
      </c>
      <c r="U134" s="1102">
        <f t="shared" si="93"/>
        <v>91618</v>
      </c>
      <c r="V134" s="553">
        <f t="shared" si="93"/>
        <v>6756</v>
      </c>
      <c r="W134" s="552">
        <f t="shared" si="93"/>
        <v>-2653</v>
      </c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</row>
    <row r="135" spans="1:42" ht="12.75" thickBot="1">
      <c r="A135" s="876">
        <f>+A133+1</f>
        <v>33</v>
      </c>
      <c r="B135" s="877" t="s">
        <v>1100</v>
      </c>
      <c r="C135" s="878">
        <f>+SUMIF('13.mell_ÖNKfeladatok2020'!$B$5:$B$159,'14.mell_Önk kiegészítés2020'!$A135,'13.mell_ÖNKfeladatok2020'!P$5:P$159)</f>
        <v>0</v>
      </c>
      <c r="D135" s="878">
        <f>+SUMIF('13.mell_ÖNKfeladatok2020'!$B$5:$B$159,'14.mell_Önk kiegészítés2020'!$A135,'13.mell_ÖNKfeladatok2020'!T$5:T$159)</f>
        <v>0</v>
      </c>
      <c r="E135" s="878">
        <f>+SUMIF('13.mell_ÖNKfeladatok2020'!$B$5:$B$159,'14.mell_Önk kiegészítés2020'!$A135,'13.mell_ÖNKfeladatok2020'!X$5:X$159)</f>
        <v>0</v>
      </c>
      <c r="F135" s="878">
        <f>+SUMIF('13.mell_ÖNKfeladatok2020'!$B$5:$B$159,'14.mell_Önk kiegészítés2020'!$A135,'13.mell_ÖNKfeladatok2020'!AB$5:AB$159)</f>
        <v>0</v>
      </c>
      <c r="G135" s="878">
        <f>+SUMIF('13.mell_ÖNKfeladatok2020'!$B$5:$B$159,'14.mell_Önk kiegészítés2020'!$A135,'13.mell_ÖNKfeladatok2020'!AJ$5:AJ$159)</f>
        <v>0</v>
      </c>
      <c r="H135" s="878">
        <f>+SUMIF('13.mell_ÖNKfeladatok2020'!$B$5:$B$159,'14.mell_Önk kiegészítés2020'!$A135,'13.mell_ÖNKfeladatok2020'!AN$5:AN$159)</f>
        <v>0</v>
      </c>
      <c r="I135" s="878">
        <f>+SUMIF('13.mell_ÖNKfeladatok2020'!$B$5:$B$159,'14.mell_Önk kiegészítés2020'!$A135,'13.mell_ÖNKfeladatok2020'!AR$5:AR$159)</f>
        <v>0</v>
      </c>
      <c r="J135" s="879">
        <f>SUM(C135:I135)</f>
        <v>0</v>
      </c>
      <c r="K135" s="878">
        <f>+SUMIF('13.mell_ÖNKfeladatok2020'!$B$167:$B$321,'14.mell_Önk kiegészítés2020'!$A135,'13.mell_ÖNKfeladatok2020'!P$167:P$321)</f>
        <v>0</v>
      </c>
      <c r="L135" s="878">
        <f>+SUMIF('13.mell_ÖNKfeladatok2020'!$B$167:$B$321,'14.mell_Önk kiegészítés2020'!$A135,'13.mell_ÖNKfeladatok2020'!T$167:T$321)</f>
        <v>0</v>
      </c>
      <c r="M135" s="878">
        <f>+SUMIF('13.mell_ÖNKfeladatok2020'!$B$167:$B$321,'14.mell_Önk kiegészítés2020'!$A135,'13.mell_ÖNKfeladatok2020'!X$167:X$321)</f>
        <v>0</v>
      </c>
      <c r="N135" s="878">
        <f>+SUMIF('13.mell_ÖNKfeladatok2020'!$B$167:$B$321,'14.mell_Önk kiegészítés2020'!$A135,'13.mell_ÖNKfeladatok2020'!AB$167:AB$321)</f>
        <v>0</v>
      </c>
      <c r="O135" s="878">
        <f>+SUMIF('13.mell_ÖNKfeladatok2020'!$B$167:$B$321,'14.mell_Önk kiegészítés2020'!$A135,'13.mell_ÖNKfeladatok2020'!AF$167:AF$321)</f>
        <v>0</v>
      </c>
      <c r="P135" s="878">
        <f>+SUMIF('13.mell_ÖNKfeladatok2020'!$B$167:$B$321,'14.mell_Önk kiegészítés2020'!$A135,'13.mell_ÖNKfeladatok2020'!AN$167:AN$321)</f>
        <v>0</v>
      </c>
      <c r="Q135" s="878">
        <f>+SUMIF('13.mell_ÖNKfeladatok2020'!$B$167:$B$321,'14.mell_Önk kiegészítés2020'!$A135,'13.mell_ÖNKfeladatok2020'!AR$167:AR$321)</f>
        <v>0</v>
      </c>
      <c r="R135" s="878">
        <f>+SUMIF('13.mell_ÖNKfeladatok2020'!$B$167:$B$321,'14.mell_Önk kiegészítés2020'!$A135,'13.mell_ÖNKfeladatok2020'!AV$167:AV$321)</f>
        <v>0</v>
      </c>
      <c r="S135" s="879">
        <f>SUM(K135:R135)</f>
        <v>0</v>
      </c>
      <c r="T135" s="552">
        <f>S135-J135</f>
        <v>0</v>
      </c>
      <c r="U135" s="1108">
        <f>+ROUND(SUMIF('10.mell_támogatások2020'!$B$6:$B$137,'14.mell_Önk kiegészítés2020'!$A135,'10.mell_támogatások2020'!E$6:E$137)/1000,0)</f>
        <v>0</v>
      </c>
      <c r="V135" s="1086"/>
      <c r="W135" s="552">
        <f>+T135-U135-V135</f>
        <v>0</v>
      </c>
    </row>
    <row r="136" spans="1:42" s="535" customFormat="1" ht="12.75" thickBot="1">
      <c r="A136" s="504" t="s">
        <v>1142</v>
      </c>
      <c r="B136" s="505" t="s">
        <v>1099</v>
      </c>
      <c r="C136" s="549">
        <f t="shared" ref="C136:W136" si="94">SUM(C135)</f>
        <v>0</v>
      </c>
      <c r="D136" s="549">
        <f t="shared" si="94"/>
        <v>0</v>
      </c>
      <c r="E136" s="549">
        <f t="shared" si="94"/>
        <v>0</v>
      </c>
      <c r="F136" s="549">
        <f t="shared" si="94"/>
        <v>0</v>
      </c>
      <c r="G136" s="549">
        <f t="shared" si="94"/>
        <v>0</v>
      </c>
      <c r="H136" s="549">
        <f t="shared" si="94"/>
        <v>0</v>
      </c>
      <c r="I136" s="549">
        <f t="shared" si="94"/>
        <v>0</v>
      </c>
      <c r="J136" s="552">
        <f t="shared" si="94"/>
        <v>0</v>
      </c>
      <c r="K136" s="549">
        <f t="shared" si="94"/>
        <v>0</v>
      </c>
      <c r="L136" s="549">
        <f t="shared" si="94"/>
        <v>0</v>
      </c>
      <c r="M136" s="549">
        <f t="shared" si="94"/>
        <v>0</v>
      </c>
      <c r="N136" s="549">
        <f t="shared" si="94"/>
        <v>0</v>
      </c>
      <c r="O136" s="549">
        <f t="shared" si="94"/>
        <v>0</v>
      </c>
      <c r="P136" s="549">
        <f t="shared" si="94"/>
        <v>0</v>
      </c>
      <c r="Q136" s="549">
        <f t="shared" si="94"/>
        <v>0</v>
      </c>
      <c r="R136" s="549">
        <f t="shared" si="94"/>
        <v>0</v>
      </c>
      <c r="S136" s="552">
        <f t="shared" si="94"/>
        <v>0</v>
      </c>
      <c r="T136" s="552">
        <f t="shared" si="94"/>
        <v>0</v>
      </c>
      <c r="U136" s="1102">
        <f t="shared" si="94"/>
        <v>0</v>
      </c>
      <c r="V136" s="553">
        <f t="shared" si="94"/>
        <v>0</v>
      </c>
      <c r="W136" s="552">
        <f t="shared" si="94"/>
        <v>0</v>
      </c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</row>
    <row r="137" spans="1:42" ht="12.75" thickBot="1">
      <c r="A137" s="876">
        <f>+A135+1</f>
        <v>34</v>
      </c>
      <c r="B137" s="877" t="s">
        <v>1100</v>
      </c>
      <c r="C137" s="878">
        <f>+SUMIF('13.mell_ÖNKfeladatok2020'!$B$5:$B$159,'14.mell_Önk kiegészítés2020'!$A137,'13.mell_ÖNKfeladatok2020'!P$5:P$159)</f>
        <v>0</v>
      </c>
      <c r="D137" s="878">
        <f>+SUMIF('13.mell_ÖNKfeladatok2020'!$B$5:$B$159,'14.mell_Önk kiegészítés2020'!$A137,'13.mell_ÖNKfeladatok2020'!T$5:T$159)</f>
        <v>0</v>
      </c>
      <c r="E137" s="878">
        <f>+SUMIF('13.mell_ÖNKfeladatok2020'!$B$5:$B$159,'14.mell_Önk kiegészítés2020'!$A137,'13.mell_ÖNKfeladatok2020'!X$5:X$159)</f>
        <v>0</v>
      </c>
      <c r="F137" s="878">
        <f>+SUMIF('13.mell_ÖNKfeladatok2020'!$B$5:$B$159,'14.mell_Önk kiegészítés2020'!$A137,'13.mell_ÖNKfeladatok2020'!AB$5:AB$159)</f>
        <v>0</v>
      </c>
      <c r="G137" s="878">
        <f>+SUMIF('13.mell_ÖNKfeladatok2020'!$B$5:$B$159,'14.mell_Önk kiegészítés2020'!$A137,'13.mell_ÖNKfeladatok2020'!AJ$5:AJ$159)</f>
        <v>0</v>
      </c>
      <c r="H137" s="878">
        <f>+SUMIF('13.mell_ÖNKfeladatok2020'!$B$5:$B$159,'14.mell_Önk kiegészítés2020'!$A137,'13.mell_ÖNKfeladatok2020'!AN$5:AN$159)</f>
        <v>0</v>
      </c>
      <c r="I137" s="878">
        <f>+SUMIF('13.mell_ÖNKfeladatok2020'!$B$5:$B$159,'14.mell_Önk kiegészítés2020'!$A137,'13.mell_ÖNKfeladatok2020'!AR$5:AR$159)</f>
        <v>0</v>
      </c>
      <c r="J137" s="879">
        <f>SUM(C137:I137)</f>
        <v>0</v>
      </c>
      <c r="K137" s="878">
        <f>+SUMIF('13.mell_ÖNKfeladatok2020'!$B$167:$B$321,'14.mell_Önk kiegészítés2020'!$A137,'13.mell_ÖNKfeladatok2020'!P$167:P$321)</f>
        <v>0</v>
      </c>
      <c r="L137" s="878">
        <f>+SUMIF('13.mell_ÖNKfeladatok2020'!$B$167:$B$321,'14.mell_Önk kiegészítés2020'!$A137,'13.mell_ÖNKfeladatok2020'!T$167:T$321)</f>
        <v>0</v>
      </c>
      <c r="M137" s="878">
        <f>+SUMIF('13.mell_ÖNKfeladatok2020'!$B$167:$B$321,'14.mell_Önk kiegészítés2020'!$A137,'13.mell_ÖNKfeladatok2020'!X$167:X$321)</f>
        <v>0</v>
      </c>
      <c r="N137" s="878">
        <f>+SUMIF('13.mell_ÖNKfeladatok2020'!$B$167:$B$321,'14.mell_Önk kiegészítés2020'!$A137,'13.mell_ÖNKfeladatok2020'!AB$167:AB$321)</f>
        <v>0</v>
      </c>
      <c r="O137" s="878">
        <f>+SUMIF('13.mell_ÖNKfeladatok2020'!$B$167:$B$321,'14.mell_Önk kiegészítés2020'!$A137,'13.mell_ÖNKfeladatok2020'!AF$167:AF$321)</f>
        <v>0</v>
      </c>
      <c r="P137" s="878">
        <f>+SUMIF('13.mell_ÖNKfeladatok2020'!$B$167:$B$321,'14.mell_Önk kiegészítés2020'!$A137,'13.mell_ÖNKfeladatok2020'!AN$167:AN$321)</f>
        <v>0</v>
      </c>
      <c r="Q137" s="878">
        <f>+SUMIF('13.mell_ÖNKfeladatok2020'!$B$167:$B$321,'14.mell_Önk kiegészítés2020'!$A137,'13.mell_ÖNKfeladatok2020'!AR$167:AR$321)</f>
        <v>0</v>
      </c>
      <c r="R137" s="878">
        <f>+SUMIF('13.mell_ÖNKfeladatok2020'!$B$167:$B$321,'14.mell_Önk kiegészítés2020'!$A137,'13.mell_ÖNKfeladatok2020'!AV$167:AV$321)</f>
        <v>0</v>
      </c>
      <c r="S137" s="879">
        <f>SUM(K137:R137)</f>
        <v>0</v>
      </c>
      <c r="T137" s="552">
        <f>S137-J137</f>
        <v>0</v>
      </c>
      <c r="U137" s="1108">
        <f>+ROUND(SUMIF('10.mell_támogatások2020'!$B$6:$B$137,'14.mell_Önk kiegészítés2020'!$A137,'10.mell_támogatások2020'!E$6:E$137)/1000,0)</f>
        <v>0</v>
      </c>
      <c r="V137" s="1086"/>
      <c r="W137" s="552">
        <f>+T137-U137-V137</f>
        <v>0</v>
      </c>
    </row>
    <row r="138" spans="1:42" s="535" customFormat="1" ht="24.75" thickBot="1">
      <c r="A138" s="504" t="s">
        <v>1143</v>
      </c>
      <c r="B138" s="505" t="s">
        <v>1100</v>
      </c>
      <c r="C138" s="549">
        <f t="shared" ref="C138:W138" si="95">SUM(C137)</f>
        <v>0</v>
      </c>
      <c r="D138" s="549">
        <f t="shared" si="95"/>
        <v>0</v>
      </c>
      <c r="E138" s="549">
        <f t="shared" si="95"/>
        <v>0</v>
      </c>
      <c r="F138" s="549">
        <f t="shared" si="95"/>
        <v>0</v>
      </c>
      <c r="G138" s="549">
        <f t="shared" si="95"/>
        <v>0</v>
      </c>
      <c r="H138" s="549">
        <f t="shared" si="95"/>
        <v>0</v>
      </c>
      <c r="I138" s="549">
        <f t="shared" si="95"/>
        <v>0</v>
      </c>
      <c r="J138" s="552">
        <f t="shared" si="95"/>
        <v>0</v>
      </c>
      <c r="K138" s="549">
        <f t="shared" si="95"/>
        <v>0</v>
      </c>
      <c r="L138" s="549">
        <f t="shared" si="95"/>
        <v>0</v>
      </c>
      <c r="M138" s="549">
        <f t="shared" si="95"/>
        <v>0</v>
      </c>
      <c r="N138" s="549">
        <f t="shared" si="95"/>
        <v>0</v>
      </c>
      <c r="O138" s="549">
        <f t="shared" si="95"/>
        <v>0</v>
      </c>
      <c r="P138" s="549">
        <f t="shared" si="95"/>
        <v>0</v>
      </c>
      <c r="Q138" s="549">
        <f t="shared" si="95"/>
        <v>0</v>
      </c>
      <c r="R138" s="549">
        <f t="shared" si="95"/>
        <v>0</v>
      </c>
      <c r="S138" s="552">
        <f t="shared" si="95"/>
        <v>0</v>
      </c>
      <c r="T138" s="552">
        <f t="shared" si="95"/>
        <v>0</v>
      </c>
      <c r="U138" s="1102">
        <f t="shared" si="95"/>
        <v>0</v>
      </c>
      <c r="V138" s="553">
        <f t="shared" si="95"/>
        <v>0</v>
      </c>
      <c r="W138" s="552">
        <f t="shared" si="95"/>
        <v>0</v>
      </c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</row>
    <row r="139" spans="1:42" s="535" customFormat="1" ht="12.75" thickBot="1">
      <c r="A139" s="496" t="s">
        <v>42</v>
      </c>
      <c r="B139" s="508" t="s">
        <v>1101</v>
      </c>
      <c r="C139" s="558">
        <f t="shared" ref="C139:W139" si="96">+C134+C136+C138</f>
        <v>0</v>
      </c>
      <c r="D139" s="558">
        <f t="shared" si="96"/>
        <v>0</v>
      </c>
      <c r="E139" s="558">
        <f t="shared" si="96"/>
        <v>0</v>
      </c>
      <c r="F139" s="558">
        <f t="shared" si="96"/>
        <v>0</v>
      </c>
      <c r="G139" s="558">
        <f t="shared" si="96"/>
        <v>0</v>
      </c>
      <c r="H139" s="558">
        <f t="shared" si="96"/>
        <v>0</v>
      </c>
      <c r="I139" s="558">
        <f t="shared" si="96"/>
        <v>0</v>
      </c>
      <c r="J139" s="561">
        <f t="shared" si="96"/>
        <v>0</v>
      </c>
      <c r="K139" s="558">
        <f t="shared" si="96"/>
        <v>71872</v>
      </c>
      <c r="L139" s="558">
        <f t="shared" si="96"/>
        <v>12571</v>
      </c>
      <c r="M139" s="558">
        <f t="shared" si="96"/>
        <v>11238</v>
      </c>
      <c r="N139" s="558">
        <f t="shared" si="96"/>
        <v>0</v>
      </c>
      <c r="O139" s="558">
        <f t="shared" si="96"/>
        <v>40</v>
      </c>
      <c r="P139" s="558">
        <f t="shared" si="96"/>
        <v>0</v>
      </c>
      <c r="Q139" s="558">
        <f t="shared" si="96"/>
        <v>0</v>
      </c>
      <c r="R139" s="558">
        <f t="shared" si="96"/>
        <v>0</v>
      </c>
      <c r="S139" s="561">
        <f t="shared" si="96"/>
        <v>95721</v>
      </c>
      <c r="T139" s="561">
        <f t="shared" si="96"/>
        <v>95721</v>
      </c>
      <c r="U139" s="1104">
        <f t="shared" si="96"/>
        <v>91618</v>
      </c>
      <c r="V139" s="560">
        <f t="shared" si="96"/>
        <v>6756</v>
      </c>
      <c r="W139" s="561">
        <f t="shared" si="96"/>
        <v>-2653</v>
      </c>
      <c r="Y139" s="535">
        <f>+'13.mell_ÖNKfeladatok2020'!$J$157-J139</f>
        <v>0</v>
      </c>
      <c r="Z139" s="535">
        <f>+'13.mell_ÖNKfeladatok2020'!$J$319-S139</f>
        <v>17663</v>
      </c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</row>
    <row r="140" spans="1:42" s="195" customFormat="1" ht="12.75" thickBot="1">
      <c r="A140" s="522"/>
      <c r="B140" s="573"/>
      <c r="C140" s="562"/>
      <c r="D140" s="563"/>
      <c r="E140" s="563"/>
      <c r="F140" s="563"/>
      <c r="G140" s="563"/>
      <c r="H140" s="563"/>
      <c r="I140" s="564"/>
      <c r="J140" s="565"/>
      <c r="K140" s="574"/>
      <c r="L140" s="574"/>
      <c r="M140" s="574"/>
      <c r="N140" s="574"/>
      <c r="O140" s="574"/>
      <c r="P140" s="574"/>
      <c r="Q140" s="574"/>
      <c r="R140" s="574"/>
      <c r="S140" s="572"/>
      <c r="T140" s="572"/>
      <c r="U140" s="1110"/>
      <c r="V140" s="1088"/>
      <c r="W140" s="572"/>
      <c r="AA140" s="262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</row>
    <row r="141" spans="1:42" s="535" customFormat="1" ht="12.75" thickBot="1">
      <c r="A141" s="556" t="s">
        <v>41</v>
      </c>
      <c r="B141" s="557" t="s">
        <v>769</v>
      </c>
      <c r="C141" s="558">
        <f t="shared" ref="C141:W141" si="97">+C91+C103+C113+C123+C131+C139</f>
        <v>1185285</v>
      </c>
      <c r="D141" s="558">
        <f t="shared" si="97"/>
        <v>365505</v>
      </c>
      <c r="E141" s="558">
        <f t="shared" si="97"/>
        <v>186868</v>
      </c>
      <c r="F141" s="558">
        <f t="shared" si="97"/>
        <v>5490</v>
      </c>
      <c r="G141" s="558">
        <f t="shared" si="97"/>
        <v>32276</v>
      </c>
      <c r="H141" s="558">
        <f t="shared" si="97"/>
        <v>40350</v>
      </c>
      <c r="I141" s="558">
        <f t="shared" si="97"/>
        <v>1100</v>
      </c>
      <c r="J141" s="561">
        <f t="shared" si="97"/>
        <v>1816874</v>
      </c>
      <c r="K141" s="575">
        <f t="shared" si="97"/>
        <v>821897</v>
      </c>
      <c r="L141" s="575">
        <f t="shared" si="97"/>
        <v>142723</v>
      </c>
      <c r="M141" s="575">
        <f t="shared" si="97"/>
        <v>394387</v>
      </c>
      <c r="N141" s="575">
        <f t="shared" si="97"/>
        <v>52779</v>
      </c>
      <c r="O141" s="575">
        <f t="shared" si="97"/>
        <v>3213524</v>
      </c>
      <c r="P141" s="575">
        <f t="shared" si="97"/>
        <v>463722</v>
      </c>
      <c r="Q141" s="575">
        <f t="shared" si="97"/>
        <v>61258</v>
      </c>
      <c r="R141" s="575">
        <f t="shared" si="97"/>
        <v>0</v>
      </c>
      <c r="S141" s="576">
        <f t="shared" si="97"/>
        <v>5150290</v>
      </c>
      <c r="T141" s="576">
        <f t="shared" si="97"/>
        <v>3333416</v>
      </c>
      <c r="U141" s="1111">
        <f t="shared" si="97"/>
        <v>0</v>
      </c>
      <c r="V141" s="1089">
        <f t="shared" si="97"/>
        <v>2845803</v>
      </c>
      <c r="W141" s="576">
        <f t="shared" si="97"/>
        <v>487613</v>
      </c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</row>
    <row r="142" spans="1:42" s="535" customFormat="1" ht="12.75" thickBot="1">
      <c r="A142" s="586" t="s">
        <v>37</v>
      </c>
      <c r="B142" s="578" t="s">
        <v>770</v>
      </c>
      <c r="C142" s="579"/>
      <c r="D142" s="579"/>
      <c r="E142" s="579"/>
      <c r="F142" s="579">
        <f>+'1.mell._Össz_Mérleg2020'!$D$71</f>
        <v>709830</v>
      </c>
      <c r="G142" s="579"/>
      <c r="H142" s="579"/>
      <c r="I142" s="579">
        <f>+'1.mell._Össz_Mérleg2020'!$D$86</f>
        <v>2654032</v>
      </c>
      <c r="J142" s="585">
        <f>SUM(C142:I142)</f>
        <v>3363862</v>
      </c>
      <c r="K142" s="579"/>
      <c r="L142" s="579"/>
      <c r="M142" s="579"/>
      <c r="N142" s="579"/>
      <c r="O142" s="579">
        <f>+'1.mell._Össz_Mérleg2020'!$D$177</f>
        <v>30446</v>
      </c>
      <c r="P142" s="579"/>
      <c r="Q142" s="579"/>
      <c r="R142" s="579">
        <f>+'1.mell._Össz_Mérleg2020'!$D$192</f>
        <v>0</v>
      </c>
      <c r="S142" s="585">
        <f>SUM(K142:R142)</f>
        <v>30446</v>
      </c>
      <c r="T142" s="580">
        <f>S142-J142</f>
        <v>-3333416</v>
      </c>
      <c r="U142" s="1112"/>
      <c r="V142" s="1090">
        <v>-2845803</v>
      </c>
      <c r="W142" s="580">
        <f>+T142-U142-V142</f>
        <v>-487613</v>
      </c>
      <c r="AA142" s="262"/>
      <c r="AB142" s="262"/>
      <c r="AC142" s="262">
        <v>-2845803</v>
      </c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</row>
    <row r="143" spans="1:42" s="195" customFormat="1" ht="12.75" thickBot="1">
      <c r="A143" s="556" t="s">
        <v>1146</v>
      </c>
      <c r="B143" s="557" t="s">
        <v>771</v>
      </c>
      <c r="C143" s="558">
        <f>+C141+C142</f>
        <v>1185285</v>
      </c>
      <c r="D143" s="558">
        <f t="shared" ref="D143:I143" si="98">+D141+D142</f>
        <v>365505</v>
      </c>
      <c r="E143" s="558">
        <f t="shared" si="98"/>
        <v>186868</v>
      </c>
      <c r="F143" s="558">
        <f t="shared" si="98"/>
        <v>715320</v>
      </c>
      <c r="G143" s="558">
        <f t="shared" si="98"/>
        <v>32276</v>
      </c>
      <c r="H143" s="558">
        <f t="shared" si="98"/>
        <v>40350</v>
      </c>
      <c r="I143" s="558">
        <f t="shared" si="98"/>
        <v>2655132</v>
      </c>
      <c r="J143" s="561">
        <f>+J141+J142</f>
        <v>5180736</v>
      </c>
      <c r="K143" s="558">
        <f t="shared" ref="K143:W143" si="99">+K141+K142</f>
        <v>821897</v>
      </c>
      <c r="L143" s="558">
        <f t="shared" si="99"/>
        <v>142723</v>
      </c>
      <c r="M143" s="558">
        <f t="shared" si="99"/>
        <v>394387</v>
      </c>
      <c r="N143" s="558">
        <f t="shared" si="99"/>
        <v>52779</v>
      </c>
      <c r="O143" s="558">
        <f t="shared" si="99"/>
        <v>3243970</v>
      </c>
      <c r="P143" s="558">
        <f t="shared" si="99"/>
        <v>463722</v>
      </c>
      <c r="Q143" s="558">
        <f t="shared" si="99"/>
        <v>61258</v>
      </c>
      <c r="R143" s="558">
        <f t="shared" si="99"/>
        <v>0</v>
      </c>
      <c r="S143" s="561">
        <f t="shared" si="99"/>
        <v>5180736</v>
      </c>
      <c r="T143" s="561">
        <f t="shared" si="99"/>
        <v>0</v>
      </c>
      <c r="U143" s="1104">
        <f t="shared" si="99"/>
        <v>0</v>
      </c>
      <c r="V143" s="560">
        <f t="shared" si="99"/>
        <v>0</v>
      </c>
      <c r="W143" s="561">
        <f t="shared" si="99"/>
        <v>0</v>
      </c>
      <c r="AA143" s="262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</row>
    <row r="144" spans="1:42" s="535" customFormat="1" ht="11.25" customHeight="1">
      <c r="A144" s="587"/>
      <c r="B144" s="577"/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</row>
    <row r="145" spans="1:42" ht="12.75" thickBot="1">
      <c r="W145" s="239" t="s">
        <v>457</v>
      </c>
    </row>
    <row r="146" spans="1:42" s="538" customFormat="1" ht="72.75" thickBot="1">
      <c r="A146" s="1429" t="s">
        <v>17</v>
      </c>
      <c r="B146" s="469" t="s">
        <v>1658</v>
      </c>
      <c r="C146" s="882" t="s">
        <v>762</v>
      </c>
      <c r="D146" s="355" t="s">
        <v>524</v>
      </c>
      <c r="E146" s="355" t="s">
        <v>763</v>
      </c>
      <c r="F146" s="355" t="s">
        <v>1147</v>
      </c>
      <c r="G146" s="355" t="s">
        <v>531</v>
      </c>
      <c r="H146" s="355" t="s">
        <v>532</v>
      </c>
      <c r="I146" s="354" t="s">
        <v>1148</v>
      </c>
      <c r="J146" s="297" t="s">
        <v>523</v>
      </c>
      <c r="K146" s="882" t="s">
        <v>46</v>
      </c>
      <c r="L146" s="355" t="s">
        <v>446</v>
      </c>
      <c r="M146" s="355" t="s">
        <v>447</v>
      </c>
      <c r="N146" s="355" t="s">
        <v>765</v>
      </c>
      <c r="O146" s="355" t="s">
        <v>1149</v>
      </c>
      <c r="P146" s="355" t="s">
        <v>450</v>
      </c>
      <c r="Q146" s="355" t="s">
        <v>451</v>
      </c>
      <c r="R146" s="292" t="s">
        <v>1150</v>
      </c>
      <c r="S146" s="297" t="s">
        <v>526</v>
      </c>
      <c r="T146" s="537" t="s">
        <v>755</v>
      </c>
      <c r="U146" s="1099" t="s">
        <v>1552</v>
      </c>
      <c r="V146" s="1079" t="s">
        <v>1551</v>
      </c>
      <c r="W146" s="537" t="s">
        <v>756</v>
      </c>
      <c r="AB146" s="965" t="s">
        <v>1157</v>
      </c>
      <c r="AC146" s="538" t="s">
        <v>1068</v>
      </c>
      <c r="AD146" s="538" t="s">
        <v>1043</v>
      </c>
      <c r="AE146" s="538" t="s">
        <v>1222</v>
      </c>
      <c r="AF146" s="538" t="s">
        <v>1155</v>
      </c>
      <c r="AG146" s="538" t="s">
        <v>1154</v>
      </c>
      <c r="AH146" s="538" t="s">
        <v>1153</v>
      </c>
      <c r="AI146" s="964" t="s">
        <v>1158</v>
      </c>
      <c r="AJ146" s="538" t="s">
        <v>1223</v>
      </c>
    </row>
    <row r="147" spans="1:42">
      <c r="A147" s="825">
        <v>1</v>
      </c>
      <c r="B147" s="731" t="s">
        <v>414</v>
      </c>
      <c r="C147" s="540">
        <f>+SUMIF('13.mell_ÖNKfeladatok2020'!$B$5:$B$159,'14.mell_Önk kiegészítés2020'!$A147,'13.mell_ÖNKfeladatok2020'!Q$5:Q$159)</f>
        <v>0</v>
      </c>
      <c r="D147" s="540">
        <f>+SUMIF('13.mell_ÖNKfeladatok2020'!$B$5:$B$159,'14.mell_Önk kiegészítés2020'!$A147,'13.mell_ÖNKfeladatok2020'!U$5:U$159)</f>
        <v>0</v>
      </c>
      <c r="E147" s="540">
        <f>+SUMIF('13.mell_ÖNKfeladatok2020'!$B$5:$B$159,'14.mell_Önk kiegészítés2020'!$A147,'13.mell_ÖNKfeladatok2020'!Y$5:Y$159)</f>
        <v>0</v>
      </c>
      <c r="F147" s="540">
        <f>+SUMIF('13.mell_ÖNKfeladatok2020'!$B$5:$B$159,'14.mell_Önk kiegészítés2020'!$A147,'13.mell_ÖNKfeladatok2020'!AC$5:AC$159)</f>
        <v>0</v>
      </c>
      <c r="G147" s="540">
        <f>+SUMIF('13.mell_ÖNKfeladatok2020'!$B$5:$B$159,'14.mell_Önk kiegészítés2020'!$A147,'13.mell_ÖNKfeladatok2020'!AK$5:AK$159)</f>
        <v>0</v>
      </c>
      <c r="H147" s="540">
        <f>+SUMIF('13.mell_ÖNKfeladatok2020'!$B$5:$B$159,'14.mell_Önk kiegészítés2020'!$A147,'13.mell_ÖNKfeladatok2020'!AO$5:AO$159)</f>
        <v>0</v>
      </c>
      <c r="I147" s="540">
        <f>+SUMIF('13.mell_ÖNKfeladatok2020'!$B$5:$B$159,'14.mell_Önk kiegészítés2020'!$A147,'13.mell_ÖNKfeladatok2020'!AS$5:AS$159)</f>
        <v>0</v>
      </c>
      <c r="J147" s="732">
        <f>SUM(C147:I147)</f>
        <v>0</v>
      </c>
      <c r="K147" s="540">
        <f>+SUMIF('13.mell_ÖNKfeladatok2020'!$B$167:$B$321,'14.mell_Önk kiegészítés2020'!$A147,'13.mell_ÖNKfeladatok2020'!Q$167:Q$321)</f>
        <v>0</v>
      </c>
      <c r="L147" s="540">
        <f>+SUMIF('13.mell_ÖNKfeladatok2020'!$B$167:$B$321,'14.mell_Önk kiegészítés2020'!$A147,'13.mell_ÖNKfeladatok2020'!U$167:U$321)</f>
        <v>0</v>
      </c>
      <c r="M147" s="540">
        <f>+SUMIF('13.mell_ÖNKfeladatok2020'!$B$167:$B$321,'14.mell_Önk kiegészítés2020'!$A147,'13.mell_ÖNKfeladatok2020'!Y$167:Y$321)</f>
        <v>0</v>
      </c>
      <c r="N147" s="540">
        <f>+SUMIF('13.mell_ÖNKfeladatok2020'!$B$167:$B$321,'14.mell_Önk kiegészítés2020'!$A147,'13.mell_ÖNKfeladatok2020'!AC$167:AC$321)</f>
        <v>0</v>
      </c>
      <c r="O147" s="540">
        <f>+SUMIF('13.mell_ÖNKfeladatok2020'!$B$167:$B$321,'14.mell_Önk kiegészítés2020'!$A147,'13.mell_ÖNKfeladatok2020'!AG$167:AG$321)</f>
        <v>0</v>
      </c>
      <c r="P147" s="540">
        <f>+SUMIF('13.mell_ÖNKfeladatok2020'!$B$167:$B$321,'14.mell_Önk kiegészítés2020'!$A147,'13.mell_ÖNKfeladatok2020'!AO$167:AO$321)</f>
        <v>0</v>
      </c>
      <c r="Q147" s="540">
        <f>+SUMIF('13.mell_ÖNKfeladatok2020'!$B$167:$B$321,'14.mell_Önk kiegészítés2020'!$A147,'13.mell_ÖNKfeladatok2020'!AS$167:AS$321)</f>
        <v>0</v>
      </c>
      <c r="R147" s="540">
        <f>+SUMIF('13.mell_ÖNKfeladatok2020'!$B$167:$B$321,'14.mell_Önk kiegészítés2020'!$A147,'13.mell_ÖNKfeladatok2020'!AW$167:AW$321)</f>
        <v>0</v>
      </c>
      <c r="S147" s="732">
        <f>SUM(K147:R147)</f>
        <v>0</v>
      </c>
      <c r="T147" s="733">
        <f>S147-J147</f>
        <v>0</v>
      </c>
      <c r="U147" s="540">
        <f>+ROUND(SUMIF('10.mell_támogatások2020'!$B$6:$B$137,'14.mell_Önk kiegészítés2020'!$A147,'10.mell_támogatások2020'!F$6:F$137)/1000,0)</f>
        <v>0</v>
      </c>
      <c r="V147" s="540"/>
      <c r="W147" s="733">
        <f>+T147-U147-V147</f>
        <v>0</v>
      </c>
    </row>
    <row r="148" spans="1:42">
      <c r="A148" s="826">
        <f>+A147+1</f>
        <v>2</v>
      </c>
      <c r="B148" s="539" t="s">
        <v>649</v>
      </c>
      <c r="C148" s="540">
        <f>+SUMIF('13.mell_ÖNKfeladatok2020'!$B$5:$B$159,'14.mell_Önk kiegészítés2020'!$A148,'13.mell_ÖNKfeladatok2020'!Q$5:Q$159)</f>
        <v>0</v>
      </c>
      <c r="D148" s="540">
        <f>+SUMIF('13.mell_ÖNKfeladatok2020'!$B$5:$B$159,'14.mell_Önk kiegészítés2020'!$A148,'13.mell_ÖNKfeladatok2020'!U$5:U$159)</f>
        <v>0</v>
      </c>
      <c r="E148" s="540">
        <f>+SUMIF('13.mell_ÖNKfeladatok2020'!$B$5:$B$159,'14.mell_Önk kiegészítés2020'!$A148,'13.mell_ÖNKfeladatok2020'!Y$5:Y$159)</f>
        <v>0</v>
      </c>
      <c r="F148" s="540">
        <f>+SUMIF('13.mell_ÖNKfeladatok2020'!$B$5:$B$159,'14.mell_Önk kiegészítés2020'!$A148,'13.mell_ÖNKfeladatok2020'!AC$5:AC$159)</f>
        <v>0</v>
      </c>
      <c r="G148" s="540">
        <f>+SUMIF('13.mell_ÖNKfeladatok2020'!$B$5:$B$159,'14.mell_Önk kiegészítés2020'!$A148,'13.mell_ÖNKfeladatok2020'!AK$5:AK$159)</f>
        <v>0</v>
      </c>
      <c r="H148" s="540">
        <f>+SUMIF('13.mell_ÖNKfeladatok2020'!$B$5:$B$159,'14.mell_Önk kiegészítés2020'!$A148,'13.mell_ÖNKfeladatok2020'!AO$5:AO$159)</f>
        <v>0</v>
      </c>
      <c r="I148" s="540">
        <f>+SUMIF('13.mell_ÖNKfeladatok2020'!$B$5:$B$159,'14.mell_Önk kiegészítés2020'!$A148,'13.mell_ÖNKfeladatok2020'!AS$5:AS$159)</f>
        <v>0</v>
      </c>
      <c r="J148" s="581">
        <f>SUM(C148:I148)</f>
        <v>0</v>
      </c>
      <c r="K148" s="540">
        <f>+SUMIF('13.mell_ÖNKfeladatok2020'!$B$167:$B$321,'14.mell_Önk kiegészítés2020'!$A148,'13.mell_ÖNKfeladatok2020'!Q$167:Q$321)</f>
        <v>0</v>
      </c>
      <c r="L148" s="540">
        <f>+SUMIF('13.mell_ÖNKfeladatok2020'!$B$167:$B$321,'14.mell_Önk kiegészítés2020'!$A148,'13.mell_ÖNKfeladatok2020'!U$167:U$321)</f>
        <v>0</v>
      </c>
      <c r="M148" s="540">
        <f>+SUMIF('13.mell_ÖNKfeladatok2020'!$B$167:$B$321,'14.mell_Önk kiegészítés2020'!$A148,'13.mell_ÖNKfeladatok2020'!Y$167:Y$321)</f>
        <v>0</v>
      </c>
      <c r="N148" s="540">
        <f>+SUMIF('13.mell_ÖNKfeladatok2020'!$B$167:$B$321,'14.mell_Önk kiegészítés2020'!$A148,'13.mell_ÖNKfeladatok2020'!AC$167:AC$321)</f>
        <v>0</v>
      </c>
      <c r="O148" s="540">
        <f>+SUMIF('13.mell_ÖNKfeladatok2020'!$B$167:$B$321,'14.mell_Önk kiegészítés2020'!$A148,'13.mell_ÖNKfeladatok2020'!AG$167:AG$321)</f>
        <v>0</v>
      </c>
      <c r="P148" s="540">
        <f>+SUMIF('13.mell_ÖNKfeladatok2020'!$B$167:$B$321,'14.mell_Önk kiegészítés2020'!$A148,'13.mell_ÖNKfeladatok2020'!AO$167:AO$321)</f>
        <v>0</v>
      </c>
      <c r="Q148" s="540">
        <f>+SUMIF('13.mell_ÖNKfeladatok2020'!$B$167:$B$321,'14.mell_Önk kiegészítés2020'!$A148,'13.mell_ÖNKfeladatok2020'!AS$167:AS$321)</f>
        <v>0</v>
      </c>
      <c r="R148" s="540">
        <f>+SUMIF('13.mell_ÖNKfeladatok2020'!$B$167:$B$321,'14.mell_Önk kiegészítés2020'!$A148,'13.mell_ÖNKfeladatok2020'!AW$167:AW$321)</f>
        <v>0</v>
      </c>
      <c r="S148" s="581">
        <f t="shared" ref="S148:S150" si="100">SUM(K148:R148)</f>
        <v>0</v>
      </c>
      <c r="T148" s="541">
        <f>S148-J148</f>
        <v>0</v>
      </c>
      <c r="U148" s="1100">
        <f>+ROUND(SUMIF('10.mell_támogatások2020'!$B$6:$B$137,'14.mell_Önk kiegészítés2020'!$A148,'10.mell_támogatások2020'!F$6:F$137)/1000,0)</f>
        <v>0</v>
      </c>
      <c r="V148" s="1080"/>
      <c r="W148" s="541">
        <f t="shared" ref="W148:W154" si="101">+T148-U148-V148</f>
        <v>0</v>
      </c>
    </row>
    <row r="149" spans="1:42">
      <c r="A149" s="826">
        <f>+A148+1</f>
        <v>3</v>
      </c>
      <c r="B149" s="542" t="s">
        <v>644</v>
      </c>
      <c r="C149" s="543">
        <f>+SUMIF('13.mell_ÖNKfeladatok2020'!$B$5:$B$159,'14.mell_Önk kiegészítés2020'!$A149,'13.mell_ÖNKfeladatok2020'!Q$5:Q$159)</f>
        <v>0</v>
      </c>
      <c r="D149" s="543">
        <f>+SUMIF('13.mell_ÖNKfeladatok2020'!$B$5:$B$159,'14.mell_Önk kiegészítés2020'!$A149,'13.mell_ÖNKfeladatok2020'!U$5:U$159)</f>
        <v>0</v>
      </c>
      <c r="E149" s="543">
        <f>+SUMIF('13.mell_ÖNKfeladatok2020'!$B$5:$B$159,'14.mell_Önk kiegészítés2020'!$A149,'13.mell_ÖNKfeladatok2020'!Y$5:Y$159)</f>
        <v>0</v>
      </c>
      <c r="F149" s="543">
        <f>+SUMIF('13.mell_ÖNKfeladatok2020'!$B$5:$B$159,'14.mell_Önk kiegészítés2020'!$A149,'13.mell_ÖNKfeladatok2020'!AC$5:AC$159)</f>
        <v>0</v>
      </c>
      <c r="G149" s="540">
        <f>+SUMIF('13.mell_ÖNKfeladatok2020'!$B$5:$B$159,'14.mell_Önk kiegészítés2020'!$A149,'13.mell_ÖNKfeladatok2020'!AK$5:AK$159)</f>
        <v>0</v>
      </c>
      <c r="H149" s="543">
        <f>+SUMIF('13.mell_ÖNKfeladatok2020'!$B$5:$B$159,'14.mell_Önk kiegészítés2020'!$A149,'13.mell_ÖNKfeladatok2020'!AO$5:AO$159)</f>
        <v>0</v>
      </c>
      <c r="I149" s="543">
        <f>+SUMIF('13.mell_ÖNKfeladatok2020'!$B$5:$B$159,'14.mell_Önk kiegészítés2020'!$A149,'13.mell_ÖNKfeladatok2020'!AS$5:AS$159)</f>
        <v>0</v>
      </c>
      <c r="J149" s="582">
        <f t="shared" ref="J149:J150" si="102">SUM(C149:I149)</f>
        <v>0</v>
      </c>
      <c r="K149" s="543">
        <f>+SUMIF('13.mell_ÖNKfeladatok2020'!$B$167:$B$321,'14.mell_Önk kiegészítés2020'!$A149,'13.mell_ÖNKfeladatok2020'!Q$167:Q$321)</f>
        <v>0</v>
      </c>
      <c r="L149" s="543">
        <f>+SUMIF('13.mell_ÖNKfeladatok2020'!$B$167:$B$321,'14.mell_Önk kiegészítés2020'!$A149,'13.mell_ÖNKfeladatok2020'!U$167:U$321)</f>
        <v>0</v>
      </c>
      <c r="M149" s="543">
        <f>+SUMIF('13.mell_ÖNKfeladatok2020'!$B$167:$B$321,'14.mell_Önk kiegészítés2020'!$A149,'13.mell_ÖNKfeladatok2020'!Y$167:Y$321)</f>
        <v>0</v>
      </c>
      <c r="N149" s="543">
        <f>+SUMIF('13.mell_ÖNKfeladatok2020'!$B$167:$B$321,'14.mell_Önk kiegészítés2020'!$A149,'13.mell_ÖNKfeladatok2020'!AC$167:AC$321)</f>
        <v>0</v>
      </c>
      <c r="O149" s="543">
        <f>+SUMIF('13.mell_ÖNKfeladatok2020'!$B$167:$B$321,'14.mell_Önk kiegészítés2020'!$A149,'13.mell_ÖNKfeladatok2020'!AG$167:AG$321)</f>
        <v>0</v>
      </c>
      <c r="P149" s="543">
        <f>+SUMIF('13.mell_ÖNKfeladatok2020'!$B$167:$B$321,'14.mell_Önk kiegészítés2020'!$A149,'13.mell_ÖNKfeladatok2020'!AO$167:AO$321)</f>
        <v>0</v>
      </c>
      <c r="Q149" s="543">
        <f>+SUMIF('13.mell_ÖNKfeladatok2020'!$B$167:$B$321,'14.mell_Önk kiegészítés2020'!$A149,'13.mell_ÖNKfeladatok2020'!AS$167:AS$321)</f>
        <v>0</v>
      </c>
      <c r="R149" s="543">
        <f>+SUMIF('13.mell_ÖNKfeladatok2020'!$B$167:$B$321,'14.mell_Önk kiegészítés2020'!$A149,'13.mell_ÖNKfeladatok2020'!AW$167:AW$321)</f>
        <v>0</v>
      </c>
      <c r="S149" s="582">
        <f t="shared" si="100"/>
        <v>0</v>
      </c>
      <c r="T149" s="544">
        <f t="shared" ref="T149:T150" si="103">S149-J149</f>
        <v>0</v>
      </c>
      <c r="U149" s="1100">
        <f>+ROUND(SUMIF('10.mell_támogatások2020'!$B$6:$B$137,'14.mell_Önk kiegészítés2020'!$A149,'10.mell_támogatások2020'!F$6:F$137)/1000,0)</f>
        <v>0</v>
      </c>
      <c r="V149" s="1080"/>
      <c r="W149" s="544">
        <f t="shared" si="101"/>
        <v>0</v>
      </c>
    </row>
    <row r="150" spans="1:42">
      <c r="A150" s="826">
        <f>+A149+1</f>
        <v>4</v>
      </c>
      <c r="B150" s="542" t="s">
        <v>646</v>
      </c>
      <c r="C150" s="543">
        <f>+SUMIF('13.mell_ÖNKfeladatok2020'!$B$5:$B$159,'14.mell_Önk kiegészítés2020'!$A150,'13.mell_ÖNKfeladatok2020'!Q$5:Q$159)</f>
        <v>0</v>
      </c>
      <c r="D150" s="543">
        <f>+SUMIF('13.mell_ÖNKfeladatok2020'!$B$5:$B$159,'14.mell_Önk kiegészítés2020'!$A150,'13.mell_ÖNKfeladatok2020'!U$5:U$159)</f>
        <v>0</v>
      </c>
      <c r="E150" s="543">
        <f>+SUMIF('13.mell_ÖNKfeladatok2020'!$B$5:$B$159,'14.mell_Önk kiegészítés2020'!$A150,'13.mell_ÖNKfeladatok2020'!Y$5:Y$159)</f>
        <v>0</v>
      </c>
      <c r="F150" s="543">
        <f>+SUMIF('13.mell_ÖNKfeladatok2020'!$B$5:$B$159,'14.mell_Önk kiegészítés2020'!$A150,'13.mell_ÖNKfeladatok2020'!AC$5:AC$159)</f>
        <v>0</v>
      </c>
      <c r="G150" s="540">
        <f>+SUMIF('13.mell_ÖNKfeladatok2020'!$B$5:$B$159,'14.mell_Önk kiegészítés2020'!$A150,'13.mell_ÖNKfeladatok2020'!AK$5:AK$159)</f>
        <v>0</v>
      </c>
      <c r="H150" s="543">
        <f>+SUMIF('13.mell_ÖNKfeladatok2020'!$B$5:$B$159,'14.mell_Önk kiegészítés2020'!$A150,'13.mell_ÖNKfeladatok2020'!AO$5:AO$159)</f>
        <v>0</v>
      </c>
      <c r="I150" s="543">
        <f>+SUMIF('13.mell_ÖNKfeladatok2020'!$B$5:$B$159,'14.mell_Önk kiegészítés2020'!$A150,'13.mell_ÖNKfeladatok2020'!AS$5:AS$159)</f>
        <v>0</v>
      </c>
      <c r="J150" s="582">
        <f t="shared" si="102"/>
        <v>0</v>
      </c>
      <c r="K150" s="543">
        <f>+SUMIF('13.mell_ÖNKfeladatok2020'!$B$167:$B$321,'14.mell_Önk kiegészítés2020'!$A150,'13.mell_ÖNKfeladatok2020'!Q$167:Q$321)</f>
        <v>0</v>
      </c>
      <c r="L150" s="543">
        <f>+SUMIF('13.mell_ÖNKfeladatok2020'!$B$167:$B$321,'14.mell_Önk kiegészítés2020'!$A150,'13.mell_ÖNKfeladatok2020'!U$167:U$321)</f>
        <v>0</v>
      </c>
      <c r="M150" s="543">
        <f>+SUMIF('13.mell_ÖNKfeladatok2020'!$B$167:$B$321,'14.mell_Önk kiegészítés2020'!$A150,'13.mell_ÖNKfeladatok2020'!Y$167:Y$321)</f>
        <v>0</v>
      </c>
      <c r="N150" s="543">
        <f>+SUMIF('13.mell_ÖNKfeladatok2020'!$B$167:$B$321,'14.mell_Önk kiegészítés2020'!$A150,'13.mell_ÖNKfeladatok2020'!AC$167:AC$321)</f>
        <v>0</v>
      </c>
      <c r="O150" s="543">
        <f>+SUMIF('13.mell_ÖNKfeladatok2020'!$B$167:$B$321,'14.mell_Önk kiegészítés2020'!$A150,'13.mell_ÖNKfeladatok2020'!AG$167:AG$321)</f>
        <v>0</v>
      </c>
      <c r="P150" s="543">
        <f>+SUMIF('13.mell_ÖNKfeladatok2020'!$B$167:$B$321,'14.mell_Önk kiegészítés2020'!$A150,'13.mell_ÖNKfeladatok2020'!AO$167:AO$321)</f>
        <v>0</v>
      </c>
      <c r="Q150" s="543">
        <f>+SUMIF('13.mell_ÖNKfeladatok2020'!$B$167:$B$321,'14.mell_Önk kiegészítés2020'!$A150,'13.mell_ÖNKfeladatok2020'!AS$167:AS$321)</f>
        <v>0</v>
      </c>
      <c r="R150" s="543">
        <f>+SUMIF('13.mell_ÖNKfeladatok2020'!$B$167:$B$321,'14.mell_Önk kiegészítés2020'!$A150,'13.mell_ÖNKfeladatok2020'!AW$167:AW$321)</f>
        <v>0</v>
      </c>
      <c r="S150" s="582">
        <f t="shared" si="100"/>
        <v>0</v>
      </c>
      <c r="T150" s="544">
        <f t="shared" si="103"/>
        <v>0</v>
      </c>
      <c r="U150" s="1100">
        <f>+ROUND(SUMIF('10.mell_támogatások2020'!$B$6:$B$137,'14.mell_Önk kiegészítés2020'!$A150,'10.mell_támogatások2020'!F$6:F$137)/1000,0)</f>
        <v>0</v>
      </c>
      <c r="V150" s="1080"/>
      <c r="W150" s="544">
        <f t="shared" si="101"/>
        <v>0</v>
      </c>
    </row>
    <row r="151" spans="1:42">
      <c r="A151" s="826">
        <f>+A150+1</f>
        <v>5</v>
      </c>
      <c r="B151" s="542" t="s">
        <v>643</v>
      </c>
      <c r="C151" s="543">
        <f>+SUMIF('13.mell_ÖNKfeladatok2020'!$B$5:$B$159,'14.mell_Önk kiegészítés2020'!$A151,'13.mell_ÖNKfeladatok2020'!Q$5:Q$159)</f>
        <v>0</v>
      </c>
      <c r="D151" s="543">
        <f>+SUMIF('13.mell_ÖNKfeladatok2020'!$B$5:$B$159,'14.mell_Önk kiegészítés2020'!$A151,'13.mell_ÖNKfeladatok2020'!U$5:U$159)</f>
        <v>0</v>
      </c>
      <c r="E151" s="543">
        <f>+SUMIF('13.mell_ÖNKfeladatok2020'!$B$5:$B$159,'14.mell_Önk kiegészítés2020'!$A151,'13.mell_ÖNKfeladatok2020'!Y$5:Y$159)</f>
        <v>0</v>
      </c>
      <c r="F151" s="543">
        <f>+SUMIF('13.mell_ÖNKfeladatok2020'!$B$5:$B$159,'14.mell_Önk kiegészítés2020'!$A151,'13.mell_ÖNKfeladatok2020'!AC$5:AC$159)</f>
        <v>0</v>
      </c>
      <c r="G151" s="540">
        <f>+SUMIF('13.mell_ÖNKfeladatok2020'!$B$5:$B$159,'14.mell_Önk kiegészítés2020'!$A151,'13.mell_ÖNKfeladatok2020'!AK$5:AK$159)</f>
        <v>0</v>
      </c>
      <c r="H151" s="543">
        <f>+SUMIF('13.mell_ÖNKfeladatok2020'!$B$5:$B$159,'14.mell_Önk kiegészítés2020'!$A151,'13.mell_ÖNKfeladatok2020'!AO$5:AO$159)</f>
        <v>0</v>
      </c>
      <c r="I151" s="543">
        <f>+SUMIF('13.mell_ÖNKfeladatok2020'!$B$5:$B$159,'14.mell_Önk kiegészítés2020'!$A151,'13.mell_ÖNKfeladatok2020'!AS$5:AS$159)</f>
        <v>0</v>
      </c>
      <c r="J151" s="582">
        <f>SUM(C151:I151)</f>
        <v>0</v>
      </c>
      <c r="K151" s="543">
        <f>+SUMIF('13.mell_ÖNKfeladatok2020'!$B$167:$B$321,'14.mell_Önk kiegészítés2020'!$A151,'13.mell_ÖNKfeladatok2020'!Q$167:Q$321)</f>
        <v>0</v>
      </c>
      <c r="L151" s="543">
        <f>+SUMIF('13.mell_ÖNKfeladatok2020'!$B$167:$B$321,'14.mell_Önk kiegészítés2020'!$A151,'13.mell_ÖNKfeladatok2020'!U$167:U$321)</f>
        <v>0</v>
      </c>
      <c r="M151" s="543">
        <f>+SUMIF('13.mell_ÖNKfeladatok2020'!$B$167:$B$321,'14.mell_Önk kiegészítés2020'!$A151,'13.mell_ÖNKfeladatok2020'!Y$167:Y$321)</f>
        <v>0</v>
      </c>
      <c r="N151" s="543">
        <f>+SUMIF('13.mell_ÖNKfeladatok2020'!$B$167:$B$321,'14.mell_Önk kiegészítés2020'!$A151,'13.mell_ÖNKfeladatok2020'!AC$167:AC$321)</f>
        <v>0</v>
      </c>
      <c r="O151" s="543">
        <f>+SUMIF('13.mell_ÖNKfeladatok2020'!$B$167:$B$321,'14.mell_Önk kiegészítés2020'!$A151,'13.mell_ÖNKfeladatok2020'!AG$167:AG$321)</f>
        <v>0</v>
      </c>
      <c r="P151" s="543">
        <f>+SUMIF('13.mell_ÖNKfeladatok2020'!$B$167:$B$321,'14.mell_Önk kiegészítés2020'!$A151,'13.mell_ÖNKfeladatok2020'!AO$167:AO$321)</f>
        <v>0</v>
      </c>
      <c r="Q151" s="543">
        <f>+SUMIF('13.mell_ÖNKfeladatok2020'!$B$167:$B$321,'14.mell_Önk kiegészítés2020'!$A151,'13.mell_ÖNKfeladatok2020'!AS$167:AS$321)</f>
        <v>0</v>
      </c>
      <c r="R151" s="543">
        <f>+SUMIF('13.mell_ÖNKfeladatok2020'!$B$167:$B$321,'14.mell_Önk kiegészítés2020'!$A151,'13.mell_ÖNKfeladatok2020'!AW$167:AW$321)</f>
        <v>0</v>
      </c>
      <c r="S151" s="582">
        <f>SUM(K151:R151)</f>
        <v>0</v>
      </c>
      <c r="T151" s="544">
        <f>S151-J151</f>
        <v>0</v>
      </c>
      <c r="U151" s="1100">
        <f>+ROUND(SUMIF('10.mell_támogatások2020'!$B$6:$B$137,'14.mell_Önk kiegészítés2020'!$A151,'10.mell_támogatások2020'!F$6:F$137)/1000,0)</f>
        <v>0</v>
      </c>
      <c r="V151" s="1080"/>
      <c r="W151" s="544">
        <f t="shared" si="101"/>
        <v>0</v>
      </c>
    </row>
    <row r="152" spans="1:42">
      <c r="A152" s="826">
        <f>+A151+1</f>
        <v>6</v>
      </c>
      <c r="B152" s="542" t="s">
        <v>1496</v>
      </c>
      <c r="C152" s="543">
        <f>+SUMIF('13.mell_ÖNKfeladatok2020'!$B$5:$B$159,'14.mell_Önk kiegészítés2020'!$A152,'13.mell_ÖNKfeladatok2020'!Q$5:Q$159)</f>
        <v>0</v>
      </c>
      <c r="D152" s="543">
        <f>+SUMIF('13.mell_ÖNKfeladatok2020'!$B$5:$B$159,'14.mell_Önk kiegészítés2020'!$A152,'13.mell_ÖNKfeladatok2020'!U$5:U$159)</f>
        <v>0</v>
      </c>
      <c r="E152" s="543">
        <f>+SUMIF('13.mell_ÖNKfeladatok2020'!$B$5:$B$159,'14.mell_Önk kiegészítés2020'!$A152,'13.mell_ÖNKfeladatok2020'!Y$5:Y$159)</f>
        <v>0</v>
      </c>
      <c r="F152" s="543">
        <f>+SUMIF('13.mell_ÖNKfeladatok2020'!$B$5:$B$159,'14.mell_Önk kiegészítés2020'!$A152,'13.mell_ÖNKfeladatok2020'!AC$5:AC$159)</f>
        <v>0</v>
      </c>
      <c r="G152" s="540">
        <f>+SUMIF('13.mell_ÖNKfeladatok2020'!$B$5:$B$159,'14.mell_Önk kiegészítés2020'!$A152,'13.mell_ÖNKfeladatok2020'!AK$5:AK$159)</f>
        <v>0</v>
      </c>
      <c r="H152" s="543">
        <f>+SUMIF('13.mell_ÖNKfeladatok2020'!$B$5:$B$159,'14.mell_Önk kiegészítés2020'!$A152,'13.mell_ÖNKfeladatok2020'!AO$5:AO$159)</f>
        <v>0</v>
      </c>
      <c r="I152" s="543">
        <f>+SUMIF('13.mell_ÖNKfeladatok2020'!$B$5:$B$159,'14.mell_Önk kiegészítés2020'!$A152,'13.mell_ÖNKfeladatok2020'!AS$5:AS$159)</f>
        <v>0</v>
      </c>
      <c r="J152" s="582">
        <f t="shared" ref="J152" si="104">SUM(C152:I152)</f>
        <v>0</v>
      </c>
      <c r="K152" s="543">
        <f>+SUMIF('13.mell_ÖNKfeladatok2020'!$B$167:$B$321,'14.mell_Önk kiegészítés2020'!$A152,'13.mell_ÖNKfeladatok2020'!Q$167:Q$321)</f>
        <v>0</v>
      </c>
      <c r="L152" s="543">
        <f>+SUMIF('13.mell_ÖNKfeladatok2020'!$B$167:$B$321,'14.mell_Önk kiegészítés2020'!$A152,'13.mell_ÖNKfeladatok2020'!U$167:U$321)</f>
        <v>0</v>
      </c>
      <c r="M152" s="543">
        <f>+SUMIF('13.mell_ÖNKfeladatok2020'!$B$167:$B$321,'14.mell_Önk kiegészítés2020'!$A152,'13.mell_ÖNKfeladatok2020'!Y$167:Y$321)</f>
        <v>0</v>
      </c>
      <c r="N152" s="543">
        <f>+SUMIF('13.mell_ÖNKfeladatok2020'!$B$167:$B$321,'14.mell_Önk kiegészítés2020'!$A152,'13.mell_ÖNKfeladatok2020'!AC$167:AC$321)</f>
        <v>0</v>
      </c>
      <c r="O152" s="543">
        <f>+SUMIF('13.mell_ÖNKfeladatok2020'!$B$167:$B$321,'14.mell_Önk kiegészítés2020'!$A152,'13.mell_ÖNKfeladatok2020'!AG$167:AG$321)</f>
        <v>0</v>
      </c>
      <c r="P152" s="543">
        <f>+SUMIF('13.mell_ÖNKfeladatok2020'!$B$167:$B$321,'14.mell_Önk kiegészítés2020'!$A152,'13.mell_ÖNKfeladatok2020'!AO$167:AO$321)</f>
        <v>3940</v>
      </c>
      <c r="Q152" s="543">
        <f>+SUMIF('13.mell_ÖNKfeladatok2020'!$B$167:$B$321,'14.mell_Önk kiegészítés2020'!$A152,'13.mell_ÖNKfeladatok2020'!AS$167:AS$321)</f>
        <v>0</v>
      </c>
      <c r="R152" s="543">
        <f>+SUMIF('13.mell_ÖNKfeladatok2020'!$B$167:$B$321,'14.mell_Önk kiegészítés2020'!$A152,'13.mell_ÖNKfeladatok2020'!AW$167:AW$321)</f>
        <v>19162</v>
      </c>
      <c r="S152" s="582">
        <f t="shared" ref="S152" si="105">SUM(K152:R152)</f>
        <v>23102</v>
      </c>
      <c r="T152" s="544">
        <f t="shared" ref="T152" si="106">S152-J152</f>
        <v>23102</v>
      </c>
      <c r="U152" s="1100">
        <f>+ROUND(SUMIF('10.mell_támogatások2020'!$B$6:$B$137,'14.mell_Önk kiegészítés2020'!$A152,'10.mell_támogatások2020'!F$6:F$137)/1000,0)</f>
        <v>160</v>
      </c>
      <c r="V152" s="1080"/>
      <c r="W152" s="544">
        <f t="shared" si="101"/>
        <v>22942</v>
      </c>
      <c r="Y152" s="880">
        <f>+W152+W156+W176+W177+W203-W176-3355-40+1</f>
        <v>28438</v>
      </c>
      <c r="Z152" s="262" t="s">
        <v>1313</v>
      </c>
    </row>
    <row r="153" spans="1:42">
      <c r="A153" s="826">
        <f>A152+1</f>
        <v>7</v>
      </c>
      <c r="B153" s="542" t="s">
        <v>774</v>
      </c>
      <c r="C153" s="543">
        <f>+SUMIF('13.mell_ÖNKfeladatok2020'!$B$5:$B$159,'14.mell_Önk kiegészítés2020'!$A153,'13.mell_ÖNKfeladatok2020'!Q$5:Q$159)</f>
        <v>0</v>
      </c>
      <c r="D153" s="543">
        <f>+SUMIF('13.mell_ÖNKfeladatok2020'!$B$5:$B$159,'14.mell_Önk kiegészítés2020'!$A153,'13.mell_ÖNKfeladatok2020'!U$5:U$159)</f>
        <v>0</v>
      </c>
      <c r="E153" s="543">
        <f>+SUMIF('13.mell_ÖNKfeladatok2020'!$B$5:$B$159,'14.mell_Önk kiegészítés2020'!$A153,'13.mell_ÖNKfeladatok2020'!Y$5:Y$159)</f>
        <v>0</v>
      </c>
      <c r="F153" s="543">
        <f>+SUMIF('13.mell_ÖNKfeladatok2020'!$B$5:$B$159,'14.mell_Önk kiegészítés2020'!$A153,'13.mell_ÖNKfeladatok2020'!AC$5:AC$159)</f>
        <v>0</v>
      </c>
      <c r="G153" s="540">
        <f>+SUMIF('13.mell_ÖNKfeladatok2020'!$B$5:$B$159,'14.mell_Önk kiegészítés2020'!$A153,'13.mell_ÖNKfeladatok2020'!AK$5:AK$159)</f>
        <v>0</v>
      </c>
      <c r="H153" s="543">
        <f>+SUMIF('13.mell_ÖNKfeladatok2020'!$B$5:$B$159,'14.mell_Önk kiegészítés2020'!$A153,'13.mell_ÖNKfeladatok2020'!AO$5:AO$159)</f>
        <v>0</v>
      </c>
      <c r="I153" s="543">
        <f>+SUMIF('13.mell_ÖNKfeladatok2020'!$B$5:$B$159,'14.mell_Önk kiegészítés2020'!$A153,'13.mell_ÖNKfeladatok2020'!AS$5:AS$159)</f>
        <v>0</v>
      </c>
      <c r="J153" s="582">
        <f>SUM(C153:I153)</f>
        <v>0</v>
      </c>
      <c r="K153" s="543">
        <f>+SUMIF('13.mell_ÖNKfeladatok2020'!$B$167:$B$321,'14.mell_Önk kiegészítés2020'!$A153,'13.mell_ÖNKfeladatok2020'!Q$167:Q$321)</f>
        <v>0</v>
      </c>
      <c r="L153" s="543">
        <f>+SUMIF('13.mell_ÖNKfeladatok2020'!$B$167:$B$321,'14.mell_Önk kiegészítés2020'!$A153,'13.mell_ÖNKfeladatok2020'!U$167:U$321)</f>
        <v>0</v>
      </c>
      <c r="M153" s="543">
        <f>+SUMIF('13.mell_ÖNKfeladatok2020'!$B$167:$B$321,'14.mell_Önk kiegészítés2020'!$A153,'13.mell_ÖNKfeladatok2020'!Y$167:Y$321)</f>
        <v>0</v>
      </c>
      <c r="N153" s="543">
        <f>+SUMIF('13.mell_ÖNKfeladatok2020'!$B$167:$B$321,'14.mell_Önk kiegészítés2020'!$A153,'13.mell_ÖNKfeladatok2020'!AC$167:AC$321)</f>
        <v>0</v>
      </c>
      <c r="O153" s="543">
        <f>+SUMIF('13.mell_ÖNKfeladatok2020'!$B$167:$B$321,'14.mell_Önk kiegészítés2020'!$A153,'13.mell_ÖNKfeladatok2020'!AG$167:AG$321)</f>
        <v>0</v>
      </c>
      <c r="P153" s="543">
        <f>+SUMIF('13.mell_ÖNKfeladatok2020'!$B$167:$B$321,'14.mell_Önk kiegészítés2020'!$A153,'13.mell_ÖNKfeladatok2020'!AO$167:AO$321)</f>
        <v>0</v>
      </c>
      <c r="Q153" s="543">
        <f>+SUMIF('13.mell_ÖNKfeladatok2020'!$B$167:$B$321,'14.mell_Önk kiegészítés2020'!$A153,'13.mell_ÖNKfeladatok2020'!AS$167:AS$321)</f>
        <v>0</v>
      </c>
      <c r="R153" s="543">
        <f>+SUMIF('13.mell_ÖNKfeladatok2020'!$B$167:$B$321,'14.mell_Önk kiegészítés2020'!$A153,'13.mell_ÖNKfeladatok2020'!AW$167:AW$321)</f>
        <v>0</v>
      </c>
      <c r="S153" s="582">
        <f>SUM(K153:R153)</f>
        <v>0</v>
      </c>
      <c r="T153" s="544">
        <f>S153-J153</f>
        <v>0</v>
      </c>
      <c r="U153" s="1101">
        <f>+ROUND(SUMIF('10.mell_támogatások2020'!$B$6:$B$137,'14.mell_Önk kiegészítés2020'!$A153,'10.mell_támogatások2020'!F$6:F$137)/1000,0)</f>
        <v>0</v>
      </c>
      <c r="V153" s="1081"/>
      <c r="W153" s="544">
        <f t="shared" si="101"/>
        <v>0</v>
      </c>
    </row>
    <row r="154" spans="1:42" ht="12.75" thickBot="1">
      <c r="A154" s="826">
        <f>+A153+1</f>
        <v>8</v>
      </c>
      <c r="B154" s="545" t="s">
        <v>757</v>
      </c>
      <c r="C154" s="543">
        <f>+SUMIF('13.mell_ÖNKfeladatok2020'!$B$5:$B$159,'14.mell_Önk kiegészítés2020'!$A154,'13.mell_ÖNKfeladatok2020'!Q$5:Q$159)</f>
        <v>20604</v>
      </c>
      <c r="D154" s="546">
        <f>+SUMIF('13.mell_ÖNKfeladatok2020'!$B$5:$B$159,'14.mell_Önk kiegészítés2020'!$A154,'13.mell_ÖNKfeladatok2020'!U$5:U$159)</f>
        <v>0</v>
      </c>
      <c r="E154" s="546">
        <f>+SUMIF('13.mell_ÖNKfeladatok2020'!$B$5:$B$159,'14.mell_Önk kiegészítés2020'!$A154,'13.mell_ÖNKfeladatok2020'!Y$5:Y$159)</f>
        <v>0</v>
      </c>
      <c r="F154" s="546">
        <f>+SUMIF('13.mell_ÖNKfeladatok2020'!$B$5:$B$159,'14.mell_Önk kiegészítés2020'!$A154,'13.mell_ÖNKfeladatok2020'!AC$5:AC$159)</f>
        <v>0</v>
      </c>
      <c r="G154" s="540">
        <f>+SUMIF('13.mell_ÖNKfeladatok2020'!$B$5:$B$159,'14.mell_Önk kiegészítés2020'!$A154,'13.mell_ÖNKfeladatok2020'!AK$5:AK$159)</f>
        <v>0</v>
      </c>
      <c r="H154" s="546">
        <f>+SUMIF('13.mell_ÖNKfeladatok2020'!$B$5:$B$159,'14.mell_Önk kiegészítés2020'!$A154,'13.mell_ÖNKfeladatok2020'!AO$5:AO$159)</f>
        <v>0</v>
      </c>
      <c r="I154" s="546">
        <f>+SUMIF('13.mell_ÖNKfeladatok2020'!$B$5:$B$159,'14.mell_Önk kiegészítés2020'!$A154,'13.mell_ÖNKfeladatok2020'!AS$5:AS$159)</f>
        <v>0</v>
      </c>
      <c r="J154" s="582">
        <f t="shared" ref="J154" si="107">SUM(C154:I154)</f>
        <v>20604</v>
      </c>
      <c r="K154" s="543">
        <f>+SUMIF('13.mell_ÖNKfeladatok2020'!$B$167:$B$321,'14.mell_Önk kiegészítés2020'!$A154,'13.mell_ÖNKfeladatok2020'!Q$167:Q$321)</f>
        <v>610</v>
      </c>
      <c r="L154" s="543">
        <f>+SUMIF('13.mell_ÖNKfeladatok2020'!$B$167:$B$321,'14.mell_Önk kiegészítés2020'!$A154,'13.mell_ÖNKfeladatok2020'!U$167:U$321)</f>
        <v>59</v>
      </c>
      <c r="M154" s="543">
        <f>+SUMIF('13.mell_ÖNKfeladatok2020'!$B$167:$B$321,'14.mell_Önk kiegészítés2020'!$A154,'13.mell_ÖNKfeladatok2020'!Y$167:Y$321)</f>
        <v>0</v>
      </c>
      <c r="N154" s="543">
        <f>+SUMIF('13.mell_ÖNKfeladatok2020'!$B$167:$B$321,'14.mell_Önk kiegészítés2020'!$A154,'13.mell_ÖNKfeladatok2020'!AC$167:AC$321)</f>
        <v>0</v>
      </c>
      <c r="O154" s="543">
        <f>+SUMIF('13.mell_ÖNKfeladatok2020'!$B$167:$B$321,'14.mell_Önk kiegészítés2020'!$A154,'13.mell_ÖNKfeladatok2020'!AG$167:AG$321)</f>
        <v>-34740</v>
      </c>
      <c r="P154" s="543">
        <f>+SUMIF('13.mell_ÖNKfeladatok2020'!$B$167:$B$321,'14.mell_Önk kiegészítés2020'!$A154,'13.mell_ÖNKfeladatok2020'!AO$167:AO$321)</f>
        <v>0</v>
      </c>
      <c r="Q154" s="543">
        <f>+SUMIF('13.mell_ÖNKfeladatok2020'!$B$167:$B$321,'14.mell_Önk kiegészítés2020'!$A154,'13.mell_ÖNKfeladatok2020'!AS$167:AS$321)</f>
        <v>0</v>
      </c>
      <c r="R154" s="543">
        <f>+SUMIF('13.mell_ÖNKfeladatok2020'!$B$167:$B$321,'14.mell_Önk kiegészítés2020'!$A154,'13.mell_ÖNKfeladatok2020'!AW$167:AW$321)</f>
        <v>0</v>
      </c>
      <c r="S154" s="582">
        <f t="shared" ref="S154" si="108">SUM(K154:R154)</f>
        <v>-34071</v>
      </c>
      <c r="T154" s="544">
        <f t="shared" ref="T154" si="109">S154-J154</f>
        <v>-54675</v>
      </c>
      <c r="U154" s="1101">
        <f>-ROUND('10.mell_támogatások2020'!F$137/1000,0)+ROUND(SUMIF('10.mell_támogatások2020'!$B$6:$B$137,'14.mell_Önk kiegészítés2020'!$A154,'10.mell_támogatások2020'!F$6:F$137)/1000,0)</f>
        <v>-19836</v>
      </c>
      <c r="V154" s="1081">
        <v>-99</v>
      </c>
      <c r="W154" s="544">
        <f t="shared" si="101"/>
        <v>-34740</v>
      </c>
      <c r="AG154" s="262">
        <v>-99</v>
      </c>
    </row>
    <row r="155" spans="1:42" s="535" customFormat="1" ht="12.75" thickBot="1">
      <c r="A155" s="547" t="s">
        <v>587</v>
      </c>
      <c r="B155" s="548" t="s">
        <v>410</v>
      </c>
      <c r="C155" s="549">
        <f>SUM(C147:C154)</f>
        <v>20604</v>
      </c>
      <c r="D155" s="550">
        <f t="shared" ref="D155:W155" si="110">SUM(D147:D154)</f>
        <v>0</v>
      </c>
      <c r="E155" s="550">
        <f t="shared" si="110"/>
        <v>0</v>
      </c>
      <c r="F155" s="550">
        <f t="shared" si="110"/>
        <v>0</v>
      </c>
      <c r="G155" s="550">
        <f t="shared" si="110"/>
        <v>0</v>
      </c>
      <c r="H155" s="550">
        <f t="shared" si="110"/>
        <v>0</v>
      </c>
      <c r="I155" s="551">
        <f t="shared" si="110"/>
        <v>0</v>
      </c>
      <c r="J155" s="552">
        <f t="shared" si="110"/>
        <v>20604</v>
      </c>
      <c r="K155" s="549">
        <f t="shared" si="110"/>
        <v>610</v>
      </c>
      <c r="L155" s="549">
        <f t="shared" si="110"/>
        <v>59</v>
      </c>
      <c r="M155" s="549">
        <f t="shared" si="110"/>
        <v>0</v>
      </c>
      <c r="N155" s="549">
        <f t="shared" si="110"/>
        <v>0</v>
      </c>
      <c r="O155" s="549">
        <f t="shared" si="110"/>
        <v>-34740</v>
      </c>
      <c r="P155" s="549">
        <f t="shared" si="110"/>
        <v>3940</v>
      </c>
      <c r="Q155" s="549">
        <f t="shared" si="110"/>
        <v>0</v>
      </c>
      <c r="R155" s="549">
        <f t="shared" si="110"/>
        <v>19162</v>
      </c>
      <c r="S155" s="552">
        <f t="shared" si="110"/>
        <v>-10969</v>
      </c>
      <c r="T155" s="552">
        <f t="shared" si="110"/>
        <v>-31573</v>
      </c>
      <c r="U155" s="1102">
        <f t="shared" si="110"/>
        <v>-19676</v>
      </c>
      <c r="V155" s="553">
        <f t="shared" si="110"/>
        <v>-99</v>
      </c>
      <c r="W155" s="552">
        <f t="shared" si="110"/>
        <v>-11798</v>
      </c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</row>
    <row r="156" spans="1:42" ht="12.75">
      <c r="A156" s="826">
        <f>+A154+1</f>
        <v>9</v>
      </c>
      <c r="B156" s="545" t="s">
        <v>772</v>
      </c>
      <c r="C156" s="546">
        <f>+SUMIF('13.mell_ÖNKfeladatok2020'!$B$5:$B$159,'14.mell_Önk kiegészítés2020'!$A156,'13.mell_ÖNKfeladatok2020'!Q$5:Q$159)</f>
        <v>0</v>
      </c>
      <c r="D156" s="546">
        <f>+SUMIF('13.mell_ÖNKfeladatok2020'!$B$5:$B$159,'14.mell_Önk kiegészítés2020'!$A156,'13.mell_ÖNKfeladatok2020'!U$5:U$159)</f>
        <v>0</v>
      </c>
      <c r="E156" s="546">
        <f>+SUMIF('13.mell_ÖNKfeladatok2020'!$B$5:$B$159,'14.mell_Önk kiegészítés2020'!$A156,'13.mell_ÖNKfeladatok2020'!Y$5:Y$159)</f>
        <v>0</v>
      </c>
      <c r="F156" s="546">
        <f>+SUMIF('13.mell_ÖNKfeladatok2020'!$B$5:$B$159,'14.mell_Önk kiegészítés2020'!$A156,'13.mell_ÖNKfeladatok2020'!AC$5:AC$159)</f>
        <v>0</v>
      </c>
      <c r="G156" s="546">
        <f>+SUMIF('13.mell_ÖNKfeladatok2020'!$B$5:$B$159,'14.mell_Önk kiegészítés2020'!$A156,'13.mell_ÖNKfeladatok2020'!AK$5:AK$159)</f>
        <v>0</v>
      </c>
      <c r="H156" s="546">
        <f>+SUMIF('13.mell_ÖNKfeladatok2020'!$B$5:$B$159,'14.mell_Önk kiegészítés2020'!$A156,'13.mell_ÖNKfeladatok2020'!AO$5:AO$159)</f>
        <v>0</v>
      </c>
      <c r="I156" s="546">
        <f>+SUMIF('13.mell_ÖNKfeladatok2020'!$B$5:$B$159,'14.mell_Önk kiegészítés2020'!$A156,'13.mell_ÖNKfeladatok2020'!AS$5:AS$159)</f>
        <v>0</v>
      </c>
      <c r="J156" s="583">
        <f>SUM(C156:I156)</f>
        <v>0</v>
      </c>
      <c r="K156" s="543">
        <f>+SUMIF('13.mell_ÖNKfeladatok2020'!$B$167:$B$321,'14.mell_Önk kiegészítés2020'!$A156,'13.mell_ÖNKfeladatok2020'!Q$167:Q$321)</f>
        <v>0</v>
      </c>
      <c r="L156" s="543">
        <f>+SUMIF('13.mell_ÖNKfeladatok2020'!$B$167:$B$321,'14.mell_Önk kiegészítés2020'!$A156,'13.mell_ÖNKfeladatok2020'!U$167:U$321)</f>
        <v>0</v>
      </c>
      <c r="M156" s="543">
        <f>+SUMIF('13.mell_ÖNKfeladatok2020'!$B$167:$B$321,'14.mell_Önk kiegészítés2020'!$A156,'13.mell_ÖNKfeladatok2020'!Y$167:Y$321)</f>
        <v>0</v>
      </c>
      <c r="N156" s="543">
        <f>+SUMIF('13.mell_ÖNKfeladatok2020'!$B$167:$B$321,'14.mell_Önk kiegészítés2020'!$A156,'13.mell_ÖNKfeladatok2020'!AC$167:AC$321)</f>
        <v>0</v>
      </c>
      <c r="O156" s="543">
        <f>+SUMIF('13.mell_ÖNKfeladatok2020'!$B$167:$B$321,'14.mell_Önk kiegészítés2020'!$A156,'13.mell_ÖNKfeladatok2020'!AG$167:AG$321)</f>
        <v>0</v>
      </c>
      <c r="P156" s="543">
        <f>+SUMIF('13.mell_ÖNKfeladatok2020'!$B$167:$B$321,'14.mell_Önk kiegészítés2020'!$A156,'13.mell_ÖNKfeladatok2020'!AO$167:AO$321)</f>
        <v>0</v>
      </c>
      <c r="Q156" s="543">
        <f>+SUMIF('13.mell_ÖNKfeladatok2020'!$B$167:$B$321,'14.mell_Önk kiegészítés2020'!$A156,'13.mell_ÖNKfeladatok2020'!AS$167:AS$321)</f>
        <v>0</v>
      </c>
      <c r="R156" s="543">
        <f>+SUMIF('13.mell_ÖNKfeladatok2020'!$B$167:$B$321,'14.mell_Önk kiegészítés2020'!$A156,'13.mell_ÖNKfeladatok2020'!AW$167:AW$321)</f>
        <v>0</v>
      </c>
      <c r="S156" s="582">
        <f>SUM(K156:R156)</f>
        <v>0</v>
      </c>
      <c r="T156" s="544">
        <f>S156-J156</f>
        <v>0</v>
      </c>
      <c r="U156" s="1103">
        <f>+ROUND(SUMIF('10.mell_támogatások2020'!$B$6:$B$137,'14.mell_Önk kiegészítés2020'!$A156,'10.mell_támogatások2020'!F$6:F$137)/1000,0)</f>
        <v>0</v>
      </c>
      <c r="V156" s="1082"/>
      <c r="W156" s="544">
        <f t="shared" ref="W156:W157" si="111">+T156-U156-V156</f>
        <v>0</v>
      </c>
    </row>
    <row r="157" spans="1:42" ht="12.75" thickBot="1">
      <c r="A157" s="826">
        <f>+A156+1</f>
        <v>10</v>
      </c>
      <c r="B157" s="545" t="s">
        <v>758</v>
      </c>
      <c r="C157" s="546">
        <f>+SUMIF('13.mell_ÖNKfeladatok2020'!$B$5:$B$159,'14.mell_Önk kiegészítés2020'!$A157,'13.mell_ÖNKfeladatok2020'!Q$5:Q$159)</f>
        <v>0</v>
      </c>
      <c r="D157" s="546">
        <f>+SUMIF('13.mell_ÖNKfeladatok2020'!$B$5:$B$159,'14.mell_Önk kiegészítés2020'!$A157,'13.mell_ÖNKfeladatok2020'!U$5:U$159)</f>
        <v>0</v>
      </c>
      <c r="E157" s="546">
        <f>+SUMIF('13.mell_ÖNKfeladatok2020'!$B$5:$B$159,'14.mell_Önk kiegészítés2020'!$A157,'13.mell_ÖNKfeladatok2020'!Y$5:Y$159)</f>
        <v>0</v>
      </c>
      <c r="F157" s="546">
        <f>+SUMIF('13.mell_ÖNKfeladatok2020'!$B$5:$B$159,'14.mell_Önk kiegészítés2020'!$A157,'13.mell_ÖNKfeladatok2020'!AC$5:AC$159)</f>
        <v>0</v>
      </c>
      <c r="G157" s="546">
        <f>+SUMIF('13.mell_ÖNKfeladatok2020'!$B$5:$B$159,'14.mell_Önk kiegészítés2020'!$A157,'13.mell_ÖNKfeladatok2020'!AK$5:AK$159)</f>
        <v>0</v>
      </c>
      <c r="H157" s="546">
        <f>+SUMIF('13.mell_ÖNKfeladatok2020'!$B$5:$B$159,'14.mell_Önk kiegészítés2020'!$A157,'13.mell_ÖNKfeladatok2020'!AO$5:AO$159)</f>
        <v>0</v>
      </c>
      <c r="I157" s="546">
        <f>+SUMIF('13.mell_ÖNKfeladatok2020'!$B$5:$B$159,'14.mell_Önk kiegészítés2020'!$A157,'13.mell_ÖNKfeladatok2020'!AS$5:AS$159)</f>
        <v>0</v>
      </c>
      <c r="J157" s="583">
        <f t="shared" ref="J157" si="112">SUM(C157:I157)</f>
        <v>0</v>
      </c>
      <c r="K157" s="543">
        <f>+SUMIF('13.mell_ÖNKfeladatok2020'!$B$167:$B$321,'14.mell_Önk kiegészítés2020'!$A157,'13.mell_ÖNKfeladatok2020'!Q$167:Q$321)</f>
        <v>0</v>
      </c>
      <c r="L157" s="543">
        <f>+SUMIF('13.mell_ÖNKfeladatok2020'!$B$167:$B$321,'14.mell_Önk kiegészítés2020'!$A157,'13.mell_ÖNKfeladatok2020'!U$167:U$321)</f>
        <v>0</v>
      </c>
      <c r="M157" s="543">
        <f>+SUMIF('13.mell_ÖNKfeladatok2020'!$B$167:$B$321,'14.mell_Önk kiegészítés2020'!$A157,'13.mell_ÖNKfeladatok2020'!Y$167:Y$321)</f>
        <v>0</v>
      </c>
      <c r="N157" s="543">
        <f>+SUMIF('13.mell_ÖNKfeladatok2020'!$B$167:$B$321,'14.mell_Önk kiegészítés2020'!$A157,'13.mell_ÖNKfeladatok2020'!AC$167:AC$321)</f>
        <v>0</v>
      </c>
      <c r="O157" s="543">
        <f>+SUMIF('13.mell_ÖNKfeladatok2020'!$B$167:$B$321,'14.mell_Önk kiegészítés2020'!$A157,'13.mell_ÖNKfeladatok2020'!AG$167:AG$321)</f>
        <v>0</v>
      </c>
      <c r="P157" s="543">
        <f>+SUMIF('13.mell_ÖNKfeladatok2020'!$B$167:$B$321,'14.mell_Önk kiegészítés2020'!$A157,'13.mell_ÖNKfeladatok2020'!AO$167:AO$321)</f>
        <v>0</v>
      </c>
      <c r="Q157" s="543">
        <f>+SUMIF('13.mell_ÖNKfeladatok2020'!$B$167:$B$321,'14.mell_Önk kiegészítés2020'!$A157,'13.mell_ÖNKfeladatok2020'!AS$167:AS$321)</f>
        <v>0</v>
      </c>
      <c r="R157" s="543">
        <f>+SUMIF('13.mell_ÖNKfeladatok2020'!$B$167:$B$321,'14.mell_Önk kiegészítés2020'!$A157,'13.mell_ÖNKfeladatok2020'!AW$167:AW$321)</f>
        <v>0</v>
      </c>
      <c r="S157" s="582">
        <f>SUM(K157:R157)</f>
        <v>0</v>
      </c>
      <c r="T157" s="544">
        <f t="shared" ref="T157" si="113">S157-J157</f>
        <v>0</v>
      </c>
      <c r="U157" s="1101">
        <f>+ROUND(SUMIF('10.mell_támogatások2020'!$B$6:$B$137,'14.mell_Önk kiegészítés2020'!$A157,'10.mell_támogatások2020'!F$6:F$137)/1000,0)</f>
        <v>0</v>
      </c>
      <c r="V157" s="1081"/>
      <c r="W157" s="544">
        <f t="shared" si="111"/>
        <v>0</v>
      </c>
    </row>
    <row r="158" spans="1:42" s="535" customFormat="1" ht="12.75" thickBot="1">
      <c r="A158" s="547" t="s">
        <v>588</v>
      </c>
      <c r="B158" s="548" t="s">
        <v>411</v>
      </c>
      <c r="C158" s="549">
        <f t="shared" ref="C158:U158" si="114">SUM(C156:C157)</f>
        <v>0</v>
      </c>
      <c r="D158" s="550">
        <f t="shared" si="114"/>
        <v>0</v>
      </c>
      <c r="E158" s="550">
        <f t="shared" si="114"/>
        <v>0</v>
      </c>
      <c r="F158" s="550">
        <f t="shared" si="114"/>
        <v>0</v>
      </c>
      <c r="G158" s="550">
        <f t="shared" si="114"/>
        <v>0</v>
      </c>
      <c r="H158" s="550">
        <f t="shared" si="114"/>
        <v>0</v>
      </c>
      <c r="I158" s="553">
        <f t="shared" si="114"/>
        <v>0</v>
      </c>
      <c r="J158" s="552">
        <f t="shared" si="114"/>
        <v>0</v>
      </c>
      <c r="K158" s="549">
        <f t="shared" si="114"/>
        <v>0</v>
      </c>
      <c r="L158" s="549">
        <f t="shared" si="114"/>
        <v>0</v>
      </c>
      <c r="M158" s="549">
        <f t="shared" si="114"/>
        <v>0</v>
      </c>
      <c r="N158" s="549">
        <f t="shared" si="114"/>
        <v>0</v>
      </c>
      <c r="O158" s="549">
        <f t="shared" si="114"/>
        <v>0</v>
      </c>
      <c r="P158" s="549">
        <f t="shared" si="114"/>
        <v>0</v>
      </c>
      <c r="Q158" s="549">
        <f t="shared" si="114"/>
        <v>0</v>
      </c>
      <c r="R158" s="549">
        <f t="shared" si="114"/>
        <v>0</v>
      </c>
      <c r="S158" s="552">
        <f t="shared" si="114"/>
        <v>0</v>
      </c>
      <c r="T158" s="552">
        <f t="shared" si="114"/>
        <v>0</v>
      </c>
      <c r="U158" s="1102">
        <f t="shared" si="114"/>
        <v>0</v>
      </c>
      <c r="V158" s="553">
        <f t="shared" ref="V158" si="115">SUM(V156:V157)</f>
        <v>0</v>
      </c>
      <c r="W158" s="552">
        <f t="shared" ref="W158" si="116">SUM(W156:W157)</f>
        <v>0</v>
      </c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</row>
    <row r="159" spans="1:42" ht="12.75" thickBot="1">
      <c r="A159" s="826">
        <f>+A157+1</f>
        <v>11</v>
      </c>
      <c r="B159" s="554" t="s">
        <v>412</v>
      </c>
      <c r="C159" s="555">
        <f>+SUMIF('13.mell_ÖNKfeladatok2020'!$B$5:$B$159,'14.mell_Önk kiegészítés2020'!$A159,'13.mell_ÖNKfeladatok2020'!Q$5:Q$159)</f>
        <v>0</v>
      </c>
      <c r="D159" s="555">
        <f>+SUMIF('13.mell_ÖNKfeladatok2020'!$B$5:$B$159,'14.mell_Önk kiegészítés2020'!$A159,'13.mell_ÖNKfeladatok2020'!U$5:U$159)</f>
        <v>0</v>
      </c>
      <c r="E159" s="555">
        <f>+SUMIF('13.mell_ÖNKfeladatok2020'!$B$5:$B$159,'14.mell_Önk kiegészítés2020'!$A159,'13.mell_ÖNKfeladatok2020'!Y$5:Y$159)</f>
        <v>0</v>
      </c>
      <c r="F159" s="555">
        <f>+SUMIF('13.mell_ÖNKfeladatok2020'!$B$5:$B$159,'14.mell_Önk kiegészítés2020'!$A159,'13.mell_ÖNKfeladatok2020'!AC$5:AC$159)</f>
        <v>0</v>
      </c>
      <c r="G159" s="555">
        <f>+SUMIF('13.mell_ÖNKfeladatok2020'!$B$5:$B$159,'14.mell_Önk kiegészítés2020'!$A159,'13.mell_ÖNKfeladatok2020'!AK$5:AK$159)</f>
        <v>0</v>
      </c>
      <c r="H159" s="555">
        <f>+SUMIF('13.mell_ÖNKfeladatok2020'!$B$5:$B$159,'14.mell_Önk kiegészítés2020'!$A159,'13.mell_ÖNKfeladatok2020'!AO$5:AO$159)</f>
        <v>0</v>
      </c>
      <c r="I159" s="555">
        <f>+SUMIF('13.mell_ÖNKfeladatok2020'!$B$5:$B$159,'14.mell_Önk kiegészítés2020'!$A159,'13.mell_ÖNKfeladatok2020'!AS$5:AS$159)</f>
        <v>0</v>
      </c>
      <c r="J159" s="584">
        <f t="shared" ref="J159" si="117">SUM(C159:I159)</f>
        <v>0</v>
      </c>
      <c r="K159" s="543">
        <f>+SUMIF('13.mell_ÖNKfeladatok2020'!$B$167:$B$321,'14.mell_Önk kiegészítés2020'!$A159,'13.mell_ÖNKfeladatok2020'!Q$167:Q$321)</f>
        <v>0</v>
      </c>
      <c r="L159" s="543">
        <f>+SUMIF('13.mell_ÖNKfeladatok2020'!$B$167:$B$321,'14.mell_Önk kiegészítés2020'!$A159,'13.mell_ÖNKfeladatok2020'!U$167:U$321)</f>
        <v>0</v>
      </c>
      <c r="M159" s="543">
        <f>+SUMIF('13.mell_ÖNKfeladatok2020'!$B$167:$B$321,'14.mell_Önk kiegészítés2020'!$A159,'13.mell_ÖNKfeladatok2020'!Y$167:Y$321)</f>
        <v>0</v>
      </c>
      <c r="N159" s="543">
        <f>+SUMIF('13.mell_ÖNKfeladatok2020'!$B$167:$B$321,'14.mell_Önk kiegészítés2020'!$A159,'13.mell_ÖNKfeladatok2020'!AC$167:AC$321)</f>
        <v>0</v>
      </c>
      <c r="O159" s="543">
        <f>+SUMIF('13.mell_ÖNKfeladatok2020'!$B$167:$B$321,'14.mell_Önk kiegészítés2020'!$A159,'13.mell_ÖNKfeladatok2020'!AG$167:AG$321)</f>
        <v>0</v>
      </c>
      <c r="P159" s="543">
        <f>+SUMIF('13.mell_ÖNKfeladatok2020'!$B$167:$B$321,'14.mell_Önk kiegészítés2020'!$A159,'13.mell_ÖNKfeladatok2020'!AO$167:AO$321)</f>
        <v>0</v>
      </c>
      <c r="Q159" s="543">
        <f>+SUMIF('13.mell_ÖNKfeladatok2020'!$B$167:$B$321,'14.mell_Önk kiegészítés2020'!$A159,'13.mell_ÖNKfeladatok2020'!AS$167:AS$321)</f>
        <v>0</v>
      </c>
      <c r="R159" s="543">
        <f>+SUMIF('13.mell_ÖNKfeladatok2020'!$B$167:$B$321,'14.mell_Önk kiegészítés2020'!$A159,'13.mell_ÖNKfeladatok2020'!AW$167:AW$321)</f>
        <v>0</v>
      </c>
      <c r="S159" s="582">
        <f>SUM(K159:R159)</f>
        <v>0</v>
      </c>
      <c r="T159" s="544">
        <f t="shared" ref="T159" si="118">S159-J159</f>
        <v>0</v>
      </c>
      <c r="U159" s="1101">
        <f>+ROUND(SUMIF('10.mell_támogatások2020'!$B$6:$B$137,'14.mell_Önk kiegészítés2020'!$A159,'10.mell_támogatások2020'!F$6:F$137)/1000,0)</f>
        <v>0</v>
      </c>
      <c r="V159" s="1081"/>
      <c r="W159" s="544">
        <f>+T159-U159-V159</f>
        <v>0</v>
      </c>
    </row>
    <row r="160" spans="1:42" s="535" customFormat="1" ht="12.75" thickBot="1">
      <c r="A160" s="547" t="s">
        <v>589</v>
      </c>
      <c r="B160" s="548" t="s">
        <v>412</v>
      </c>
      <c r="C160" s="549">
        <f>SUM(C159)</f>
        <v>0</v>
      </c>
      <c r="D160" s="550">
        <f t="shared" ref="D160:W160" si="119">SUM(D159)</f>
        <v>0</v>
      </c>
      <c r="E160" s="550">
        <f t="shared" si="119"/>
        <v>0</v>
      </c>
      <c r="F160" s="550">
        <f t="shared" si="119"/>
        <v>0</v>
      </c>
      <c r="G160" s="550">
        <f t="shared" si="119"/>
        <v>0</v>
      </c>
      <c r="H160" s="550">
        <f t="shared" si="119"/>
        <v>0</v>
      </c>
      <c r="I160" s="553">
        <f t="shared" si="119"/>
        <v>0</v>
      </c>
      <c r="J160" s="552">
        <f t="shared" si="119"/>
        <v>0</v>
      </c>
      <c r="K160" s="549">
        <f t="shared" si="119"/>
        <v>0</v>
      </c>
      <c r="L160" s="549">
        <f t="shared" si="119"/>
        <v>0</v>
      </c>
      <c r="M160" s="549">
        <f t="shared" si="119"/>
        <v>0</v>
      </c>
      <c r="N160" s="549">
        <f t="shared" si="119"/>
        <v>0</v>
      </c>
      <c r="O160" s="549">
        <f t="shared" si="119"/>
        <v>0</v>
      </c>
      <c r="P160" s="549">
        <f t="shared" si="119"/>
        <v>0</v>
      </c>
      <c r="Q160" s="549">
        <f t="shared" si="119"/>
        <v>0</v>
      </c>
      <c r="R160" s="549">
        <f t="shared" si="119"/>
        <v>0</v>
      </c>
      <c r="S160" s="552">
        <f t="shared" si="119"/>
        <v>0</v>
      </c>
      <c r="T160" s="552">
        <f t="shared" si="119"/>
        <v>0</v>
      </c>
      <c r="U160" s="1102">
        <f t="shared" si="119"/>
        <v>0</v>
      </c>
      <c r="V160" s="553">
        <f t="shared" si="119"/>
        <v>0</v>
      </c>
      <c r="W160" s="552">
        <f t="shared" si="119"/>
        <v>0</v>
      </c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</row>
    <row r="161" spans="1:42" s="535" customFormat="1" ht="12.75" thickBot="1">
      <c r="A161" s="556" t="s">
        <v>23</v>
      </c>
      <c r="B161" s="557" t="s">
        <v>413</v>
      </c>
      <c r="C161" s="558">
        <f t="shared" ref="C161:W161" si="120">+C155+C158+C160</f>
        <v>20604</v>
      </c>
      <c r="D161" s="559">
        <f t="shared" si="120"/>
        <v>0</v>
      </c>
      <c r="E161" s="559">
        <f t="shared" si="120"/>
        <v>0</v>
      </c>
      <c r="F161" s="559">
        <f t="shared" si="120"/>
        <v>0</v>
      </c>
      <c r="G161" s="559">
        <f t="shared" si="120"/>
        <v>0</v>
      </c>
      <c r="H161" s="559">
        <f t="shared" si="120"/>
        <v>0</v>
      </c>
      <c r="I161" s="560">
        <f t="shared" si="120"/>
        <v>0</v>
      </c>
      <c r="J161" s="561">
        <f t="shared" si="120"/>
        <v>20604</v>
      </c>
      <c r="K161" s="558">
        <f t="shared" si="120"/>
        <v>610</v>
      </c>
      <c r="L161" s="558">
        <f t="shared" si="120"/>
        <v>59</v>
      </c>
      <c r="M161" s="558">
        <f t="shared" si="120"/>
        <v>0</v>
      </c>
      <c r="N161" s="558">
        <f t="shared" si="120"/>
        <v>0</v>
      </c>
      <c r="O161" s="558">
        <f t="shared" si="120"/>
        <v>-34740</v>
      </c>
      <c r="P161" s="558">
        <f t="shared" si="120"/>
        <v>3940</v>
      </c>
      <c r="Q161" s="558">
        <f t="shared" si="120"/>
        <v>0</v>
      </c>
      <c r="R161" s="558">
        <f t="shared" si="120"/>
        <v>19162</v>
      </c>
      <c r="S161" s="561">
        <f t="shared" si="120"/>
        <v>-10969</v>
      </c>
      <c r="T161" s="561">
        <f t="shared" si="120"/>
        <v>-31573</v>
      </c>
      <c r="U161" s="1104">
        <f t="shared" si="120"/>
        <v>-19676</v>
      </c>
      <c r="V161" s="560">
        <f t="shared" si="120"/>
        <v>-99</v>
      </c>
      <c r="W161" s="561">
        <f t="shared" si="120"/>
        <v>-11798</v>
      </c>
      <c r="Y161" s="535">
        <f>+'13.mell_ÖNKfeladatok2020'!$I$91-J161</f>
        <v>0</v>
      </c>
      <c r="Z161" s="535">
        <f>+'13.mell_ÖNKfeladatok2020'!$I$253-S161</f>
        <v>0</v>
      </c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2"/>
      <c r="AP161" s="262"/>
    </row>
    <row r="162" spans="1:42" s="535" customFormat="1" ht="12.75" thickBot="1">
      <c r="A162" s="567"/>
      <c r="B162" s="568"/>
      <c r="C162" s="569"/>
      <c r="D162" s="569"/>
      <c r="E162" s="569"/>
      <c r="F162" s="569"/>
      <c r="G162" s="569"/>
      <c r="H162" s="569"/>
      <c r="I162" s="866"/>
      <c r="J162" s="572"/>
      <c r="K162" s="569"/>
      <c r="L162" s="569"/>
      <c r="M162" s="569"/>
      <c r="N162" s="569"/>
      <c r="O162" s="569"/>
      <c r="P162" s="569"/>
      <c r="Q162" s="569"/>
      <c r="R162" s="569"/>
      <c r="S162" s="572"/>
      <c r="T162" s="572"/>
      <c r="U162" s="866"/>
      <c r="V162" s="571"/>
      <c r="W162" s="57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262"/>
      <c r="AM162" s="262"/>
      <c r="AN162" s="262"/>
      <c r="AO162" s="262"/>
      <c r="AP162" s="262"/>
    </row>
    <row r="163" spans="1:42">
      <c r="A163" s="867">
        <f>+A159+1</f>
        <v>12</v>
      </c>
      <c r="B163" s="868" t="s">
        <v>773</v>
      </c>
      <c r="C163" s="555">
        <f>+SUMIF('13.mell_ÖNKfeladatok2020'!$B$5:$B$159,'14.mell_Önk kiegészítés2020'!$A163,'13.mell_ÖNKfeladatok2020'!Q$5:Q$159)</f>
        <v>0</v>
      </c>
      <c r="D163" s="555">
        <f>+SUMIF('13.mell_ÖNKfeladatok2020'!$B$5:$B$159,'14.mell_Önk kiegészítés2020'!$A163,'13.mell_ÖNKfeladatok2020'!U$5:U$159)</f>
        <v>0</v>
      </c>
      <c r="E163" s="555">
        <f>+SUMIF('13.mell_ÖNKfeladatok2020'!$B$5:$B$159,'14.mell_Önk kiegészítés2020'!$A163,'13.mell_ÖNKfeladatok2020'!Y$5:Y$159)</f>
        <v>0</v>
      </c>
      <c r="F163" s="555">
        <f>+SUMIF('13.mell_ÖNKfeladatok2020'!$B$5:$B$159,'14.mell_Önk kiegészítés2020'!$A163,'13.mell_ÖNKfeladatok2020'!AC$5:AC$159)</f>
        <v>0</v>
      </c>
      <c r="G163" s="555">
        <f>+SUMIF('13.mell_ÖNKfeladatok2020'!$B$5:$B$159,'14.mell_Önk kiegészítés2020'!$A163,'13.mell_ÖNKfeladatok2020'!AK$5:AK$159)</f>
        <v>0</v>
      </c>
      <c r="H163" s="555">
        <f>+SUMIF('13.mell_ÖNKfeladatok2020'!$B$5:$B$159,'14.mell_Önk kiegészítés2020'!$A163,'13.mell_ÖNKfeladatok2020'!AO$5:AO$159)</f>
        <v>0</v>
      </c>
      <c r="I163" s="555">
        <f>+SUMIF('13.mell_ÖNKfeladatok2020'!$B$5:$B$159,'14.mell_Önk kiegészítés2020'!$A163,'13.mell_ÖNKfeladatok2020'!AS$5:AS$159)</f>
        <v>0</v>
      </c>
      <c r="J163" s="581">
        <f>SUM(C163:I163)</f>
        <v>0</v>
      </c>
      <c r="K163" s="540">
        <f>+SUMIF('13.mell_ÖNKfeladatok2020'!$B$167:$B$321,'14.mell_Önk kiegészítés2020'!$A163,'13.mell_ÖNKfeladatok2020'!Q$167:Q$321)</f>
        <v>29</v>
      </c>
      <c r="L163" s="540">
        <f>+SUMIF('13.mell_ÖNKfeladatok2020'!$B$167:$B$321,'14.mell_Önk kiegészítés2020'!$A163,'13.mell_ÖNKfeladatok2020'!U$167:U$321)</f>
        <v>4</v>
      </c>
      <c r="M163" s="540">
        <f>+SUMIF('13.mell_ÖNKfeladatok2020'!$B$167:$B$321,'14.mell_Önk kiegészítés2020'!$A163,'13.mell_ÖNKfeladatok2020'!Y$167:Y$321)</f>
        <v>0</v>
      </c>
      <c r="N163" s="540">
        <f>+SUMIF('13.mell_ÖNKfeladatok2020'!$B$167:$B$321,'14.mell_Önk kiegészítés2020'!$A163,'13.mell_ÖNKfeladatok2020'!AC$167:AC$321)</f>
        <v>0</v>
      </c>
      <c r="O163" s="540">
        <f>+SUMIF('13.mell_ÖNKfeladatok2020'!$B$167:$B$321,'14.mell_Önk kiegészítés2020'!$A163,'13.mell_ÖNKfeladatok2020'!AG$167:AG$321)</f>
        <v>0</v>
      </c>
      <c r="P163" s="540">
        <f>+SUMIF('13.mell_ÖNKfeladatok2020'!$B$167:$B$321,'14.mell_Önk kiegészítés2020'!$A163,'13.mell_ÖNKfeladatok2020'!AO$167:AO$321)</f>
        <v>0</v>
      </c>
      <c r="Q163" s="540">
        <f>+SUMIF('13.mell_ÖNKfeladatok2020'!$B$167:$B$321,'14.mell_Önk kiegészítés2020'!$A163,'13.mell_ÖNKfeladatok2020'!AS$167:AS$321)</f>
        <v>0</v>
      </c>
      <c r="R163" s="540">
        <f>+SUMIF('13.mell_ÖNKfeladatok2020'!$B$167:$B$321,'14.mell_Önk kiegészítés2020'!$A163,'13.mell_ÖNKfeladatok2020'!AW$167:AW$321)</f>
        <v>0</v>
      </c>
      <c r="S163" s="581">
        <f>SUM(K163:R163)</f>
        <v>33</v>
      </c>
      <c r="T163" s="541">
        <f>S163-J163</f>
        <v>33</v>
      </c>
      <c r="U163" s="1100">
        <f>+ROUND(SUMIF('10.mell_támogatások2020'!$B$6:$B$137,'14.mell_Önk kiegészítés2020'!$A163,'10.mell_támogatások2020'!F$6:F$137)/1000,0)</f>
        <v>0</v>
      </c>
      <c r="V163" s="1080">
        <v>33</v>
      </c>
      <c r="W163" s="541">
        <f t="shared" ref="W163:W165" si="121">+T163-U163-V163</f>
        <v>0</v>
      </c>
      <c r="AG163" s="262">
        <f>29+4</f>
        <v>33</v>
      </c>
    </row>
    <row r="164" spans="1:42">
      <c r="A164" s="826">
        <f>+A163+1</f>
        <v>13</v>
      </c>
      <c r="B164" s="542" t="s">
        <v>774</v>
      </c>
      <c r="C164" s="546">
        <f>+SUMIF('13.mell_ÖNKfeladatok2020'!$B$5:$B$159,'14.mell_Önk kiegészítés2020'!$A164,'13.mell_ÖNKfeladatok2020'!Q$5:Q$159)</f>
        <v>0</v>
      </c>
      <c r="D164" s="546">
        <f>+SUMIF('13.mell_ÖNKfeladatok2020'!$B$5:$B$159,'14.mell_Önk kiegészítés2020'!$A164,'13.mell_ÖNKfeladatok2020'!U$5:U$159)</f>
        <v>0</v>
      </c>
      <c r="E164" s="546">
        <f>+SUMIF('13.mell_ÖNKfeladatok2020'!$B$5:$B$159,'14.mell_Önk kiegészítés2020'!$A164,'13.mell_ÖNKfeladatok2020'!Y$5:Y$159)</f>
        <v>0</v>
      </c>
      <c r="F164" s="546">
        <f>+SUMIF('13.mell_ÖNKfeladatok2020'!$B$5:$B$159,'14.mell_Önk kiegészítés2020'!$A164,'13.mell_ÖNKfeladatok2020'!AC$5:AC$159)</f>
        <v>0</v>
      </c>
      <c r="G164" s="546">
        <f>+SUMIF('13.mell_ÖNKfeladatok2020'!$B$5:$B$159,'14.mell_Önk kiegészítés2020'!$A164,'13.mell_ÖNKfeladatok2020'!AK$5:AK$159)</f>
        <v>0</v>
      </c>
      <c r="H164" s="546">
        <f>+SUMIF('13.mell_ÖNKfeladatok2020'!$B$5:$B$159,'14.mell_Önk kiegészítés2020'!$A164,'13.mell_ÖNKfeladatok2020'!AO$5:AO$159)</f>
        <v>0</v>
      </c>
      <c r="I164" s="546">
        <f>+SUMIF('13.mell_ÖNKfeladatok2020'!$B$5:$B$159,'14.mell_Önk kiegészítés2020'!$A164,'13.mell_ÖNKfeladatok2020'!AS$5:AS$159)</f>
        <v>0</v>
      </c>
      <c r="J164" s="582">
        <f>SUM(C164:I164)</f>
        <v>0</v>
      </c>
      <c r="K164" s="543">
        <f>+SUMIF('13.mell_ÖNKfeladatok2020'!$B$167:$B$321,'14.mell_Önk kiegészítés2020'!$A164,'13.mell_ÖNKfeladatok2020'!Q$167:Q$321)</f>
        <v>0</v>
      </c>
      <c r="L164" s="543">
        <f>+SUMIF('13.mell_ÖNKfeladatok2020'!$B$167:$B$321,'14.mell_Önk kiegészítés2020'!$A164,'13.mell_ÖNKfeladatok2020'!U$167:U$321)</f>
        <v>0</v>
      </c>
      <c r="M164" s="543">
        <f>+SUMIF('13.mell_ÖNKfeladatok2020'!$B$167:$B$321,'14.mell_Önk kiegészítés2020'!$A164,'13.mell_ÖNKfeladatok2020'!Y$167:Y$321)</f>
        <v>0</v>
      </c>
      <c r="N164" s="543">
        <f>+SUMIF('13.mell_ÖNKfeladatok2020'!$B$167:$B$321,'14.mell_Önk kiegészítés2020'!$A164,'13.mell_ÖNKfeladatok2020'!AC$167:AC$321)</f>
        <v>0</v>
      </c>
      <c r="O164" s="543">
        <f>+SUMIF('13.mell_ÖNKfeladatok2020'!$B$167:$B$321,'14.mell_Önk kiegészítés2020'!$A164,'13.mell_ÖNKfeladatok2020'!AG$167:AG$321)</f>
        <v>0</v>
      </c>
      <c r="P164" s="543">
        <f>+SUMIF('13.mell_ÖNKfeladatok2020'!$B$167:$B$321,'14.mell_Önk kiegészítés2020'!$A164,'13.mell_ÖNKfeladatok2020'!AO$167:AO$321)</f>
        <v>0</v>
      </c>
      <c r="Q164" s="543">
        <f>+SUMIF('13.mell_ÖNKfeladatok2020'!$B$167:$B$321,'14.mell_Önk kiegészítés2020'!$A164,'13.mell_ÖNKfeladatok2020'!AS$167:AS$321)</f>
        <v>0</v>
      </c>
      <c r="R164" s="543">
        <f>+SUMIF('13.mell_ÖNKfeladatok2020'!$B$167:$B$321,'14.mell_Önk kiegészítés2020'!$A164,'13.mell_ÖNKfeladatok2020'!AW$167:AW$321)</f>
        <v>0</v>
      </c>
      <c r="S164" s="582">
        <f>SUM(K164:R164)</f>
        <v>0</v>
      </c>
      <c r="T164" s="544">
        <f>S164-J164</f>
        <v>0</v>
      </c>
      <c r="U164" s="1101">
        <f>+ROUND(SUMIF('10.mell_támogatások2020'!$B$6:$B$137,'14.mell_Önk kiegészítés2020'!$A164,'10.mell_támogatások2020'!F$6:F$137)/1000,0)</f>
        <v>0</v>
      </c>
      <c r="V164" s="1081"/>
      <c r="W164" s="544">
        <f t="shared" si="121"/>
        <v>0</v>
      </c>
    </row>
    <row r="165" spans="1:42" ht="12.75" thickBot="1">
      <c r="A165" s="826">
        <f>+A164+1</f>
        <v>14</v>
      </c>
      <c r="B165" s="545" t="s">
        <v>759</v>
      </c>
      <c r="C165" s="546">
        <f>+SUMIF('13.mell_ÖNKfeladatok2020'!$B$5:$B$159,'14.mell_Önk kiegészítés2020'!$A165,'13.mell_ÖNKfeladatok2020'!Q$5:Q$159)</f>
        <v>0</v>
      </c>
      <c r="D165" s="546">
        <f>+SUMIF('13.mell_ÖNKfeladatok2020'!$B$5:$B$159,'14.mell_Önk kiegészítés2020'!$A165,'13.mell_ÖNKfeladatok2020'!U$5:U$159)</f>
        <v>0</v>
      </c>
      <c r="E165" s="546">
        <f>+SUMIF('13.mell_ÖNKfeladatok2020'!$B$5:$B$159,'14.mell_Önk kiegészítés2020'!$A165,'13.mell_ÖNKfeladatok2020'!Y$5:Y$159)</f>
        <v>0</v>
      </c>
      <c r="F165" s="546">
        <f>+SUMIF('13.mell_ÖNKfeladatok2020'!$B$5:$B$159,'14.mell_Önk kiegészítés2020'!$A165,'13.mell_ÖNKfeladatok2020'!AC$5:AC$159)</f>
        <v>0</v>
      </c>
      <c r="G165" s="546">
        <f>+SUMIF('13.mell_ÖNKfeladatok2020'!$B$5:$B$159,'14.mell_Önk kiegészítés2020'!$A165,'13.mell_ÖNKfeladatok2020'!AK$5:AK$159)</f>
        <v>0</v>
      </c>
      <c r="H165" s="546">
        <f>+SUMIF('13.mell_ÖNKfeladatok2020'!$B$5:$B$159,'14.mell_Önk kiegészítés2020'!$A165,'13.mell_ÖNKfeladatok2020'!AO$5:AO$159)</f>
        <v>0</v>
      </c>
      <c r="I165" s="546">
        <f>+SUMIF('13.mell_ÖNKfeladatok2020'!$B$5:$B$159,'14.mell_Önk kiegészítés2020'!$A165,'13.mell_ÖNKfeladatok2020'!AS$5:AS$159)</f>
        <v>0</v>
      </c>
      <c r="J165" s="582">
        <f>SUM(C165:I165)</f>
        <v>0</v>
      </c>
      <c r="K165" s="543">
        <f>+SUMIF('13.mell_ÖNKfeladatok2020'!$B$167:$B$321,'14.mell_Önk kiegészítés2020'!$A165,'13.mell_ÖNKfeladatok2020'!Q$167:Q$321)</f>
        <v>0</v>
      </c>
      <c r="L165" s="543">
        <f>+SUMIF('13.mell_ÖNKfeladatok2020'!$B$167:$B$321,'14.mell_Önk kiegészítés2020'!$A165,'13.mell_ÖNKfeladatok2020'!U$167:U$321)</f>
        <v>0</v>
      </c>
      <c r="M165" s="543">
        <f>+SUMIF('13.mell_ÖNKfeladatok2020'!$B$167:$B$321,'14.mell_Önk kiegészítés2020'!$A165,'13.mell_ÖNKfeladatok2020'!Y$167:Y$321)</f>
        <v>0</v>
      </c>
      <c r="N165" s="543">
        <f>+SUMIF('13.mell_ÖNKfeladatok2020'!$B$167:$B$321,'14.mell_Önk kiegészítés2020'!$A165,'13.mell_ÖNKfeladatok2020'!AC$167:AC$321)</f>
        <v>0</v>
      </c>
      <c r="O165" s="543">
        <f>+SUMIF('13.mell_ÖNKfeladatok2020'!$B$167:$B$321,'14.mell_Önk kiegészítés2020'!$A165,'13.mell_ÖNKfeladatok2020'!AG$167:AG$321)</f>
        <v>0</v>
      </c>
      <c r="P165" s="543">
        <f>+SUMIF('13.mell_ÖNKfeladatok2020'!$B$167:$B$321,'14.mell_Önk kiegészítés2020'!$A165,'13.mell_ÖNKfeladatok2020'!AO$167:AO$321)</f>
        <v>0</v>
      </c>
      <c r="Q165" s="543">
        <f>+SUMIF('13.mell_ÖNKfeladatok2020'!$B$167:$B$321,'14.mell_Önk kiegészítés2020'!$A165,'13.mell_ÖNKfeladatok2020'!AS$167:AS$321)</f>
        <v>0</v>
      </c>
      <c r="R165" s="543">
        <f>+SUMIF('13.mell_ÖNKfeladatok2020'!$B$167:$B$321,'14.mell_Önk kiegészítés2020'!$A165,'13.mell_ÖNKfeladatok2020'!AW$167:AW$321)</f>
        <v>0</v>
      </c>
      <c r="S165" s="582">
        <f>SUM(K165:R165)</f>
        <v>0</v>
      </c>
      <c r="T165" s="544">
        <f>S165-J165</f>
        <v>0</v>
      </c>
      <c r="U165" s="1101">
        <f>+ROUND(SUMIF('10.mell_támogatások2020'!$B$6:$B$137,'14.mell_Önk kiegészítés2020'!$A165,'10.mell_támogatások2020'!F$6:F$137)/1000,0)</f>
        <v>0</v>
      </c>
      <c r="V165" s="1081"/>
      <c r="W165" s="544">
        <f t="shared" si="121"/>
        <v>0</v>
      </c>
    </row>
    <row r="166" spans="1:42" s="535" customFormat="1" ht="12.75" thickBot="1">
      <c r="A166" s="547" t="s">
        <v>590</v>
      </c>
      <c r="B166" s="548" t="s">
        <v>869</v>
      </c>
      <c r="C166" s="549">
        <f t="shared" ref="C166:U166" si="122">SUM(C163:C165)</f>
        <v>0</v>
      </c>
      <c r="D166" s="550">
        <f t="shared" si="122"/>
        <v>0</v>
      </c>
      <c r="E166" s="550">
        <f t="shared" si="122"/>
        <v>0</v>
      </c>
      <c r="F166" s="550">
        <f t="shared" si="122"/>
        <v>0</v>
      </c>
      <c r="G166" s="550">
        <f t="shared" si="122"/>
        <v>0</v>
      </c>
      <c r="H166" s="550">
        <f t="shared" si="122"/>
        <v>0</v>
      </c>
      <c r="I166" s="551">
        <f t="shared" si="122"/>
        <v>0</v>
      </c>
      <c r="J166" s="552">
        <f t="shared" si="122"/>
        <v>0</v>
      </c>
      <c r="K166" s="549">
        <f t="shared" si="122"/>
        <v>29</v>
      </c>
      <c r="L166" s="549">
        <f t="shared" si="122"/>
        <v>4</v>
      </c>
      <c r="M166" s="549">
        <f t="shared" si="122"/>
        <v>0</v>
      </c>
      <c r="N166" s="549">
        <f t="shared" si="122"/>
        <v>0</v>
      </c>
      <c r="O166" s="549">
        <f t="shared" si="122"/>
        <v>0</v>
      </c>
      <c r="P166" s="549">
        <f t="shared" si="122"/>
        <v>0</v>
      </c>
      <c r="Q166" s="549">
        <f t="shared" si="122"/>
        <v>0</v>
      </c>
      <c r="R166" s="549">
        <f t="shared" si="122"/>
        <v>0</v>
      </c>
      <c r="S166" s="552">
        <f t="shared" si="122"/>
        <v>33</v>
      </c>
      <c r="T166" s="552">
        <f t="shared" si="122"/>
        <v>33</v>
      </c>
      <c r="U166" s="1102">
        <f t="shared" si="122"/>
        <v>0</v>
      </c>
      <c r="V166" s="553">
        <f t="shared" ref="V166" si="123">SUM(V163:V165)</f>
        <v>33</v>
      </c>
      <c r="W166" s="552">
        <f t="shared" ref="W166" si="124">SUM(W163:W165)</f>
        <v>0</v>
      </c>
      <c r="AB166" s="262"/>
      <c r="AC166" s="262"/>
      <c r="AD166" s="262"/>
      <c r="AE166" s="262"/>
      <c r="AF166" s="262"/>
      <c r="AG166" s="262"/>
      <c r="AH166" s="262"/>
      <c r="AI166" s="262"/>
      <c r="AJ166" s="262"/>
      <c r="AK166" s="262"/>
      <c r="AL166" s="262"/>
      <c r="AM166" s="262"/>
      <c r="AN166" s="262"/>
      <c r="AO166" s="262"/>
      <c r="AP166" s="262"/>
    </row>
    <row r="167" spans="1:42">
      <c r="A167" s="826">
        <f>+A165+1</f>
        <v>15</v>
      </c>
      <c r="B167" s="566" t="s">
        <v>416</v>
      </c>
      <c r="C167" s="540">
        <f>+SUMIF('13.mell_ÖNKfeladatok2020'!$B$5:$B$159,'14.mell_Önk kiegészítés2020'!$A167,'13.mell_ÖNKfeladatok2020'!Q$5:Q$159)</f>
        <v>0</v>
      </c>
      <c r="D167" s="540">
        <f>+SUMIF('13.mell_ÖNKfeladatok2020'!$B$5:$B$159,'14.mell_Önk kiegészítés2020'!$A167,'13.mell_ÖNKfeladatok2020'!U$5:U$159)</f>
        <v>0</v>
      </c>
      <c r="E167" s="540">
        <f>+SUMIF('13.mell_ÖNKfeladatok2020'!$B$5:$B$159,'14.mell_Önk kiegészítés2020'!$A167,'13.mell_ÖNKfeladatok2020'!Y$5:Y$159)</f>
        <v>0</v>
      </c>
      <c r="F167" s="540">
        <f>+SUMIF('13.mell_ÖNKfeladatok2020'!$B$5:$B$159,'14.mell_Önk kiegészítés2020'!$A167,'13.mell_ÖNKfeladatok2020'!AC$5:AC$159)</f>
        <v>0</v>
      </c>
      <c r="G167" s="540">
        <f>+SUMIF('13.mell_ÖNKfeladatok2020'!$B$5:$B$159,'14.mell_Önk kiegészítés2020'!$A167,'13.mell_ÖNKfeladatok2020'!AK$5:AK$159)</f>
        <v>0</v>
      </c>
      <c r="H167" s="540">
        <f>+SUMIF('13.mell_ÖNKfeladatok2020'!$B$5:$B$159,'14.mell_Önk kiegészítés2020'!$A167,'13.mell_ÖNKfeladatok2020'!AO$5:AO$159)</f>
        <v>0</v>
      </c>
      <c r="I167" s="540">
        <f>+SUMIF('13.mell_ÖNKfeladatok2020'!$B$5:$B$159,'14.mell_Önk kiegészítés2020'!$A167,'13.mell_ÖNKfeladatok2020'!AS$5:AS$159)</f>
        <v>0</v>
      </c>
      <c r="J167" s="582">
        <f>SUM(C167:I167)</f>
        <v>0</v>
      </c>
      <c r="K167" s="543">
        <f>+SUMIF('13.mell_ÖNKfeladatok2020'!$B$167:$B$321,'14.mell_Önk kiegészítés2020'!$A167,'13.mell_ÖNKfeladatok2020'!Q$167:Q$321)</f>
        <v>0</v>
      </c>
      <c r="L167" s="543">
        <f>+SUMIF('13.mell_ÖNKfeladatok2020'!$B$167:$B$321,'14.mell_Önk kiegészítés2020'!$A167,'13.mell_ÖNKfeladatok2020'!U$167:U$321)</f>
        <v>0</v>
      </c>
      <c r="M167" s="543">
        <f>+SUMIF('13.mell_ÖNKfeladatok2020'!$B$167:$B$321,'14.mell_Önk kiegészítés2020'!$A167,'13.mell_ÖNKfeladatok2020'!Y$167:Y$321)</f>
        <v>0</v>
      </c>
      <c r="N167" s="543">
        <f>+SUMIF('13.mell_ÖNKfeladatok2020'!$B$167:$B$321,'14.mell_Önk kiegészítés2020'!$A167,'13.mell_ÖNKfeladatok2020'!AC$167:AC$321)</f>
        <v>0</v>
      </c>
      <c r="O167" s="543">
        <f>+SUMIF('13.mell_ÖNKfeladatok2020'!$B$167:$B$321,'14.mell_Önk kiegészítés2020'!$A167,'13.mell_ÖNKfeladatok2020'!AG$167:AG$321)</f>
        <v>0</v>
      </c>
      <c r="P167" s="543">
        <f>+SUMIF('13.mell_ÖNKfeladatok2020'!$B$167:$B$321,'14.mell_Önk kiegészítés2020'!$A167,'13.mell_ÖNKfeladatok2020'!AO$167:AO$321)</f>
        <v>0</v>
      </c>
      <c r="Q167" s="543">
        <f>+SUMIF('13.mell_ÖNKfeladatok2020'!$B$167:$B$321,'14.mell_Önk kiegészítés2020'!$A167,'13.mell_ÖNKfeladatok2020'!AS$167:AS$321)</f>
        <v>0</v>
      </c>
      <c r="R167" s="543">
        <f>+SUMIF('13.mell_ÖNKfeladatok2020'!$B$167:$B$321,'14.mell_Önk kiegészítés2020'!$A167,'13.mell_ÖNKfeladatok2020'!AW$167:AW$321)</f>
        <v>0</v>
      </c>
      <c r="S167" s="582">
        <f>SUM(K167:R167)</f>
        <v>0</v>
      </c>
      <c r="T167" s="544">
        <f>S167-J167</f>
        <v>0</v>
      </c>
      <c r="U167" s="1101">
        <f>+ROUND(SUMIF('10.mell_támogatások2020'!$B$6:$B$137,'14.mell_Önk kiegészítés2020'!$A167,'10.mell_támogatások2020'!F$6:F$137)/1000,0)</f>
        <v>0</v>
      </c>
      <c r="V167" s="1081"/>
      <c r="W167" s="544">
        <f t="shared" ref="W167:W169" si="125">+T167-U167-V167</f>
        <v>0</v>
      </c>
    </row>
    <row r="168" spans="1:42">
      <c r="A168" s="826">
        <f>+A167+1</f>
        <v>16</v>
      </c>
      <c r="B168" s="545" t="s">
        <v>647</v>
      </c>
      <c r="C168" s="546">
        <f>+SUMIF('13.mell_ÖNKfeladatok2020'!$B$5:$B$159,'14.mell_Önk kiegészítés2020'!$A168,'13.mell_ÖNKfeladatok2020'!Q$5:Q$159)</f>
        <v>0</v>
      </c>
      <c r="D168" s="546">
        <f>+SUMIF('13.mell_ÖNKfeladatok2020'!$B$5:$B$159,'14.mell_Önk kiegészítés2020'!$A168,'13.mell_ÖNKfeladatok2020'!U$5:U$159)</f>
        <v>0</v>
      </c>
      <c r="E168" s="546">
        <f>+SUMIF('13.mell_ÖNKfeladatok2020'!$B$5:$B$159,'14.mell_Önk kiegészítés2020'!$A168,'13.mell_ÖNKfeladatok2020'!Y$5:Y$159)</f>
        <v>0</v>
      </c>
      <c r="F168" s="546">
        <f>+SUMIF('13.mell_ÖNKfeladatok2020'!$B$5:$B$159,'14.mell_Önk kiegészítés2020'!$A168,'13.mell_ÖNKfeladatok2020'!AC$5:AC$159)</f>
        <v>0</v>
      </c>
      <c r="G168" s="546">
        <f>+SUMIF('13.mell_ÖNKfeladatok2020'!$B$5:$B$159,'14.mell_Önk kiegészítés2020'!$A168,'13.mell_ÖNKfeladatok2020'!AK$5:AK$159)</f>
        <v>0</v>
      </c>
      <c r="H168" s="546">
        <f>+SUMIF('13.mell_ÖNKfeladatok2020'!$B$5:$B$159,'14.mell_Önk kiegészítés2020'!$A168,'13.mell_ÖNKfeladatok2020'!AO$5:AO$159)</f>
        <v>0</v>
      </c>
      <c r="I168" s="546">
        <f>+SUMIF('13.mell_ÖNKfeladatok2020'!$B$5:$B$159,'14.mell_Önk kiegészítés2020'!$A168,'13.mell_ÖNKfeladatok2020'!AS$5:AS$159)</f>
        <v>0</v>
      </c>
      <c r="J168" s="583">
        <f>SUM(C168:I168)</f>
        <v>0</v>
      </c>
      <c r="K168" s="543">
        <f>+SUMIF('13.mell_ÖNKfeladatok2020'!$B$167:$B$321,'14.mell_Önk kiegészítés2020'!$A168,'13.mell_ÖNKfeladatok2020'!Q$167:Q$321)</f>
        <v>0</v>
      </c>
      <c r="L168" s="543">
        <f>+SUMIF('13.mell_ÖNKfeladatok2020'!$B$167:$B$321,'14.mell_Önk kiegészítés2020'!$A168,'13.mell_ÖNKfeladatok2020'!U$167:U$321)</f>
        <v>0</v>
      </c>
      <c r="M168" s="543">
        <f>+SUMIF('13.mell_ÖNKfeladatok2020'!$B$167:$B$321,'14.mell_Önk kiegészítés2020'!$A168,'13.mell_ÖNKfeladatok2020'!Y$167:Y$321)</f>
        <v>0</v>
      </c>
      <c r="N168" s="543">
        <f>+SUMIF('13.mell_ÖNKfeladatok2020'!$B$167:$B$321,'14.mell_Önk kiegészítés2020'!$A168,'13.mell_ÖNKfeladatok2020'!AC$167:AC$321)</f>
        <v>0</v>
      </c>
      <c r="O168" s="543">
        <f>+SUMIF('13.mell_ÖNKfeladatok2020'!$B$167:$B$321,'14.mell_Önk kiegészítés2020'!$A168,'13.mell_ÖNKfeladatok2020'!AG$167:AG$321)</f>
        <v>0</v>
      </c>
      <c r="P168" s="543">
        <f>+SUMIF('13.mell_ÖNKfeladatok2020'!$B$167:$B$321,'14.mell_Önk kiegészítés2020'!$A168,'13.mell_ÖNKfeladatok2020'!AO$167:AO$321)</f>
        <v>0</v>
      </c>
      <c r="Q168" s="543">
        <f>+SUMIF('13.mell_ÖNKfeladatok2020'!$B$167:$B$321,'14.mell_Önk kiegészítés2020'!$A168,'13.mell_ÖNKfeladatok2020'!AS$167:AS$321)</f>
        <v>0</v>
      </c>
      <c r="R168" s="543">
        <f>+SUMIF('13.mell_ÖNKfeladatok2020'!$B$167:$B$321,'14.mell_Önk kiegészítés2020'!$A168,'13.mell_ÖNKfeladatok2020'!AW$167:AW$321)</f>
        <v>0</v>
      </c>
      <c r="S168" s="582">
        <f>SUM(K168:R168)</f>
        <v>0</v>
      </c>
      <c r="T168" s="544">
        <f>S168-J168</f>
        <v>0</v>
      </c>
      <c r="U168" s="1101">
        <f>+ROUND(SUMIF('10.mell_támogatások2020'!$B$6:$B$137,'14.mell_Önk kiegészítés2020'!$A168,'10.mell_támogatások2020'!F$6:F$137)/1000,0)</f>
        <v>0</v>
      </c>
      <c r="V168" s="1081"/>
      <c r="W168" s="544">
        <f t="shared" si="125"/>
        <v>0</v>
      </c>
    </row>
    <row r="169" spans="1:42" ht="12.75" thickBot="1">
      <c r="A169" s="826">
        <f>+A168+1</f>
        <v>17</v>
      </c>
      <c r="B169" s="545" t="s">
        <v>894</v>
      </c>
      <c r="C169" s="546">
        <f>+SUMIF('13.mell_ÖNKfeladatok2020'!$B$5:$B$159,'14.mell_Önk kiegészítés2020'!$A169,'13.mell_ÖNKfeladatok2020'!Q$5:Q$159)</f>
        <v>0</v>
      </c>
      <c r="D169" s="546">
        <f>+SUMIF('13.mell_ÖNKfeladatok2020'!$B$5:$B$159,'14.mell_Önk kiegészítés2020'!$A169,'13.mell_ÖNKfeladatok2020'!U$5:U$159)</f>
        <v>0</v>
      </c>
      <c r="E169" s="546">
        <f>+SUMIF('13.mell_ÖNKfeladatok2020'!$B$5:$B$159,'14.mell_Önk kiegészítés2020'!$A169,'13.mell_ÖNKfeladatok2020'!Y$5:Y$159)</f>
        <v>0</v>
      </c>
      <c r="F169" s="546">
        <f>+SUMIF('13.mell_ÖNKfeladatok2020'!$B$5:$B$159,'14.mell_Önk kiegészítés2020'!$A169,'13.mell_ÖNKfeladatok2020'!AC$5:AC$159)</f>
        <v>0</v>
      </c>
      <c r="G169" s="546">
        <f>+SUMIF('13.mell_ÖNKfeladatok2020'!$B$5:$B$159,'14.mell_Önk kiegészítés2020'!$A169,'13.mell_ÖNKfeladatok2020'!AK$5:AK$159)</f>
        <v>0</v>
      </c>
      <c r="H169" s="546">
        <f>+SUMIF('13.mell_ÖNKfeladatok2020'!$B$5:$B$159,'14.mell_Önk kiegészítés2020'!$A169,'13.mell_ÖNKfeladatok2020'!AO$5:AO$159)</f>
        <v>0</v>
      </c>
      <c r="I169" s="546">
        <f>+SUMIF('13.mell_ÖNKfeladatok2020'!$B$5:$B$159,'14.mell_Önk kiegészítés2020'!$A169,'13.mell_ÖNKfeladatok2020'!AS$5:AS$159)</f>
        <v>0</v>
      </c>
      <c r="J169" s="583">
        <f>SUM(C169:I169)</f>
        <v>0</v>
      </c>
      <c r="K169" s="543">
        <f>+SUMIF('13.mell_ÖNKfeladatok2020'!$B$167:$B$321,'14.mell_Önk kiegészítés2020'!$A169,'13.mell_ÖNKfeladatok2020'!Q$167:Q$321)</f>
        <v>0</v>
      </c>
      <c r="L169" s="543">
        <f>+SUMIF('13.mell_ÖNKfeladatok2020'!$B$167:$B$321,'14.mell_Önk kiegészítés2020'!$A169,'13.mell_ÖNKfeladatok2020'!U$167:U$321)</f>
        <v>0</v>
      </c>
      <c r="M169" s="543">
        <f>+SUMIF('13.mell_ÖNKfeladatok2020'!$B$167:$B$321,'14.mell_Önk kiegészítés2020'!$A169,'13.mell_ÖNKfeladatok2020'!Y$167:Y$321)</f>
        <v>0</v>
      </c>
      <c r="N169" s="543">
        <f>+SUMIF('13.mell_ÖNKfeladatok2020'!$B$167:$B$321,'14.mell_Önk kiegészítés2020'!$A169,'13.mell_ÖNKfeladatok2020'!AC$167:AC$321)</f>
        <v>0</v>
      </c>
      <c r="O169" s="543">
        <f>+SUMIF('13.mell_ÖNKfeladatok2020'!$B$167:$B$321,'14.mell_Önk kiegészítés2020'!$A169,'13.mell_ÖNKfeladatok2020'!AG$167:AG$321)</f>
        <v>0</v>
      </c>
      <c r="P169" s="543">
        <f>+SUMIF('13.mell_ÖNKfeladatok2020'!$B$167:$B$321,'14.mell_Önk kiegészítés2020'!$A169,'13.mell_ÖNKfeladatok2020'!AO$167:AO$321)</f>
        <v>0</v>
      </c>
      <c r="Q169" s="543">
        <f>+SUMIF('13.mell_ÖNKfeladatok2020'!$B$167:$B$321,'14.mell_Önk kiegészítés2020'!$A169,'13.mell_ÖNKfeladatok2020'!AS$167:AS$321)</f>
        <v>0</v>
      </c>
      <c r="R169" s="543">
        <f>+SUMIF('13.mell_ÖNKfeladatok2020'!$B$167:$B$321,'14.mell_Önk kiegészítés2020'!$A169,'13.mell_ÖNKfeladatok2020'!AW$167:AW$321)</f>
        <v>0</v>
      </c>
      <c r="S169" s="582">
        <f>SUM(K169:R169)</f>
        <v>0</v>
      </c>
      <c r="T169" s="544">
        <f>S169-J169</f>
        <v>0</v>
      </c>
      <c r="U169" s="1101">
        <f>+ROUND(SUMIF('10.mell_támogatások2020'!$B$6:$B$137,'14.mell_Önk kiegészítés2020'!$A169,'10.mell_támogatások2020'!F$6:F$137)/1000,0)</f>
        <v>0</v>
      </c>
      <c r="V169" s="1081"/>
      <c r="W169" s="544">
        <f t="shared" si="125"/>
        <v>0</v>
      </c>
    </row>
    <row r="170" spans="1:42" s="535" customFormat="1" ht="12.75" thickBot="1">
      <c r="A170" s="547" t="s">
        <v>632</v>
      </c>
      <c r="B170" s="548" t="s">
        <v>870</v>
      </c>
      <c r="C170" s="549">
        <f>SUM(C167:C169)</f>
        <v>0</v>
      </c>
      <c r="D170" s="550">
        <f t="shared" ref="D170:W170" si="126">SUM(D167:D169)</f>
        <v>0</v>
      </c>
      <c r="E170" s="550">
        <f t="shared" si="126"/>
        <v>0</v>
      </c>
      <c r="F170" s="550">
        <f t="shared" si="126"/>
        <v>0</v>
      </c>
      <c r="G170" s="550">
        <f t="shared" si="126"/>
        <v>0</v>
      </c>
      <c r="H170" s="550">
        <f t="shared" si="126"/>
        <v>0</v>
      </c>
      <c r="I170" s="553">
        <f t="shared" si="126"/>
        <v>0</v>
      </c>
      <c r="J170" s="552">
        <f t="shared" si="126"/>
        <v>0</v>
      </c>
      <c r="K170" s="549">
        <f t="shared" si="126"/>
        <v>0</v>
      </c>
      <c r="L170" s="549">
        <f t="shared" si="126"/>
        <v>0</v>
      </c>
      <c r="M170" s="549">
        <f t="shared" si="126"/>
        <v>0</v>
      </c>
      <c r="N170" s="549">
        <f t="shared" si="126"/>
        <v>0</v>
      </c>
      <c r="O170" s="549">
        <f t="shared" si="126"/>
        <v>0</v>
      </c>
      <c r="P170" s="549">
        <f t="shared" si="126"/>
        <v>0</v>
      </c>
      <c r="Q170" s="549">
        <f t="shared" si="126"/>
        <v>0</v>
      </c>
      <c r="R170" s="549">
        <f t="shared" si="126"/>
        <v>0</v>
      </c>
      <c r="S170" s="552">
        <f t="shared" si="126"/>
        <v>0</v>
      </c>
      <c r="T170" s="552">
        <f t="shared" si="126"/>
        <v>0</v>
      </c>
      <c r="U170" s="1102">
        <f t="shared" si="126"/>
        <v>0</v>
      </c>
      <c r="V170" s="553">
        <f t="shared" si="126"/>
        <v>0</v>
      </c>
      <c r="W170" s="552">
        <f t="shared" si="126"/>
        <v>0</v>
      </c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  <c r="AP170" s="262"/>
    </row>
    <row r="171" spans="1:42" ht="12.75" thickBot="1">
      <c r="A171" s="826">
        <f>+A169+1</f>
        <v>18</v>
      </c>
      <c r="B171" s="554" t="s">
        <v>871</v>
      </c>
      <c r="C171" s="555">
        <f>+SUMIF('13.mell_ÖNKfeladatok2020'!$B$5:$B$159,'14.mell_Önk kiegészítés2020'!$A171,'13.mell_ÖNKfeladatok2020'!Q$5:Q$159)</f>
        <v>0</v>
      </c>
      <c r="D171" s="555">
        <f>+SUMIF('13.mell_ÖNKfeladatok2020'!$B$5:$B$159,'14.mell_Önk kiegészítés2020'!$A171,'13.mell_ÖNKfeladatok2020'!U$5:U$159)</f>
        <v>0</v>
      </c>
      <c r="E171" s="555">
        <f>+SUMIF('13.mell_ÖNKfeladatok2020'!$B$5:$B$159,'14.mell_Önk kiegészítés2020'!$A171,'13.mell_ÖNKfeladatok2020'!Y$5:Y$159)</f>
        <v>0</v>
      </c>
      <c r="F171" s="555">
        <f>+SUMIF('13.mell_ÖNKfeladatok2020'!$B$5:$B$159,'14.mell_Önk kiegészítés2020'!$A171,'13.mell_ÖNKfeladatok2020'!AC$5:AC$159)</f>
        <v>0</v>
      </c>
      <c r="G171" s="555">
        <f>+SUMIF('13.mell_ÖNKfeladatok2020'!$B$5:$B$159,'14.mell_Önk kiegészítés2020'!$A171,'13.mell_ÖNKfeladatok2020'!AK$5:AK$159)</f>
        <v>0</v>
      </c>
      <c r="H171" s="555">
        <f>+SUMIF('13.mell_ÖNKfeladatok2020'!$B$5:$B$159,'14.mell_Önk kiegészítés2020'!$A171,'13.mell_ÖNKfeladatok2020'!AO$5:AO$159)</f>
        <v>0</v>
      </c>
      <c r="I171" s="555">
        <f>+SUMIF('13.mell_ÖNKfeladatok2020'!$B$5:$B$159,'14.mell_Önk kiegészítés2020'!$A171,'13.mell_ÖNKfeladatok2020'!AS$5:AS$159)</f>
        <v>0</v>
      </c>
      <c r="J171" s="584">
        <f>SUM(C171:I171)</f>
        <v>0</v>
      </c>
      <c r="K171" s="543">
        <f>+SUMIF('13.mell_ÖNKfeladatok2020'!$B$167:$B$321,'14.mell_Önk kiegészítés2020'!$A171,'13.mell_ÖNKfeladatok2020'!Q$167:Q$321)</f>
        <v>0</v>
      </c>
      <c r="L171" s="543">
        <f>+SUMIF('13.mell_ÖNKfeladatok2020'!$B$167:$B$321,'14.mell_Önk kiegészítés2020'!$A171,'13.mell_ÖNKfeladatok2020'!U$167:U$321)</f>
        <v>0</v>
      </c>
      <c r="M171" s="543">
        <f>+SUMIF('13.mell_ÖNKfeladatok2020'!$B$167:$B$321,'14.mell_Önk kiegészítés2020'!$A171,'13.mell_ÖNKfeladatok2020'!Y$167:Y$321)</f>
        <v>0</v>
      </c>
      <c r="N171" s="543">
        <f>+SUMIF('13.mell_ÖNKfeladatok2020'!$B$167:$B$321,'14.mell_Önk kiegészítés2020'!$A171,'13.mell_ÖNKfeladatok2020'!AC$167:AC$321)</f>
        <v>0</v>
      </c>
      <c r="O171" s="543">
        <f>+SUMIF('13.mell_ÖNKfeladatok2020'!$B$167:$B$321,'14.mell_Önk kiegészítés2020'!$A171,'13.mell_ÖNKfeladatok2020'!AG$167:AG$321)</f>
        <v>0</v>
      </c>
      <c r="P171" s="543">
        <f>+SUMIF('13.mell_ÖNKfeladatok2020'!$B$167:$B$321,'14.mell_Önk kiegészítés2020'!$A171,'13.mell_ÖNKfeladatok2020'!AO$167:AO$321)</f>
        <v>0</v>
      </c>
      <c r="Q171" s="543">
        <f>+SUMIF('13.mell_ÖNKfeladatok2020'!$B$167:$B$321,'14.mell_Önk kiegészítés2020'!$A171,'13.mell_ÖNKfeladatok2020'!AS$167:AS$321)</f>
        <v>0</v>
      </c>
      <c r="R171" s="543">
        <f>+SUMIF('13.mell_ÖNKfeladatok2020'!$B$167:$B$321,'14.mell_Önk kiegészítés2020'!$A171,'13.mell_ÖNKfeladatok2020'!AW$167:AW$321)</f>
        <v>0</v>
      </c>
      <c r="S171" s="582">
        <f>SUM(K171:R171)</f>
        <v>0</v>
      </c>
      <c r="T171" s="544">
        <f>S171-J171</f>
        <v>0</v>
      </c>
      <c r="U171" s="1101">
        <f>+ROUND(SUMIF('10.mell_támogatások2020'!$B$6:$B$137,'14.mell_Önk kiegészítés2020'!$A171,'10.mell_támogatások2020'!F$6:F$137)/1000,0)</f>
        <v>0</v>
      </c>
      <c r="V171" s="1081"/>
      <c r="W171" s="544">
        <f>+T171-U171-V171</f>
        <v>0</v>
      </c>
    </row>
    <row r="172" spans="1:42" s="535" customFormat="1" ht="12.75" thickBot="1">
      <c r="A172" s="547" t="s">
        <v>746</v>
      </c>
      <c r="B172" s="548" t="s">
        <v>871</v>
      </c>
      <c r="C172" s="549">
        <f>SUM(C171)</f>
        <v>0</v>
      </c>
      <c r="D172" s="550">
        <f t="shared" ref="D172:W172" si="127">SUM(D171)</f>
        <v>0</v>
      </c>
      <c r="E172" s="550">
        <f t="shared" si="127"/>
        <v>0</v>
      </c>
      <c r="F172" s="550">
        <f t="shared" si="127"/>
        <v>0</v>
      </c>
      <c r="G172" s="550">
        <f t="shared" si="127"/>
        <v>0</v>
      </c>
      <c r="H172" s="550">
        <f t="shared" si="127"/>
        <v>0</v>
      </c>
      <c r="I172" s="553">
        <f t="shared" si="127"/>
        <v>0</v>
      </c>
      <c r="J172" s="552">
        <f t="shared" si="127"/>
        <v>0</v>
      </c>
      <c r="K172" s="549">
        <f t="shared" si="127"/>
        <v>0</v>
      </c>
      <c r="L172" s="549">
        <f t="shared" si="127"/>
        <v>0</v>
      </c>
      <c r="M172" s="549">
        <f t="shared" si="127"/>
        <v>0</v>
      </c>
      <c r="N172" s="549">
        <f t="shared" si="127"/>
        <v>0</v>
      </c>
      <c r="O172" s="549">
        <f t="shared" si="127"/>
        <v>0</v>
      </c>
      <c r="P172" s="549">
        <f t="shared" si="127"/>
        <v>0</v>
      </c>
      <c r="Q172" s="549">
        <f t="shared" si="127"/>
        <v>0</v>
      </c>
      <c r="R172" s="549">
        <f t="shared" si="127"/>
        <v>0</v>
      </c>
      <c r="S172" s="552">
        <f t="shared" si="127"/>
        <v>0</v>
      </c>
      <c r="T172" s="552">
        <f t="shared" si="127"/>
        <v>0</v>
      </c>
      <c r="U172" s="1102">
        <f t="shared" si="127"/>
        <v>0</v>
      </c>
      <c r="V172" s="553">
        <f t="shared" si="127"/>
        <v>0</v>
      </c>
      <c r="W172" s="552">
        <f t="shared" si="127"/>
        <v>0</v>
      </c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</row>
    <row r="173" spans="1:42" s="535" customFormat="1" ht="12.75" thickBot="1">
      <c r="A173" s="556" t="s">
        <v>22</v>
      </c>
      <c r="B173" s="557" t="s">
        <v>872</v>
      </c>
      <c r="C173" s="558">
        <f>+C166+C170+C172</f>
        <v>0</v>
      </c>
      <c r="D173" s="559">
        <f t="shared" ref="D173:W173" si="128">+D166+D170+D172</f>
        <v>0</v>
      </c>
      <c r="E173" s="559">
        <f t="shared" si="128"/>
        <v>0</v>
      </c>
      <c r="F173" s="559">
        <f t="shared" si="128"/>
        <v>0</v>
      </c>
      <c r="G173" s="559">
        <f t="shared" si="128"/>
        <v>0</v>
      </c>
      <c r="H173" s="559">
        <f t="shared" si="128"/>
        <v>0</v>
      </c>
      <c r="I173" s="560">
        <f t="shared" si="128"/>
        <v>0</v>
      </c>
      <c r="J173" s="561">
        <f t="shared" si="128"/>
        <v>0</v>
      </c>
      <c r="K173" s="558">
        <f t="shared" si="128"/>
        <v>29</v>
      </c>
      <c r="L173" s="558">
        <f t="shared" si="128"/>
        <v>4</v>
      </c>
      <c r="M173" s="558">
        <f t="shared" si="128"/>
        <v>0</v>
      </c>
      <c r="N173" s="558">
        <f t="shared" si="128"/>
        <v>0</v>
      </c>
      <c r="O173" s="558">
        <f t="shared" si="128"/>
        <v>0</v>
      </c>
      <c r="P173" s="558">
        <f t="shared" si="128"/>
        <v>0</v>
      </c>
      <c r="Q173" s="558">
        <f t="shared" si="128"/>
        <v>0</v>
      </c>
      <c r="R173" s="558">
        <f t="shared" si="128"/>
        <v>0</v>
      </c>
      <c r="S173" s="561">
        <f t="shared" si="128"/>
        <v>33</v>
      </c>
      <c r="T173" s="561">
        <f t="shared" si="128"/>
        <v>33</v>
      </c>
      <c r="U173" s="1104">
        <f t="shared" si="128"/>
        <v>0</v>
      </c>
      <c r="V173" s="560">
        <f t="shared" si="128"/>
        <v>33</v>
      </c>
      <c r="W173" s="561">
        <f t="shared" si="128"/>
        <v>0</v>
      </c>
      <c r="Y173" s="535">
        <f>+'13.mell_ÖNKfeladatok2020'!$I$111-J173</f>
        <v>0</v>
      </c>
      <c r="Z173" s="535">
        <f>+'13.mell_ÖNKfeladatok2020'!$I$273-S173</f>
        <v>0</v>
      </c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</row>
    <row r="174" spans="1:42" s="535" customFormat="1" ht="12.75" thickBot="1">
      <c r="A174" s="567"/>
      <c r="B174" s="568"/>
      <c r="C174" s="569"/>
      <c r="D174" s="569"/>
      <c r="E174" s="569"/>
      <c r="F174" s="569"/>
      <c r="G174" s="569"/>
      <c r="H174" s="569"/>
      <c r="I174" s="866"/>
      <c r="J174" s="572"/>
      <c r="K174" s="569"/>
      <c r="L174" s="569"/>
      <c r="M174" s="569"/>
      <c r="N174" s="569"/>
      <c r="O174" s="569"/>
      <c r="P174" s="569"/>
      <c r="Q174" s="569"/>
      <c r="R174" s="569"/>
      <c r="S174" s="572"/>
      <c r="T174" s="572"/>
      <c r="U174" s="866"/>
      <c r="V174" s="571"/>
      <c r="W174" s="57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</row>
    <row r="175" spans="1:42">
      <c r="A175" s="825">
        <f>+A171+1</f>
        <v>19</v>
      </c>
      <c r="B175" s="731" t="s">
        <v>1078</v>
      </c>
      <c r="C175" s="869">
        <f>+SUMIF('13.mell_ÖNKfeladatok2020'!$B$5:$B$159,'14.mell_Önk kiegészítés2020'!$A175,'13.mell_ÖNKfeladatok2020'!Q$5:Q$159)</f>
        <v>0</v>
      </c>
      <c r="D175" s="869">
        <f>+SUMIF('13.mell_ÖNKfeladatok2020'!$B$5:$B$159,'14.mell_Önk kiegészítés2020'!$A175,'13.mell_ÖNKfeladatok2020'!U$5:U$159)</f>
        <v>0</v>
      </c>
      <c r="E175" s="869">
        <f>+SUMIF('13.mell_ÖNKfeladatok2020'!$B$5:$B$159,'14.mell_Önk kiegészítés2020'!$A175,'13.mell_ÖNKfeladatok2020'!Y$5:Y$159)</f>
        <v>0</v>
      </c>
      <c r="F175" s="869">
        <f>+SUMIF('13.mell_ÖNKfeladatok2020'!$B$5:$B$159,'14.mell_Önk kiegészítés2020'!$A175,'13.mell_ÖNKfeladatok2020'!AC$5:AC$159)</f>
        <v>0</v>
      </c>
      <c r="G175" s="869">
        <f>+SUMIF('13.mell_ÖNKfeladatok2020'!$B$5:$B$159,'14.mell_Önk kiegészítés2020'!$A175,'13.mell_ÖNKfeladatok2020'!AK$5:AK$159)</f>
        <v>0</v>
      </c>
      <c r="H175" s="869">
        <f>+SUMIF('13.mell_ÖNKfeladatok2020'!$B$5:$B$159,'14.mell_Önk kiegészítés2020'!$A175,'13.mell_ÖNKfeladatok2020'!AO$5:AO$159)</f>
        <v>0</v>
      </c>
      <c r="I175" s="869">
        <f>+SUMIF('13.mell_ÖNKfeladatok2020'!$B$5:$B$159,'14.mell_Önk kiegészítés2020'!$A175,'13.mell_ÖNKfeladatok2020'!AS$5:AS$159)</f>
        <v>0</v>
      </c>
      <c r="J175" s="732">
        <f>SUM(C175:I175)</f>
        <v>0</v>
      </c>
      <c r="K175" s="869">
        <f>+SUMIF('13.mell_ÖNKfeladatok2020'!$B$167:$B$321,'14.mell_Önk kiegészítés2020'!$A175,'13.mell_ÖNKfeladatok2020'!Q$167:Q$321)</f>
        <v>17</v>
      </c>
      <c r="L175" s="869">
        <f>+SUMIF('13.mell_ÖNKfeladatok2020'!$B$167:$B$321,'14.mell_Önk kiegészítés2020'!$A175,'13.mell_ÖNKfeladatok2020'!U$167:U$321)</f>
        <v>3</v>
      </c>
      <c r="M175" s="869">
        <f>+SUMIF('13.mell_ÖNKfeladatok2020'!$B$167:$B$321,'14.mell_Önk kiegészítés2020'!$A175,'13.mell_ÖNKfeladatok2020'!Y$167:Y$321)</f>
        <v>0</v>
      </c>
      <c r="N175" s="869">
        <f>+SUMIF('13.mell_ÖNKfeladatok2020'!$B$167:$B$321,'14.mell_Önk kiegészítés2020'!$A175,'13.mell_ÖNKfeladatok2020'!AC$167:AC$321)</f>
        <v>0</v>
      </c>
      <c r="O175" s="869">
        <f>+SUMIF('13.mell_ÖNKfeladatok2020'!$B$167:$B$321,'14.mell_Önk kiegészítés2020'!$A175,'13.mell_ÖNKfeladatok2020'!AG$167:AG$321)</f>
        <v>0</v>
      </c>
      <c r="P175" s="869">
        <f>+SUMIF('13.mell_ÖNKfeladatok2020'!$B$167:$B$321,'14.mell_Önk kiegészítés2020'!$A175,'13.mell_ÖNKfeladatok2020'!AO$167:AO$321)</f>
        <v>0</v>
      </c>
      <c r="Q175" s="869">
        <f>+SUMIF('13.mell_ÖNKfeladatok2020'!$B$167:$B$321,'14.mell_Önk kiegészítés2020'!$A175,'13.mell_ÖNKfeladatok2020'!AS$167:AS$321)</f>
        <v>0</v>
      </c>
      <c r="R175" s="869">
        <f>+SUMIF('13.mell_ÖNKfeladatok2020'!$B$167:$B$321,'14.mell_Önk kiegészítés2020'!$A175,'13.mell_ÖNKfeladatok2020'!AW$167:AW$321)</f>
        <v>0</v>
      </c>
      <c r="S175" s="732">
        <f>SUM(K175:R175)</f>
        <v>20</v>
      </c>
      <c r="T175" s="733">
        <f>S175-J175</f>
        <v>20</v>
      </c>
      <c r="U175" s="1105">
        <f>+ROUND(SUMIF('10.mell_támogatások2020'!$B$6:$B$137,'14.mell_Önk kiegészítés2020'!$A175,'10.mell_támogatások2020'!F$6:F$137)/1000,0)</f>
        <v>2585</v>
      </c>
      <c r="V175" s="1083">
        <v>20</v>
      </c>
      <c r="W175" s="733">
        <f t="shared" ref="W175:W177" si="129">+T175-U175-V175</f>
        <v>-2585</v>
      </c>
      <c r="AG175" s="262">
        <f>17+3</f>
        <v>20</v>
      </c>
    </row>
    <row r="176" spans="1:42">
      <c r="A176" s="826">
        <f>+A175+1</f>
        <v>20</v>
      </c>
      <c r="B176" s="542" t="s">
        <v>1151</v>
      </c>
      <c r="C176" s="543">
        <f>+SUMIF('13.mell_ÖNKfeladatok2020'!$B$5:$B$159,'14.mell_Önk kiegészítés2020'!$A176,'13.mell_ÖNKfeladatok2020'!Q$5:Q$159)</f>
        <v>0</v>
      </c>
      <c r="D176" s="543">
        <f>+SUMIF('13.mell_ÖNKfeladatok2020'!$B$5:$B$159,'14.mell_Önk kiegészítés2020'!$A176,'13.mell_ÖNKfeladatok2020'!U$5:U$159)</f>
        <v>0</v>
      </c>
      <c r="E176" s="543">
        <f>+SUMIF('13.mell_ÖNKfeladatok2020'!$B$5:$B$159,'14.mell_Önk kiegészítés2020'!$A176,'13.mell_ÖNKfeladatok2020'!Y$5:Y$159)</f>
        <v>0</v>
      </c>
      <c r="F176" s="543">
        <f>+SUMIF('13.mell_ÖNKfeladatok2020'!$B$5:$B$159,'14.mell_Önk kiegészítés2020'!$A176,'13.mell_ÖNKfeladatok2020'!AC$5:AC$159)</f>
        <v>0</v>
      </c>
      <c r="G176" s="543">
        <f>+SUMIF('13.mell_ÖNKfeladatok2020'!$B$5:$B$159,'14.mell_Önk kiegészítés2020'!$A176,'13.mell_ÖNKfeladatok2020'!AK$5:AK$159)</f>
        <v>0</v>
      </c>
      <c r="H176" s="543">
        <f>+SUMIF('13.mell_ÖNKfeladatok2020'!$B$5:$B$159,'14.mell_Önk kiegészítés2020'!$A176,'13.mell_ÖNKfeladatok2020'!AO$5:AO$159)</f>
        <v>0</v>
      </c>
      <c r="I176" s="543">
        <f>+SUMIF('13.mell_ÖNKfeladatok2020'!$B$5:$B$159,'14.mell_Önk kiegészítés2020'!$A176,'13.mell_ÖNKfeladatok2020'!AS$5:AS$159)</f>
        <v>0</v>
      </c>
      <c r="J176" s="582">
        <f>SUM(C176:I176)</f>
        <v>0</v>
      </c>
      <c r="K176" s="543">
        <f>+SUMIF('13.mell_ÖNKfeladatok2020'!$B$167:$B$321,'14.mell_Önk kiegészítés2020'!$A176,'13.mell_ÖNKfeladatok2020'!Q$167:Q$321)</f>
        <v>0</v>
      </c>
      <c r="L176" s="543">
        <f>+SUMIF('13.mell_ÖNKfeladatok2020'!$B$167:$B$321,'14.mell_Önk kiegészítés2020'!$A176,'13.mell_ÖNKfeladatok2020'!U$167:U$321)</f>
        <v>0</v>
      </c>
      <c r="M176" s="543">
        <f>+SUMIF('13.mell_ÖNKfeladatok2020'!$B$167:$B$321,'14.mell_Önk kiegészítés2020'!$A176,'13.mell_ÖNKfeladatok2020'!Y$167:Y$321)</f>
        <v>13320</v>
      </c>
      <c r="N176" s="543">
        <f>+SUMIF('13.mell_ÖNKfeladatok2020'!$B$167:$B$321,'14.mell_Önk kiegészítés2020'!$A176,'13.mell_ÖNKfeladatok2020'!AC$167:AC$321)</f>
        <v>0</v>
      </c>
      <c r="O176" s="543">
        <f>+SUMIF('13.mell_ÖNKfeladatok2020'!$B$167:$B$321,'14.mell_Önk kiegészítés2020'!$A176,'13.mell_ÖNKfeladatok2020'!AG$167:AG$321)</f>
        <v>0</v>
      </c>
      <c r="P176" s="543">
        <f>+SUMIF('13.mell_ÖNKfeladatok2020'!$B$167:$B$321,'14.mell_Önk kiegészítés2020'!$A176,'13.mell_ÖNKfeladatok2020'!AO$167:AO$321)</f>
        <v>0</v>
      </c>
      <c r="Q176" s="543">
        <f>+SUMIF('13.mell_ÖNKfeladatok2020'!$B$167:$B$321,'14.mell_Önk kiegészítés2020'!$A176,'13.mell_ÖNKfeladatok2020'!AS$167:AS$321)</f>
        <v>0</v>
      </c>
      <c r="R176" s="543">
        <f>+SUMIF('13.mell_ÖNKfeladatok2020'!$B$167:$B$321,'14.mell_Önk kiegészítés2020'!$A176,'13.mell_ÖNKfeladatok2020'!AW$167:AW$321)</f>
        <v>0</v>
      </c>
      <c r="S176" s="582">
        <f>SUM(K176:R176)</f>
        <v>13320</v>
      </c>
      <c r="T176" s="544">
        <f>S176-J176</f>
        <v>13320</v>
      </c>
      <c r="U176" s="1101">
        <f>+ROUND(SUMIF('10.mell_támogatások2020'!$B$6:$B$137,'14.mell_Önk kiegészítés2020'!$A176,'10.mell_támogatások2020'!F$6:F$137)/1000,0)</f>
        <v>7827</v>
      </c>
      <c r="V176" s="1081"/>
      <c r="W176" s="544">
        <f t="shared" si="129"/>
        <v>5493</v>
      </c>
    </row>
    <row r="177" spans="1:42" ht="12.75" thickBot="1">
      <c r="A177" s="867">
        <f>+A176+1</f>
        <v>21</v>
      </c>
      <c r="B177" s="554" t="s">
        <v>1144</v>
      </c>
      <c r="C177" s="555">
        <f>+SUMIF('13.mell_ÖNKfeladatok2020'!$B$5:$B$159,'14.mell_Önk kiegészítés2020'!$A177,'13.mell_ÖNKfeladatok2020'!Q$5:Q$159)</f>
        <v>0</v>
      </c>
      <c r="D177" s="555">
        <f>+SUMIF('13.mell_ÖNKfeladatok2020'!$B$5:$B$159,'14.mell_Önk kiegészítés2020'!$A177,'13.mell_ÖNKfeladatok2020'!U$5:U$159)</f>
        <v>0</v>
      </c>
      <c r="E177" s="555">
        <f>+SUMIF('13.mell_ÖNKfeladatok2020'!$B$5:$B$159,'14.mell_Önk kiegészítés2020'!$A177,'13.mell_ÖNKfeladatok2020'!Y$5:Y$159)</f>
        <v>0</v>
      </c>
      <c r="F177" s="555">
        <f>+SUMIF('13.mell_ÖNKfeladatok2020'!$B$5:$B$159,'14.mell_Önk kiegészítés2020'!$A177,'13.mell_ÖNKfeladatok2020'!AC$5:AC$159)</f>
        <v>0</v>
      </c>
      <c r="G177" s="555">
        <f>+SUMIF('13.mell_ÖNKfeladatok2020'!$B$5:$B$159,'14.mell_Önk kiegészítés2020'!$A177,'13.mell_ÖNKfeladatok2020'!AK$5:AK$159)</f>
        <v>0</v>
      </c>
      <c r="H177" s="555">
        <f>+SUMIF('13.mell_ÖNKfeladatok2020'!$B$5:$B$159,'14.mell_Önk kiegészítés2020'!$A177,'13.mell_ÖNKfeladatok2020'!AO$5:AO$159)</f>
        <v>0</v>
      </c>
      <c r="I177" s="555">
        <f>+SUMIF('13.mell_ÖNKfeladatok2020'!$B$5:$B$159,'14.mell_Önk kiegészítés2020'!$A177,'13.mell_ÖNKfeladatok2020'!AS$5:AS$159)</f>
        <v>0</v>
      </c>
      <c r="J177" s="584">
        <f>SUM(C177:I177)</f>
        <v>0</v>
      </c>
      <c r="K177" s="540">
        <f>+SUMIF('13.mell_ÖNKfeladatok2020'!$B$167:$B$321,'14.mell_Önk kiegészítés2020'!$A177,'13.mell_ÖNKfeladatok2020'!Q$167:Q$321)</f>
        <v>0</v>
      </c>
      <c r="L177" s="540">
        <f>+SUMIF('13.mell_ÖNKfeladatok2020'!$B$167:$B$321,'14.mell_Önk kiegészítés2020'!$A177,'13.mell_ÖNKfeladatok2020'!U$167:U$321)</f>
        <v>0</v>
      </c>
      <c r="M177" s="540">
        <f>+SUMIF('13.mell_ÖNKfeladatok2020'!$B$167:$B$321,'14.mell_Önk kiegészítés2020'!$A177,'13.mell_ÖNKfeladatok2020'!Y$167:Y$321)</f>
        <v>0</v>
      </c>
      <c r="N177" s="540">
        <f>+SUMIF('13.mell_ÖNKfeladatok2020'!$B$167:$B$321,'14.mell_Önk kiegészítés2020'!$A177,'13.mell_ÖNKfeladatok2020'!AC$167:AC$321)</f>
        <v>0</v>
      </c>
      <c r="O177" s="540">
        <f>+SUMIF('13.mell_ÖNKfeladatok2020'!$B$167:$B$321,'14.mell_Önk kiegészítés2020'!$A177,'13.mell_ÖNKfeladatok2020'!AG$167:AG$321)</f>
        <v>0</v>
      </c>
      <c r="P177" s="540">
        <f>+SUMIF('13.mell_ÖNKfeladatok2020'!$B$167:$B$321,'14.mell_Önk kiegészítés2020'!$A177,'13.mell_ÖNKfeladatok2020'!AO$167:AO$321)</f>
        <v>0</v>
      </c>
      <c r="Q177" s="540">
        <f>+SUMIF('13.mell_ÖNKfeladatok2020'!$B$167:$B$321,'14.mell_Önk kiegészítés2020'!$A177,'13.mell_ÖNKfeladatok2020'!AS$167:AS$321)</f>
        <v>0</v>
      </c>
      <c r="R177" s="540">
        <f>+SUMIF('13.mell_ÖNKfeladatok2020'!$B$167:$B$321,'14.mell_Önk kiegészítés2020'!$A177,'13.mell_ÖNKfeladatok2020'!AW$167:AW$321)</f>
        <v>0</v>
      </c>
      <c r="S177" s="581">
        <f>SUM(K177:R177)</f>
        <v>0</v>
      </c>
      <c r="T177" s="541">
        <f>S177-J177</f>
        <v>0</v>
      </c>
      <c r="U177" s="1100">
        <f>+ROUND(SUMIF('10.mell_támogatások2020'!$B$6:$B$137,'14.mell_Önk kiegészítés2020'!$A177,'10.mell_támogatások2020'!F$6:F$137)/1000,0)</f>
        <v>3708</v>
      </c>
      <c r="V177" s="1080"/>
      <c r="W177" s="541">
        <f t="shared" si="129"/>
        <v>-3708</v>
      </c>
    </row>
    <row r="178" spans="1:42" s="535" customFormat="1" ht="12.75" thickBot="1">
      <c r="A178" s="344" t="s">
        <v>747</v>
      </c>
      <c r="B178" s="494" t="s">
        <v>417</v>
      </c>
      <c r="C178" s="549">
        <f>SUM(C175:C177)</f>
        <v>0</v>
      </c>
      <c r="D178" s="549">
        <f t="shared" ref="D178:W178" si="130">SUM(D175:D177)</f>
        <v>0</v>
      </c>
      <c r="E178" s="549">
        <f t="shared" si="130"/>
        <v>0</v>
      </c>
      <c r="F178" s="549">
        <f t="shared" si="130"/>
        <v>0</v>
      </c>
      <c r="G178" s="549">
        <f t="shared" si="130"/>
        <v>0</v>
      </c>
      <c r="H178" s="549">
        <f t="shared" si="130"/>
        <v>0</v>
      </c>
      <c r="I178" s="549">
        <f t="shared" si="130"/>
        <v>0</v>
      </c>
      <c r="J178" s="552">
        <f t="shared" si="130"/>
        <v>0</v>
      </c>
      <c r="K178" s="549">
        <f t="shared" si="130"/>
        <v>17</v>
      </c>
      <c r="L178" s="549">
        <f t="shared" si="130"/>
        <v>3</v>
      </c>
      <c r="M178" s="549">
        <f t="shared" si="130"/>
        <v>13320</v>
      </c>
      <c r="N178" s="549">
        <f t="shared" si="130"/>
        <v>0</v>
      </c>
      <c r="O178" s="549">
        <f t="shared" si="130"/>
        <v>0</v>
      </c>
      <c r="P178" s="549">
        <f t="shared" si="130"/>
        <v>0</v>
      </c>
      <c r="Q178" s="549">
        <f t="shared" si="130"/>
        <v>0</v>
      </c>
      <c r="R178" s="549">
        <f t="shared" si="130"/>
        <v>0</v>
      </c>
      <c r="S178" s="552">
        <f t="shared" si="130"/>
        <v>13340</v>
      </c>
      <c r="T178" s="552">
        <f t="shared" si="130"/>
        <v>13340</v>
      </c>
      <c r="U178" s="1102">
        <f t="shared" si="130"/>
        <v>14120</v>
      </c>
      <c r="V178" s="553">
        <f t="shared" si="130"/>
        <v>20</v>
      </c>
      <c r="W178" s="552">
        <f t="shared" si="130"/>
        <v>-800</v>
      </c>
      <c r="AB178" s="262"/>
      <c r="AC178" s="262"/>
      <c r="AD178" s="262"/>
      <c r="AE178" s="262"/>
      <c r="AF178" s="262"/>
      <c r="AG178" s="262"/>
      <c r="AH178" s="262"/>
      <c r="AI178" s="262"/>
      <c r="AJ178" s="262"/>
      <c r="AK178" s="262"/>
      <c r="AL178" s="262"/>
      <c r="AM178" s="262"/>
      <c r="AN178" s="262"/>
      <c r="AO178" s="262"/>
      <c r="AP178" s="262"/>
    </row>
    <row r="179" spans="1:42" ht="12.75" thickBot="1">
      <c r="A179" s="870">
        <f>+A177+1</f>
        <v>22</v>
      </c>
      <c r="B179" s="554" t="s">
        <v>418</v>
      </c>
      <c r="C179" s="555">
        <f>+SUMIF('13.mell_ÖNKfeladatok2020'!$B$5:$B$159,'14.mell_Önk kiegészítés2020'!$A179,'13.mell_ÖNKfeladatok2020'!Q$5:Q$159)</f>
        <v>0</v>
      </c>
      <c r="D179" s="555">
        <f>+SUMIF('13.mell_ÖNKfeladatok2020'!$B$5:$B$159,'14.mell_Önk kiegészítés2020'!$A179,'13.mell_ÖNKfeladatok2020'!U$5:U$159)</f>
        <v>0</v>
      </c>
      <c r="E179" s="555">
        <f>+SUMIF('13.mell_ÖNKfeladatok2020'!$B$5:$B$159,'14.mell_Önk kiegészítés2020'!$A179,'13.mell_ÖNKfeladatok2020'!Y$5:Y$159)</f>
        <v>0</v>
      </c>
      <c r="F179" s="555">
        <f>+SUMIF('13.mell_ÖNKfeladatok2020'!$B$5:$B$159,'14.mell_Önk kiegészítés2020'!$A179,'13.mell_ÖNKfeladatok2020'!AC$5:AC$159)</f>
        <v>0</v>
      </c>
      <c r="G179" s="555">
        <f>+SUMIF('13.mell_ÖNKfeladatok2020'!$B$5:$B$159,'14.mell_Önk kiegészítés2020'!$A179,'13.mell_ÖNKfeladatok2020'!AK$5:AK$159)</f>
        <v>0</v>
      </c>
      <c r="H179" s="555">
        <f>+SUMIF('13.mell_ÖNKfeladatok2020'!$B$5:$B$159,'14.mell_Önk kiegészítés2020'!$A179,'13.mell_ÖNKfeladatok2020'!AO$5:AO$159)</f>
        <v>0</v>
      </c>
      <c r="I179" s="555">
        <f>+SUMIF('13.mell_ÖNKfeladatok2020'!$B$5:$B$159,'14.mell_Önk kiegészítés2020'!$A179,'13.mell_ÖNKfeladatok2020'!AS$5:AS$159)</f>
        <v>0</v>
      </c>
      <c r="J179" s="584">
        <f>SUM(C179:I179)</f>
        <v>0</v>
      </c>
      <c r="K179" s="546">
        <f>+SUMIF('13.mell_ÖNKfeladatok2020'!$B$167:$B$321,'14.mell_Önk kiegészítés2020'!$A179,'13.mell_ÖNKfeladatok2020'!Q$167:Q$321)</f>
        <v>0</v>
      </c>
      <c r="L179" s="546">
        <f>+SUMIF('13.mell_ÖNKfeladatok2020'!$B$167:$B$321,'14.mell_Önk kiegészítés2020'!$A179,'13.mell_ÖNKfeladatok2020'!U$167:U$321)</f>
        <v>0</v>
      </c>
      <c r="M179" s="546">
        <f>+SUMIF('13.mell_ÖNKfeladatok2020'!$B$167:$B$321,'14.mell_Önk kiegészítés2020'!$A179,'13.mell_ÖNKfeladatok2020'!Y$167:Y$321)</f>
        <v>0</v>
      </c>
      <c r="N179" s="546">
        <f>+SUMIF('13.mell_ÖNKfeladatok2020'!$B$167:$B$321,'14.mell_Önk kiegészítés2020'!$A179,'13.mell_ÖNKfeladatok2020'!AC$167:AC$321)</f>
        <v>0</v>
      </c>
      <c r="O179" s="546">
        <f>+SUMIF('13.mell_ÖNKfeladatok2020'!$B$167:$B$321,'14.mell_Önk kiegészítés2020'!$A179,'13.mell_ÖNKfeladatok2020'!AG$167:AG$321)</f>
        <v>0</v>
      </c>
      <c r="P179" s="546">
        <f>+SUMIF('13.mell_ÖNKfeladatok2020'!$B$167:$B$321,'14.mell_Önk kiegészítés2020'!$A179,'13.mell_ÖNKfeladatok2020'!AO$167:AO$321)</f>
        <v>0</v>
      </c>
      <c r="Q179" s="546">
        <f>+SUMIF('13.mell_ÖNKfeladatok2020'!$B$167:$B$321,'14.mell_Önk kiegészítés2020'!$A179,'13.mell_ÖNKfeladatok2020'!AS$167:AS$321)</f>
        <v>0</v>
      </c>
      <c r="R179" s="546">
        <f>+SUMIF('13.mell_ÖNKfeladatok2020'!$B$167:$B$321,'14.mell_Önk kiegészítés2020'!$A179,'13.mell_ÖNKfeladatok2020'!AW$167:AW$321)</f>
        <v>0</v>
      </c>
      <c r="S179" s="583">
        <f>SUM(K179:R179)</f>
        <v>0</v>
      </c>
      <c r="T179" s="871">
        <f>S179-J179</f>
        <v>0</v>
      </c>
      <c r="U179" s="1106">
        <f>+ROUND(SUMIF('10.mell_támogatások2020'!$B$6:$B$137,'14.mell_Önk kiegészítés2020'!$A179,'10.mell_támogatások2020'!F$6:F$137)/1000,0)</f>
        <v>0</v>
      </c>
      <c r="V179" s="1084"/>
      <c r="W179" s="871">
        <f>+T179-U179-V179</f>
        <v>0</v>
      </c>
    </row>
    <row r="180" spans="1:42" s="535" customFormat="1" ht="12.75" thickBot="1">
      <c r="A180" s="344" t="s">
        <v>748</v>
      </c>
      <c r="B180" s="494" t="s">
        <v>418</v>
      </c>
      <c r="C180" s="549">
        <f>SUM(C179)</f>
        <v>0</v>
      </c>
      <c r="D180" s="549">
        <f t="shared" ref="D180:W180" si="131">SUM(D179)</f>
        <v>0</v>
      </c>
      <c r="E180" s="549">
        <f t="shared" si="131"/>
        <v>0</v>
      </c>
      <c r="F180" s="549">
        <f t="shared" si="131"/>
        <v>0</v>
      </c>
      <c r="G180" s="549">
        <f t="shared" si="131"/>
        <v>0</v>
      </c>
      <c r="H180" s="549">
        <f t="shared" si="131"/>
        <v>0</v>
      </c>
      <c r="I180" s="549">
        <f t="shared" si="131"/>
        <v>0</v>
      </c>
      <c r="J180" s="552">
        <f t="shared" si="131"/>
        <v>0</v>
      </c>
      <c r="K180" s="549">
        <f t="shared" si="131"/>
        <v>0</v>
      </c>
      <c r="L180" s="549">
        <f t="shared" si="131"/>
        <v>0</v>
      </c>
      <c r="M180" s="549">
        <f t="shared" si="131"/>
        <v>0</v>
      </c>
      <c r="N180" s="549">
        <f t="shared" si="131"/>
        <v>0</v>
      </c>
      <c r="O180" s="549">
        <f t="shared" si="131"/>
        <v>0</v>
      </c>
      <c r="P180" s="549">
        <f t="shared" si="131"/>
        <v>0</v>
      </c>
      <c r="Q180" s="549">
        <f t="shared" si="131"/>
        <v>0</v>
      </c>
      <c r="R180" s="549">
        <f t="shared" si="131"/>
        <v>0</v>
      </c>
      <c r="S180" s="552">
        <f t="shared" si="131"/>
        <v>0</v>
      </c>
      <c r="T180" s="552">
        <f t="shared" si="131"/>
        <v>0</v>
      </c>
      <c r="U180" s="1102">
        <f t="shared" si="131"/>
        <v>0</v>
      </c>
      <c r="V180" s="553">
        <f t="shared" si="131"/>
        <v>0</v>
      </c>
      <c r="W180" s="552">
        <f t="shared" si="131"/>
        <v>0</v>
      </c>
      <c r="AB180" s="262"/>
      <c r="AC180" s="262"/>
      <c r="AD180" s="262"/>
      <c r="AE180" s="262"/>
      <c r="AF180" s="262"/>
      <c r="AG180" s="262"/>
      <c r="AH180" s="262"/>
      <c r="AI180" s="262"/>
      <c r="AJ180" s="262"/>
      <c r="AK180" s="262"/>
      <c r="AL180" s="262"/>
      <c r="AM180" s="262"/>
      <c r="AN180" s="262"/>
      <c r="AO180" s="262"/>
      <c r="AP180" s="262"/>
    </row>
    <row r="181" spans="1:42" ht="12.75" thickBot="1">
      <c r="A181" s="870">
        <f>+A179+1</f>
        <v>23</v>
      </c>
      <c r="B181" s="554" t="s">
        <v>766</v>
      </c>
      <c r="C181" s="555">
        <f>+SUMIF('13.mell_ÖNKfeladatok2020'!$B$5:$B$159,'14.mell_Önk kiegészítés2020'!$A181,'13.mell_ÖNKfeladatok2020'!Q$5:Q$159)</f>
        <v>0</v>
      </c>
      <c r="D181" s="555">
        <f>+SUMIF('13.mell_ÖNKfeladatok2020'!$B$5:$B$159,'14.mell_Önk kiegészítés2020'!$A181,'13.mell_ÖNKfeladatok2020'!U$5:U$159)</f>
        <v>0</v>
      </c>
      <c r="E181" s="555">
        <f>+SUMIF('13.mell_ÖNKfeladatok2020'!$B$5:$B$159,'14.mell_Önk kiegészítés2020'!$A181,'13.mell_ÖNKfeladatok2020'!Y$5:Y$159)</f>
        <v>0</v>
      </c>
      <c r="F181" s="555">
        <f>+SUMIF('13.mell_ÖNKfeladatok2020'!$B$5:$B$159,'14.mell_Önk kiegészítés2020'!$A181,'13.mell_ÖNKfeladatok2020'!AC$5:AC$159)</f>
        <v>0</v>
      </c>
      <c r="G181" s="555">
        <f>+SUMIF('13.mell_ÖNKfeladatok2020'!$B$5:$B$159,'14.mell_Önk kiegészítés2020'!$A181,'13.mell_ÖNKfeladatok2020'!AK$5:AK$159)</f>
        <v>0</v>
      </c>
      <c r="H181" s="555">
        <f>+SUMIF('13.mell_ÖNKfeladatok2020'!$B$5:$B$159,'14.mell_Önk kiegészítés2020'!$A181,'13.mell_ÖNKfeladatok2020'!AO$5:AO$159)</f>
        <v>0</v>
      </c>
      <c r="I181" s="555">
        <f>+SUMIF('13.mell_ÖNKfeladatok2020'!$B$5:$B$159,'14.mell_Önk kiegészítés2020'!$A181,'13.mell_ÖNKfeladatok2020'!AS$5:AS$159)</f>
        <v>0</v>
      </c>
      <c r="J181" s="584">
        <f>SUM(C181:I181)</f>
        <v>0</v>
      </c>
      <c r="K181" s="546">
        <f>+SUMIF('13.mell_ÖNKfeladatok2020'!$B$167:$B$321,'14.mell_Önk kiegészítés2020'!$A181,'13.mell_ÖNKfeladatok2020'!Q$167:Q$321)</f>
        <v>0</v>
      </c>
      <c r="L181" s="546">
        <f>+SUMIF('13.mell_ÖNKfeladatok2020'!$B$167:$B$321,'14.mell_Önk kiegészítés2020'!$A181,'13.mell_ÖNKfeladatok2020'!U$167:U$321)</f>
        <v>0</v>
      </c>
      <c r="M181" s="546">
        <f>+SUMIF('13.mell_ÖNKfeladatok2020'!$B$167:$B$321,'14.mell_Önk kiegészítés2020'!$A181,'13.mell_ÖNKfeladatok2020'!Y$167:Y$321)</f>
        <v>0</v>
      </c>
      <c r="N181" s="546">
        <f>+SUMIF('13.mell_ÖNKfeladatok2020'!$B$167:$B$321,'14.mell_Önk kiegészítés2020'!$A181,'13.mell_ÖNKfeladatok2020'!AC$167:AC$321)</f>
        <v>0</v>
      </c>
      <c r="O181" s="546">
        <f>+SUMIF('13.mell_ÖNKfeladatok2020'!$B$167:$B$321,'14.mell_Önk kiegészítés2020'!$A181,'13.mell_ÖNKfeladatok2020'!AG$167:AG$321)</f>
        <v>0</v>
      </c>
      <c r="P181" s="546">
        <f>+SUMIF('13.mell_ÖNKfeladatok2020'!$B$167:$B$321,'14.mell_Önk kiegészítés2020'!$A181,'13.mell_ÖNKfeladatok2020'!AO$167:AO$321)</f>
        <v>0</v>
      </c>
      <c r="Q181" s="546">
        <f>+SUMIF('13.mell_ÖNKfeladatok2020'!$B$167:$B$321,'14.mell_Önk kiegészítés2020'!$A181,'13.mell_ÖNKfeladatok2020'!AS$167:AS$321)</f>
        <v>0</v>
      </c>
      <c r="R181" s="546">
        <f>+SUMIF('13.mell_ÖNKfeladatok2020'!$B$167:$B$321,'14.mell_Önk kiegészítés2020'!$A181,'13.mell_ÖNKfeladatok2020'!AW$167:AW$321)</f>
        <v>0</v>
      </c>
      <c r="S181" s="583">
        <f>SUM(K181:R181)</f>
        <v>0</v>
      </c>
      <c r="T181" s="871">
        <f>S181-J181</f>
        <v>0</v>
      </c>
      <c r="U181" s="1106">
        <f>+ROUND(SUMIF('10.mell_támogatások2020'!$B$6:$B$137,'14.mell_Önk kiegészítés2020'!$A181,'10.mell_támogatások2020'!F$6:F$137)/1000,0)</f>
        <v>0</v>
      </c>
      <c r="V181" s="1084"/>
      <c r="W181" s="871">
        <f>+T181-U181-V181</f>
        <v>0</v>
      </c>
    </row>
    <row r="182" spans="1:42" s="535" customFormat="1" ht="12.75" thickBot="1">
      <c r="A182" s="344" t="s">
        <v>749</v>
      </c>
      <c r="B182" s="494" t="s">
        <v>766</v>
      </c>
      <c r="C182" s="549">
        <f>SUM(C181)</f>
        <v>0</v>
      </c>
      <c r="D182" s="549">
        <f t="shared" ref="D182:W182" si="132">SUM(D181)</f>
        <v>0</v>
      </c>
      <c r="E182" s="549">
        <f t="shared" si="132"/>
        <v>0</v>
      </c>
      <c r="F182" s="549">
        <f t="shared" si="132"/>
        <v>0</v>
      </c>
      <c r="G182" s="549">
        <f t="shared" si="132"/>
        <v>0</v>
      </c>
      <c r="H182" s="549">
        <f t="shared" si="132"/>
        <v>0</v>
      </c>
      <c r="I182" s="549">
        <f t="shared" si="132"/>
        <v>0</v>
      </c>
      <c r="J182" s="552">
        <f t="shared" si="132"/>
        <v>0</v>
      </c>
      <c r="K182" s="549">
        <f t="shared" si="132"/>
        <v>0</v>
      </c>
      <c r="L182" s="549">
        <f t="shared" si="132"/>
        <v>0</v>
      </c>
      <c r="M182" s="549">
        <f t="shared" si="132"/>
        <v>0</v>
      </c>
      <c r="N182" s="549">
        <f t="shared" si="132"/>
        <v>0</v>
      </c>
      <c r="O182" s="549">
        <f t="shared" si="132"/>
        <v>0</v>
      </c>
      <c r="P182" s="549">
        <f t="shared" si="132"/>
        <v>0</v>
      </c>
      <c r="Q182" s="549">
        <f t="shared" si="132"/>
        <v>0</v>
      </c>
      <c r="R182" s="549">
        <f t="shared" si="132"/>
        <v>0</v>
      </c>
      <c r="S182" s="552">
        <f t="shared" si="132"/>
        <v>0</v>
      </c>
      <c r="T182" s="552">
        <f t="shared" si="132"/>
        <v>0</v>
      </c>
      <c r="U182" s="1102">
        <f t="shared" si="132"/>
        <v>0</v>
      </c>
      <c r="V182" s="553">
        <f t="shared" si="132"/>
        <v>0</v>
      </c>
      <c r="W182" s="552">
        <f t="shared" si="132"/>
        <v>0</v>
      </c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  <c r="AP182" s="262"/>
    </row>
    <row r="183" spans="1:42" s="535" customFormat="1" ht="12.75" thickBot="1">
      <c r="A183" s="496" t="s">
        <v>21</v>
      </c>
      <c r="B183" s="508" t="s">
        <v>419</v>
      </c>
      <c r="C183" s="558">
        <f>+C178+C180+C182</f>
        <v>0</v>
      </c>
      <c r="D183" s="559">
        <f t="shared" ref="D183:W183" si="133">+D178+D180+D182</f>
        <v>0</v>
      </c>
      <c r="E183" s="559">
        <f t="shared" si="133"/>
        <v>0</v>
      </c>
      <c r="F183" s="559">
        <f t="shared" si="133"/>
        <v>0</v>
      </c>
      <c r="G183" s="559">
        <f t="shared" si="133"/>
        <v>0</v>
      </c>
      <c r="H183" s="559">
        <f t="shared" si="133"/>
        <v>0</v>
      </c>
      <c r="I183" s="560">
        <f t="shared" si="133"/>
        <v>0</v>
      </c>
      <c r="J183" s="561">
        <f t="shared" si="133"/>
        <v>0</v>
      </c>
      <c r="K183" s="558">
        <f t="shared" si="133"/>
        <v>17</v>
      </c>
      <c r="L183" s="558">
        <f t="shared" si="133"/>
        <v>3</v>
      </c>
      <c r="M183" s="558">
        <f t="shared" si="133"/>
        <v>13320</v>
      </c>
      <c r="N183" s="558">
        <f t="shared" si="133"/>
        <v>0</v>
      </c>
      <c r="O183" s="558">
        <f t="shared" si="133"/>
        <v>0</v>
      </c>
      <c r="P183" s="558">
        <f t="shared" si="133"/>
        <v>0</v>
      </c>
      <c r="Q183" s="558">
        <f t="shared" si="133"/>
        <v>0</v>
      </c>
      <c r="R183" s="558">
        <f t="shared" si="133"/>
        <v>0</v>
      </c>
      <c r="S183" s="561">
        <f t="shared" si="133"/>
        <v>13340</v>
      </c>
      <c r="T183" s="561">
        <f t="shared" si="133"/>
        <v>13340</v>
      </c>
      <c r="U183" s="1104">
        <f t="shared" si="133"/>
        <v>14120</v>
      </c>
      <c r="V183" s="560">
        <f t="shared" si="133"/>
        <v>20</v>
      </c>
      <c r="W183" s="561">
        <f t="shared" si="133"/>
        <v>-800</v>
      </c>
      <c r="Y183" s="535">
        <f>+'13.mell_ÖNKfeladatok2020'!$I$124-J183</f>
        <v>0</v>
      </c>
      <c r="Z183" s="535">
        <f>+'13.mell_ÖNKfeladatok2020'!$I$286-S183</f>
        <v>0</v>
      </c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262"/>
      <c r="AL183" s="262"/>
      <c r="AM183" s="262"/>
      <c r="AN183" s="262"/>
      <c r="AO183" s="262"/>
      <c r="AP183" s="262"/>
    </row>
    <row r="184" spans="1:42" s="195" customFormat="1" ht="12.75" thickBot="1">
      <c r="A184" s="344"/>
      <c r="B184" s="494"/>
      <c r="C184" s="569"/>
      <c r="D184" s="570"/>
      <c r="E184" s="570"/>
      <c r="F184" s="570"/>
      <c r="G184" s="570"/>
      <c r="H184" s="570"/>
      <c r="I184" s="571"/>
      <c r="J184" s="572"/>
      <c r="K184" s="569"/>
      <c r="L184" s="569"/>
      <c r="M184" s="569"/>
      <c r="N184" s="569"/>
      <c r="O184" s="569"/>
      <c r="P184" s="569"/>
      <c r="Q184" s="569"/>
      <c r="R184" s="569"/>
      <c r="S184" s="572"/>
      <c r="T184" s="572"/>
      <c r="U184" s="866"/>
      <c r="V184" s="571"/>
      <c r="W184" s="572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</row>
    <row r="185" spans="1:42">
      <c r="A185" s="825">
        <f>+A181+1</f>
        <v>24</v>
      </c>
      <c r="B185" s="731" t="s">
        <v>1088</v>
      </c>
      <c r="C185" s="869">
        <f>+SUMIF('13.mell_ÖNKfeladatok2020'!$B$5:$B$159,'14.mell_Önk kiegészítés2020'!$A185,'13.mell_ÖNKfeladatok2020'!Q$5:Q$159)</f>
        <v>0</v>
      </c>
      <c r="D185" s="869">
        <f>+SUMIF('13.mell_ÖNKfeladatok2020'!$B$5:$B$159,'14.mell_Önk kiegészítés2020'!$A185,'13.mell_ÖNKfeladatok2020'!U$5:U$159)</f>
        <v>0</v>
      </c>
      <c r="E185" s="869">
        <f>+SUMIF('13.mell_ÖNKfeladatok2020'!$B$5:$B$159,'14.mell_Önk kiegészítés2020'!$A185,'13.mell_ÖNKfeladatok2020'!Y$5:Y$159)</f>
        <v>0</v>
      </c>
      <c r="F185" s="869">
        <f>+SUMIF('13.mell_ÖNKfeladatok2020'!$B$5:$B$159,'14.mell_Önk kiegészítés2020'!$A185,'13.mell_ÖNKfeladatok2020'!AC$5:AC$159)</f>
        <v>0</v>
      </c>
      <c r="G185" s="869">
        <f>+SUMIF('13.mell_ÖNKfeladatok2020'!$B$5:$B$159,'14.mell_Önk kiegészítés2020'!$A185,'13.mell_ÖNKfeladatok2020'!AK$5:AK$159)</f>
        <v>0</v>
      </c>
      <c r="H185" s="869">
        <f>+SUMIF('13.mell_ÖNKfeladatok2020'!$B$5:$B$159,'14.mell_Önk kiegészítés2020'!$A185,'13.mell_ÖNKfeladatok2020'!AO$5:AO$159)</f>
        <v>0</v>
      </c>
      <c r="I185" s="869">
        <f>+SUMIF('13.mell_ÖNKfeladatok2020'!$B$5:$B$159,'14.mell_Önk kiegészítés2020'!$A185,'13.mell_ÖNKfeladatok2020'!AS$5:AS$159)</f>
        <v>0</v>
      </c>
      <c r="J185" s="732">
        <f>SUM(C185:I185)</f>
        <v>0</v>
      </c>
      <c r="K185" s="869">
        <f>+SUMIF('13.mell_ÖNKfeladatok2020'!$B$167:$B$321,'14.mell_Önk kiegészítés2020'!$A185,'13.mell_ÖNKfeladatok2020'!Q$167:Q$321)</f>
        <v>0</v>
      </c>
      <c r="L185" s="869">
        <f>+SUMIF('13.mell_ÖNKfeladatok2020'!$B$167:$B$321,'14.mell_Önk kiegészítés2020'!$A185,'13.mell_ÖNKfeladatok2020'!U$167:U$321)</f>
        <v>0</v>
      </c>
      <c r="M185" s="869">
        <f>+SUMIF('13.mell_ÖNKfeladatok2020'!$B$167:$B$321,'14.mell_Önk kiegészítés2020'!$A185,'13.mell_ÖNKfeladatok2020'!Y$167:Y$321)</f>
        <v>0</v>
      </c>
      <c r="N185" s="869">
        <f>+SUMIF('13.mell_ÖNKfeladatok2020'!$B$167:$B$321,'14.mell_Önk kiegészítés2020'!$A185,'13.mell_ÖNKfeladatok2020'!AC$167:AC$321)</f>
        <v>0</v>
      </c>
      <c r="O185" s="869">
        <f>+SUMIF('13.mell_ÖNKfeladatok2020'!$B$167:$B$321,'14.mell_Önk kiegészítés2020'!$A185,'13.mell_ÖNKfeladatok2020'!AG$167:AG$321)</f>
        <v>0</v>
      </c>
      <c r="P185" s="869">
        <f>+SUMIF('13.mell_ÖNKfeladatok2020'!$B$167:$B$321,'14.mell_Önk kiegészítés2020'!$A185,'13.mell_ÖNKfeladatok2020'!AO$167:AO$321)</f>
        <v>0</v>
      </c>
      <c r="Q185" s="869">
        <f>+SUMIF('13.mell_ÖNKfeladatok2020'!$B$167:$B$321,'14.mell_Önk kiegészítés2020'!$A185,'13.mell_ÖNKfeladatok2020'!AS$167:AS$321)</f>
        <v>0</v>
      </c>
      <c r="R185" s="869">
        <f>+SUMIF('13.mell_ÖNKfeladatok2020'!$B$167:$B$321,'14.mell_Önk kiegészítés2020'!$A185,'13.mell_ÖNKfeladatok2020'!AW$167:AW$321)</f>
        <v>0</v>
      </c>
      <c r="S185" s="732">
        <f>SUM(K185:R185)</f>
        <v>0</v>
      </c>
      <c r="T185" s="733">
        <f>S185-J185</f>
        <v>0</v>
      </c>
      <c r="U185" s="1105">
        <f>+ROUND(SUMIF('10.mell_támogatások2020'!$B$6:$B$137,'14.mell_Önk kiegészítés2020'!$A185,'10.mell_támogatások2020'!F$6:F$137)/1000,0)</f>
        <v>0</v>
      </c>
      <c r="V185" s="1083"/>
      <c r="W185" s="733">
        <f t="shared" ref="W185:W187" si="134">+T185-U185-V185</f>
        <v>0</v>
      </c>
    </row>
    <row r="186" spans="1:42">
      <c r="A186" s="826">
        <f>+A185+1</f>
        <v>25</v>
      </c>
      <c r="B186" s="542" t="s">
        <v>1145</v>
      </c>
      <c r="C186" s="543">
        <f>+SUMIF('13.mell_ÖNKfeladatok2020'!$B$5:$B$159,'14.mell_Önk kiegészítés2020'!$A186,'13.mell_ÖNKfeladatok2020'!Q$5:Q$159)</f>
        <v>0</v>
      </c>
      <c r="D186" s="543">
        <f>+SUMIF('13.mell_ÖNKfeladatok2020'!$B$5:$B$159,'14.mell_Önk kiegészítés2020'!$A186,'13.mell_ÖNKfeladatok2020'!U$5:U$159)</f>
        <v>0</v>
      </c>
      <c r="E186" s="543">
        <f>+SUMIF('13.mell_ÖNKfeladatok2020'!$B$5:$B$159,'14.mell_Önk kiegészítés2020'!$A186,'13.mell_ÖNKfeladatok2020'!Y$5:Y$159)</f>
        <v>0</v>
      </c>
      <c r="F186" s="543">
        <f>+SUMIF('13.mell_ÖNKfeladatok2020'!$B$5:$B$159,'14.mell_Önk kiegészítés2020'!$A186,'13.mell_ÖNKfeladatok2020'!AC$5:AC$159)</f>
        <v>0</v>
      </c>
      <c r="G186" s="543">
        <f>+SUMIF('13.mell_ÖNKfeladatok2020'!$B$5:$B$159,'14.mell_Önk kiegészítés2020'!$A186,'13.mell_ÖNKfeladatok2020'!AK$5:AK$159)</f>
        <v>0</v>
      </c>
      <c r="H186" s="543">
        <f>+SUMIF('13.mell_ÖNKfeladatok2020'!$B$5:$B$159,'14.mell_Önk kiegészítés2020'!$A186,'13.mell_ÖNKfeladatok2020'!AO$5:AO$159)</f>
        <v>0</v>
      </c>
      <c r="I186" s="543">
        <f>+SUMIF('13.mell_ÖNKfeladatok2020'!$B$5:$B$159,'14.mell_Önk kiegészítés2020'!$A186,'13.mell_ÖNKfeladatok2020'!AS$5:AS$159)</f>
        <v>0</v>
      </c>
      <c r="J186" s="582">
        <f>SUM(C186:I186)</f>
        <v>0</v>
      </c>
      <c r="K186" s="543">
        <f>+SUMIF('13.mell_ÖNKfeladatok2020'!$B$167:$B$321,'14.mell_Önk kiegészítés2020'!$A186,'13.mell_ÖNKfeladatok2020'!Q$167:Q$321)</f>
        <v>465</v>
      </c>
      <c r="L186" s="543">
        <f>+SUMIF('13.mell_ÖNKfeladatok2020'!$B$167:$B$321,'14.mell_Önk kiegészítés2020'!$A186,'13.mell_ÖNKfeladatok2020'!U$167:U$321)</f>
        <v>72</v>
      </c>
      <c r="M186" s="543">
        <f>+SUMIF('13.mell_ÖNKfeladatok2020'!$B$167:$B$321,'14.mell_Önk kiegészítés2020'!$A186,'13.mell_ÖNKfeladatok2020'!Y$167:Y$321)</f>
        <v>0</v>
      </c>
      <c r="N186" s="543">
        <f>+SUMIF('13.mell_ÖNKfeladatok2020'!$B$167:$B$321,'14.mell_Önk kiegészítés2020'!$A186,'13.mell_ÖNKfeladatok2020'!AC$167:AC$321)</f>
        <v>0</v>
      </c>
      <c r="O186" s="543">
        <f>+SUMIF('13.mell_ÖNKfeladatok2020'!$B$167:$B$321,'14.mell_Önk kiegészítés2020'!$A186,'13.mell_ÖNKfeladatok2020'!AG$167:AG$321)</f>
        <v>0</v>
      </c>
      <c r="P186" s="543">
        <f>+SUMIF('13.mell_ÖNKfeladatok2020'!$B$167:$B$321,'14.mell_Önk kiegészítés2020'!$A186,'13.mell_ÖNKfeladatok2020'!AO$167:AO$321)</f>
        <v>0</v>
      </c>
      <c r="Q186" s="543">
        <f>+SUMIF('13.mell_ÖNKfeladatok2020'!$B$167:$B$321,'14.mell_Önk kiegészítés2020'!$A186,'13.mell_ÖNKfeladatok2020'!AS$167:AS$321)</f>
        <v>0</v>
      </c>
      <c r="R186" s="543">
        <f>+SUMIF('13.mell_ÖNKfeladatok2020'!$B$167:$B$321,'14.mell_Önk kiegészítés2020'!$A186,'13.mell_ÖNKfeladatok2020'!AW$167:AW$321)</f>
        <v>0</v>
      </c>
      <c r="S186" s="582">
        <f>SUM(K186:R186)</f>
        <v>537</v>
      </c>
      <c r="T186" s="544">
        <f>S186-J186</f>
        <v>537</v>
      </c>
      <c r="U186" s="1101">
        <f>+ROUND(SUMIF('10.mell_támogatások2020'!$B$6:$B$137,'14.mell_Önk kiegészítés2020'!$A186,'10.mell_támogatások2020'!F$6:F$137)/1000,0)</f>
        <v>527</v>
      </c>
      <c r="V186" s="1081">
        <v>10</v>
      </c>
      <c r="W186" s="544">
        <f t="shared" si="134"/>
        <v>0</v>
      </c>
      <c r="AG186" s="262">
        <f>9+1</f>
        <v>10</v>
      </c>
    </row>
    <row r="187" spans="1:42" ht="12.75" thickBot="1">
      <c r="A187" s="872">
        <f>+A186+1</f>
        <v>26</v>
      </c>
      <c r="B187" s="554" t="s">
        <v>1095</v>
      </c>
      <c r="C187" s="555">
        <f>+SUMIF('13.mell_ÖNKfeladatok2020'!$B$5:$B$159,'14.mell_Önk kiegészítés2020'!$A187,'13.mell_ÖNKfeladatok2020'!Q$5:Q$159)</f>
        <v>0</v>
      </c>
      <c r="D187" s="555">
        <f>+SUMIF('13.mell_ÖNKfeladatok2020'!$B$5:$B$159,'14.mell_Önk kiegészítés2020'!$A187,'13.mell_ÖNKfeladatok2020'!U$5:U$159)</f>
        <v>0</v>
      </c>
      <c r="E187" s="555">
        <f>+SUMIF('13.mell_ÖNKfeladatok2020'!$B$5:$B$159,'14.mell_Önk kiegészítés2020'!$A187,'13.mell_ÖNKfeladatok2020'!Y$5:Y$159)</f>
        <v>0</v>
      </c>
      <c r="F187" s="555">
        <f>+SUMIF('13.mell_ÖNKfeladatok2020'!$B$5:$B$159,'14.mell_Önk kiegészítés2020'!$A187,'13.mell_ÖNKfeladatok2020'!AC$5:AC$159)</f>
        <v>0</v>
      </c>
      <c r="G187" s="555">
        <f>+SUMIF('13.mell_ÖNKfeladatok2020'!$B$5:$B$159,'14.mell_Önk kiegészítés2020'!$A187,'13.mell_ÖNKfeladatok2020'!AK$5:AK$159)</f>
        <v>0</v>
      </c>
      <c r="H187" s="555">
        <f>+SUMIF('13.mell_ÖNKfeladatok2020'!$B$5:$B$159,'14.mell_Önk kiegészítés2020'!$A187,'13.mell_ÖNKfeladatok2020'!AO$5:AO$159)</f>
        <v>0</v>
      </c>
      <c r="I187" s="555">
        <f>+SUMIF('13.mell_ÖNKfeladatok2020'!$B$5:$B$159,'14.mell_Önk kiegészítés2020'!$A187,'13.mell_ÖNKfeladatok2020'!AS$5:AS$159)</f>
        <v>0</v>
      </c>
      <c r="J187" s="584">
        <f>SUM(C187:I187)</f>
        <v>0</v>
      </c>
      <c r="K187" s="555">
        <f>+SUMIF('13.mell_ÖNKfeladatok2020'!$B$167:$B$321,'14.mell_Önk kiegészítés2020'!$A187,'13.mell_ÖNKfeladatok2020'!Q$167:Q$321)</f>
        <v>0</v>
      </c>
      <c r="L187" s="555">
        <f>+SUMIF('13.mell_ÖNKfeladatok2020'!$B$167:$B$321,'14.mell_Önk kiegészítés2020'!$A187,'13.mell_ÖNKfeladatok2020'!U$167:U$321)</f>
        <v>0</v>
      </c>
      <c r="M187" s="555">
        <f>+SUMIF('13.mell_ÖNKfeladatok2020'!$B$167:$B$321,'14.mell_Önk kiegészítés2020'!$A187,'13.mell_ÖNKfeladatok2020'!Y$167:Y$321)</f>
        <v>0</v>
      </c>
      <c r="N187" s="555">
        <f>+SUMIF('13.mell_ÖNKfeladatok2020'!$B$167:$B$321,'14.mell_Önk kiegészítés2020'!$A187,'13.mell_ÖNKfeladatok2020'!AC$167:AC$321)</f>
        <v>0</v>
      </c>
      <c r="O187" s="555">
        <f>+SUMIF('13.mell_ÖNKfeladatok2020'!$B$167:$B$321,'14.mell_Önk kiegészítés2020'!$A187,'13.mell_ÖNKfeladatok2020'!AG$167:AG$321)</f>
        <v>0</v>
      </c>
      <c r="P187" s="555">
        <f>+SUMIF('13.mell_ÖNKfeladatok2020'!$B$167:$B$321,'14.mell_Önk kiegészítés2020'!$A187,'13.mell_ÖNKfeladatok2020'!AO$167:AO$321)</f>
        <v>0</v>
      </c>
      <c r="Q187" s="555">
        <f>+SUMIF('13.mell_ÖNKfeladatok2020'!$B$167:$B$321,'14.mell_Önk kiegészítés2020'!$A187,'13.mell_ÖNKfeladatok2020'!AS$167:AS$321)</f>
        <v>0</v>
      </c>
      <c r="R187" s="555">
        <f>+SUMIF('13.mell_ÖNKfeladatok2020'!$B$167:$B$321,'14.mell_Önk kiegészítés2020'!$A187,'13.mell_ÖNKfeladatok2020'!AW$167:AW$321)</f>
        <v>0</v>
      </c>
      <c r="S187" s="584">
        <f>SUM(K187:R187)</f>
        <v>0</v>
      </c>
      <c r="T187" s="873">
        <f>S187-J187</f>
        <v>0</v>
      </c>
      <c r="U187" s="1107">
        <f>+ROUND(SUMIF('10.mell_támogatások2020'!$B$6:$B$137,'14.mell_Önk kiegészítés2020'!$A187,'10.mell_támogatások2020'!F$6:F$137)/1000,0)</f>
        <v>0</v>
      </c>
      <c r="V187" s="1085"/>
      <c r="W187" s="873">
        <f t="shared" si="134"/>
        <v>0</v>
      </c>
    </row>
    <row r="188" spans="1:42" s="535" customFormat="1" ht="12.75" thickBot="1">
      <c r="A188" s="344" t="s">
        <v>750</v>
      </c>
      <c r="B188" s="494" t="s">
        <v>420</v>
      </c>
      <c r="C188" s="549">
        <f>SUM(C185:C187)</f>
        <v>0</v>
      </c>
      <c r="D188" s="549">
        <f t="shared" ref="D188:W188" si="135">SUM(D185:D187)</f>
        <v>0</v>
      </c>
      <c r="E188" s="549">
        <f t="shared" si="135"/>
        <v>0</v>
      </c>
      <c r="F188" s="549">
        <f t="shared" si="135"/>
        <v>0</v>
      </c>
      <c r="G188" s="549">
        <f t="shared" si="135"/>
        <v>0</v>
      </c>
      <c r="H188" s="549">
        <f t="shared" si="135"/>
        <v>0</v>
      </c>
      <c r="I188" s="549">
        <f t="shared" si="135"/>
        <v>0</v>
      </c>
      <c r="J188" s="552">
        <f t="shared" si="135"/>
        <v>0</v>
      </c>
      <c r="K188" s="549">
        <f t="shared" si="135"/>
        <v>465</v>
      </c>
      <c r="L188" s="549">
        <f t="shared" si="135"/>
        <v>72</v>
      </c>
      <c r="M188" s="549">
        <f t="shared" si="135"/>
        <v>0</v>
      </c>
      <c r="N188" s="549">
        <f t="shared" si="135"/>
        <v>0</v>
      </c>
      <c r="O188" s="549">
        <f t="shared" si="135"/>
        <v>0</v>
      </c>
      <c r="P188" s="549">
        <f t="shared" si="135"/>
        <v>0</v>
      </c>
      <c r="Q188" s="549">
        <f t="shared" si="135"/>
        <v>0</v>
      </c>
      <c r="R188" s="549">
        <f t="shared" si="135"/>
        <v>0</v>
      </c>
      <c r="S188" s="552">
        <f t="shared" si="135"/>
        <v>537</v>
      </c>
      <c r="T188" s="552">
        <f t="shared" si="135"/>
        <v>537</v>
      </c>
      <c r="U188" s="1102">
        <f t="shared" si="135"/>
        <v>527</v>
      </c>
      <c r="V188" s="553">
        <f t="shared" si="135"/>
        <v>10</v>
      </c>
      <c r="W188" s="552">
        <f t="shared" si="135"/>
        <v>0</v>
      </c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2"/>
      <c r="AL188" s="262"/>
      <c r="AM188" s="262"/>
      <c r="AN188" s="262"/>
      <c r="AO188" s="262"/>
      <c r="AP188" s="262"/>
    </row>
    <row r="189" spans="1:42" ht="12.75" thickBot="1">
      <c r="A189" s="876">
        <f>+A187+1</f>
        <v>27</v>
      </c>
      <c r="B189" s="877" t="s">
        <v>752</v>
      </c>
      <c r="C189" s="878">
        <f>+SUMIF('13.mell_ÖNKfeladatok2020'!$B$5:$B$159,'14.mell_Önk kiegészítés2020'!$A189,'13.mell_ÖNKfeladatok2020'!Q$5:Q$159)</f>
        <v>0</v>
      </c>
      <c r="D189" s="878">
        <f>+SUMIF('13.mell_ÖNKfeladatok2020'!$B$5:$B$159,'14.mell_Önk kiegészítés2020'!$A189,'13.mell_ÖNKfeladatok2020'!U$5:U$159)</f>
        <v>0</v>
      </c>
      <c r="E189" s="878">
        <f>+SUMIF('13.mell_ÖNKfeladatok2020'!$B$5:$B$159,'14.mell_Önk kiegészítés2020'!$A189,'13.mell_ÖNKfeladatok2020'!Y$5:Y$159)</f>
        <v>0</v>
      </c>
      <c r="F189" s="878">
        <f>+SUMIF('13.mell_ÖNKfeladatok2020'!$B$5:$B$159,'14.mell_Önk kiegészítés2020'!$A189,'13.mell_ÖNKfeladatok2020'!AC$5:AC$159)</f>
        <v>0</v>
      </c>
      <c r="G189" s="878">
        <f>+SUMIF('13.mell_ÖNKfeladatok2020'!$B$5:$B$159,'14.mell_Önk kiegészítés2020'!$A189,'13.mell_ÖNKfeladatok2020'!AK$5:AK$159)</f>
        <v>0</v>
      </c>
      <c r="H189" s="878">
        <f>+SUMIF('13.mell_ÖNKfeladatok2020'!$B$5:$B$159,'14.mell_Önk kiegészítés2020'!$A189,'13.mell_ÖNKfeladatok2020'!AO$5:AO$159)</f>
        <v>0</v>
      </c>
      <c r="I189" s="878">
        <f>+SUMIF('13.mell_ÖNKfeladatok2020'!$B$5:$B$159,'14.mell_Önk kiegészítés2020'!$A189,'13.mell_ÖNKfeladatok2020'!AS$5:AS$159)</f>
        <v>0</v>
      </c>
      <c r="J189" s="879">
        <f>SUM(C189:I189)</f>
        <v>0</v>
      </c>
      <c r="K189" s="878">
        <f>+SUMIF('13.mell_ÖNKfeladatok2020'!$B$167:$B$321,'14.mell_Önk kiegészítés2020'!$A189,'13.mell_ÖNKfeladatok2020'!Q$167:Q$321)</f>
        <v>0</v>
      </c>
      <c r="L189" s="878">
        <f>+SUMIF('13.mell_ÖNKfeladatok2020'!$B$167:$B$321,'14.mell_Önk kiegészítés2020'!$A189,'13.mell_ÖNKfeladatok2020'!U$167:U$321)</f>
        <v>0</v>
      </c>
      <c r="M189" s="878">
        <f>+SUMIF('13.mell_ÖNKfeladatok2020'!$B$167:$B$321,'14.mell_Önk kiegészítés2020'!$A189,'13.mell_ÖNKfeladatok2020'!Y$167:Y$321)</f>
        <v>0</v>
      </c>
      <c r="N189" s="878">
        <f>+SUMIF('13.mell_ÖNKfeladatok2020'!$B$167:$B$321,'14.mell_Önk kiegészítés2020'!$A189,'13.mell_ÖNKfeladatok2020'!AC$167:AC$321)</f>
        <v>0</v>
      </c>
      <c r="O189" s="878">
        <f>+SUMIF('13.mell_ÖNKfeladatok2020'!$B$167:$B$321,'14.mell_Önk kiegészítés2020'!$A189,'13.mell_ÖNKfeladatok2020'!AG$167:AG$321)</f>
        <v>0</v>
      </c>
      <c r="P189" s="878">
        <f>+SUMIF('13.mell_ÖNKfeladatok2020'!$B$167:$B$321,'14.mell_Önk kiegészítés2020'!$A189,'13.mell_ÖNKfeladatok2020'!AO$167:AO$321)</f>
        <v>0</v>
      </c>
      <c r="Q189" s="878">
        <f>+SUMIF('13.mell_ÖNKfeladatok2020'!$B$167:$B$321,'14.mell_Önk kiegészítés2020'!$A189,'13.mell_ÖNKfeladatok2020'!AS$167:AS$321)</f>
        <v>0</v>
      </c>
      <c r="R189" s="878">
        <f>+SUMIF('13.mell_ÖNKfeladatok2020'!$B$167:$B$321,'14.mell_Önk kiegészítés2020'!$A189,'13.mell_ÖNKfeladatok2020'!AW$167:AW$321)</f>
        <v>0</v>
      </c>
      <c r="S189" s="879">
        <f>SUM(K189:R189)</f>
        <v>0</v>
      </c>
      <c r="T189" s="552">
        <f>S189-J189</f>
        <v>0</v>
      </c>
      <c r="U189" s="1108">
        <f>+ROUND(SUMIF('10.mell_támogatások2020'!$B$6:$B$137,'14.mell_Önk kiegészítés2020'!$A189,'10.mell_támogatások2020'!F$6:F$137)/1000,0)</f>
        <v>0</v>
      </c>
      <c r="V189" s="1086"/>
      <c r="W189" s="552">
        <f>+T189-U189-V189</f>
        <v>0</v>
      </c>
    </row>
    <row r="190" spans="1:42" s="535" customFormat="1" ht="12.75" thickBot="1">
      <c r="A190" s="504" t="s">
        <v>633</v>
      </c>
      <c r="B190" s="505" t="s">
        <v>752</v>
      </c>
      <c r="C190" s="874">
        <f>SUM(C189)</f>
        <v>0</v>
      </c>
      <c r="D190" s="874">
        <f t="shared" ref="D190:W190" si="136">SUM(D189)</f>
        <v>0</v>
      </c>
      <c r="E190" s="874">
        <f t="shared" si="136"/>
        <v>0</v>
      </c>
      <c r="F190" s="874">
        <f t="shared" si="136"/>
        <v>0</v>
      </c>
      <c r="G190" s="874">
        <f t="shared" si="136"/>
        <v>0</v>
      </c>
      <c r="H190" s="874">
        <f t="shared" si="136"/>
        <v>0</v>
      </c>
      <c r="I190" s="874">
        <f t="shared" si="136"/>
        <v>0</v>
      </c>
      <c r="J190" s="875">
        <f t="shared" si="136"/>
        <v>0</v>
      </c>
      <c r="K190" s="874">
        <f t="shared" si="136"/>
        <v>0</v>
      </c>
      <c r="L190" s="874">
        <f t="shared" si="136"/>
        <v>0</v>
      </c>
      <c r="M190" s="874">
        <f t="shared" si="136"/>
        <v>0</v>
      </c>
      <c r="N190" s="874">
        <f t="shared" si="136"/>
        <v>0</v>
      </c>
      <c r="O190" s="874">
        <f t="shared" si="136"/>
        <v>0</v>
      </c>
      <c r="P190" s="874">
        <f t="shared" si="136"/>
        <v>0</v>
      </c>
      <c r="Q190" s="874">
        <f t="shared" si="136"/>
        <v>0</v>
      </c>
      <c r="R190" s="874">
        <f t="shared" si="136"/>
        <v>0</v>
      </c>
      <c r="S190" s="875">
        <f t="shared" si="136"/>
        <v>0</v>
      </c>
      <c r="T190" s="875">
        <f t="shared" si="136"/>
        <v>0</v>
      </c>
      <c r="U190" s="1109">
        <f t="shared" si="136"/>
        <v>0</v>
      </c>
      <c r="V190" s="1087">
        <f t="shared" si="136"/>
        <v>0</v>
      </c>
      <c r="W190" s="875">
        <f t="shared" si="136"/>
        <v>0</v>
      </c>
      <c r="AB190" s="262"/>
      <c r="AC190" s="262"/>
      <c r="AD190" s="262"/>
      <c r="AE190" s="262"/>
      <c r="AF190" s="262"/>
      <c r="AG190" s="262"/>
      <c r="AH190" s="262"/>
      <c r="AI190" s="262"/>
      <c r="AJ190" s="262"/>
      <c r="AK190" s="262"/>
      <c r="AL190" s="262"/>
      <c r="AM190" s="262"/>
      <c r="AN190" s="262"/>
      <c r="AO190" s="262"/>
      <c r="AP190" s="262"/>
    </row>
    <row r="191" spans="1:42" ht="12.75" thickBot="1">
      <c r="A191" s="876">
        <f>+A189+1</f>
        <v>28</v>
      </c>
      <c r="B191" s="877" t="s">
        <v>767</v>
      </c>
      <c r="C191" s="878">
        <f>+SUMIF('13.mell_ÖNKfeladatok2020'!$B$5:$B$159,'14.mell_Önk kiegészítés2020'!$A191,'13.mell_ÖNKfeladatok2020'!Q$5:Q$159)</f>
        <v>0</v>
      </c>
      <c r="D191" s="878">
        <f>+SUMIF('13.mell_ÖNKfeladatok2020'!$B$5:$B$159,'14.mell_Önk kiegészítés2020'!$A191,'13.mell_ÖNKfeladatok2020'!U$5:U$159)</f>
        <v>0</v>
      </c>
      <c r="E191" s="878">
        <f>+SUMIF('13.mell_ÖNKfeladatok2020'!$B$5:$B$159,'14.mell_Önk kiegészítés2020'!$A191,'13.mell_ÖNKfeladatok2020'!Y$5:Y$159)</f>
        <v>0</v>
      </c>
      <c r="F191" s="878">
        <f>+SUMIF('13.mell_ÖNKfeladatok2020'!$B$5:$B$159,'14.mell_Önk kiegészítés2020'!$A191,'13.mell_ÖNKfeladatok2020'!AC$5:AC$159)</f>
        <v>0</v>
      </c>
      <c r="G191" s="878">
        <f>+SUMIF('13.mell_ÖNKfeladatok2020'!$B$5:$B$159,'14.mell_Önk kiegészítés2020'!$A191,'13.mell_ÖNKfeladatok2020'!AK$5:AK$159)</f>
        <v>0</v>
      </c>
      <c r="H191" s="878">
        <f>+SUMIF('13.mell_ÖNKfeladatok2020'!$B$5:$B$159,'14.mell_Önk kiegészítés2020'!$A191,'13.mell_ÖNKfeladatok2020'!AO$5:AO$159)</f>
        <v>0</v>
      </c>
      <c r="I191" s="878">
        <f>+SUMIF('13.mell_ÖNKfeladatok2020'!$B$5:$B$159,'14.mell_Önk kiegészítés2020'!$A191,'13.mell_ÖNKfeladatok2020'!AS$5:AS$159)</f>
        <v>0</v>
      </c>
      <c r="J191" s="879">
        <f>SUM(C191:I191)</f>
        <v>0</v>
      </c>
      <c r="K191" s="878">
        <f>+SUMIF('13.mell_ÖNKfeladatok2020'!$B$167:$B$321,'14.mell_Önk kiegészítés2020'!$A191,'13.mell_ÖNKfeladatok2020'!Q$167:Q$321)</f>
        <v>0</v>
      </c>
      <c r="L191" s="878">
        <f>+SUMIF('13.mell_ÖNKfeladatok2020'!$B$167:$B$321,'14.mell_Önk kiegészítés2020'!$A191,'13.mell_ÖNKfeladatok2020'!U$167:U$321)</f>
        <v>0</v>
      </c>
      <c r="M191" s="878">
        <f>+SUMIF('13.mell_ÖNKfeladatok2020'!$B$167:$B$321,'14.mell_Önk kiegészítés2020'!$A191,'13.mell_ÖNKfeladatok2020'!Y$167:Y$321)</f>
        <v>0</v>
      </c>
      <c r="N191" s="878">
        <f>+SUMIF('13.mell_ÖNKfeladatok2020'!$B$167:$B$321,'14.mell_Önk kiegészítés2020'!$A191,'13.mell_ÖNKfeladatok2020'!AC$167:AC$321)</f>
        <v>0</v>
      </c>
      <c r="O191" s="878">
        <f>+SUMIF('13.mell_ÖNKfeladatok2020'!$B$167:$B$321,'14.mell_Önk kiegészítés2020'!$A191,'13.mell_ÖNKfeladatok2020'!AG$167:AG$321)</f>
        <v>0</v>
      </c>
      <c r="P191" s="878">
        <f>+SUMIF('13.mell_ÖNKfeladatok2020'!$B$167:$B$321,'14.mell_Önk kiegészítés2020'!$A191,'13.mell_ÖNKfeladatok2020'!AO$167:AO$321)</f>
        <v>0</v>
      </c>
      <c r="Q191" s="878">
        <f>+SUMIF('13.mell_ÖNKfeladatok2020'!$B$167:$B$321,'14.mell_Önk kiegészítés2020'!$A191,'13.mell_ÖNKfeladatok2020'!AS$167:AS$321)</f>
        <v>0</v>
      </c>
      <c r="R191" s="878">
        <f>+SUMIF('13.mell_ÖNKfeladatok2020'!$B$167:$B$321,'14.mell_Önk kiegészítés2020'!$A191,'13.mell_ÖNKfeladatok2020'!AW$167:AW$321)</f>
        <v>0</v>
      </c>
      <c r="S191" s="879">
        <f>SUM(K191:R191)</f>
        <v>0</v>
      </c>
      <c r="T191" s="552">
        <f>S191-J191</f>
        <v>0</v>
      </c>
      <c r="U191" s="1108">
        <f>+ROUND(SUMIF('10.mell_támogatások2020'!$B$6:$B$137,'14.mell_Önk kiegészítés2020'!$A191,'10.mell_támogatások2020'!F$6:F$137)/1000,0)</f>
        <v>0</v>
      </c>
      <c r="V191" s="1086"/>
      <c r="W191" s="552">
        <f>+T191-U191-V191</f>
        <v>0</v>
      </c>
    </row>
    <row r="192" spans="1:42" s="535" customFormat="1" ht="12.75" thickBot="1">
      <c r="A192" s="504" t="s">
        <v>751</v>
      </c>
      <c r="B192" s="505" t="s">
        <v>767</v>
      </c>
      <c r="C192" s="874">
        <f>SUM(C191)</f>
        <v>0</v>
      </c>
      <c r="D192" s="874">
        <f t="shared" ref="D192:W192" si="137">SUM(D191)</f>
        <v>0</v>
      </c>
      <c r="E192" s="874">
        <f t="shared" si="137"/>
        <v>0</v>
      </c>
      <c r="F192" s="874">
        <f t="shared" si="137"/>
        <v>0</v>
      </c>
      <c r="G192" s="874">
        <f t="shared" si="137"/>
        <v>0</v>
      </c>
      <c r="H192" s="874">
        <f t="shared" si="137"/>
        <v>0</v>
      </c>
      <c r="I192" s="874">
        <f t="shared" si="137"/>
        <v>0</v>
      </c>
      <c r="J192" s="875">
        <f t="shared" si="137"/>
        <v>0</v>
      </c>
      <c r="K192" s="874">
        <f t="shared" si="137"/>
        <v>0</v>
      </c>
      <c r="L192" s="874">
        <f t="shared" si="137"/>
        <v>0</v>
      </c>
      <c r="M192" s="874">
        <f t="shared" si="137"/>
        <v>0</v>
      </c>
      <c r="N192" s="874">
        <f t="shared" si="137"/>
        <v>0</v>
      </c>
      <c r="O192" s="874">
        <f t="shared" si="137"/>
        <v>0</v>
      </c>
      <c r="P192" s="874">
        <f t="shared" si="137"/>
        <v>0</v>
      </c>
      <c r="Q192" s="874">
        <f t="shared" si="137"/>
        <v>0</v>
      </c>
      <c r="R192" s="874">
        <f t="shared" si="137"/>
        <v>0</v>
      </c>
      <c r="S192" s="875">
        <f t="shared" si="137"/>
        <v>0</v>
      </c>
      <c r="T192" s="875">
        <f t="shared" si="137"/>
        <v>0</v>
      </c>
      <c r="U192" s="1109">
        <f t="shared" si="137"/>
        <v>0</v>
      </c>
      <c r="V192" s="1087">
        <f t="shared" si="137"/>
        <v>0</v>
      </c>
      <c r="W192" s="875">
        <f t="shared" si="137"/>
        <v>0</v>
      </c>
      <c r="AB192" s="262"/>
      <c r="AC192" s="262"/>
      <c r="AD192" s="262"/>
      <c r="AE192" s="262"/>
      <c r="AF192" s="262"/>
      <c r="AG192" s="262"/>
      <c r="AH192" s="262"/>
      <c r="AI192" s="262"/>
      <c r="AJ192" s="262"/>
      <c r="AK192" s="262"/>
      <c r="AL192" s="262"/>
      <c r="AM192" s="262"/>
      <c r="AN192" s="262"/>
      <c r="AO192" s="262"/>
      <c r="AP192" s="262"/>
    </row>
    <row r="193" spans="1:42" s="535" customFormat="1" ht="12.75" thickBot="1">
      <c r="A193" s="496" t="s">
        <v>20</v>
      </c>
      <c r="B193" s="508" t="s">
        <v>422</v>
      </c>
      <c r="C193" s="558">
        <f>+C188+C190+C192</f>
        <v>0</v>
      </c>
      <c r="D193" s="559">
        <f t="shared" ref="D193:W193" si="138">+D188+D190+D192</f>
        <v>0</v>
      </c>
      <c r="E193" s="559">
        <f t="shared" si="138"/>
        <v>0</v>
      </c>
      <c r="F193" s="559">
        <f t="shared" si="138"/>
        <v>0</v>
      </c>
      <c r="G193" s="559">
        <f t="shared" si="138"/>
        <v>0</v>
      </c>
      <c r="H193" s="559">
        <f t="shared" si="138"/>
        <v>0</v>
      </c>
      <c r="I193" s="560">
        <f t="shared" si="138"/>
        <v>0</v>
      </c>
      <c r="J193" s="561">
        <f t="shared" si="138"/>
        <v>0</v>
      </c>
      <c r="K193" s="558">
        <f t="shared" si="138"/>
        <v>465</v>
      </c>
      <c r="L193" s="558">
        <f t="shared" si="138"/>
        <v>72</v>
      </c>
      <c r="M193" s="558">
        <f t="shared" si="138"/>
        <v>0</v>
      </c>
      <c r="N193" s="558">
        <f t="shared" si="138"/>
        <v>0</v>
      </c>
      <c r="O193" s="558">
        <f t="shared" si="138"/>
        <v>0</v>
      </c>
      <c r="P193" s="558">
        <f t="shared" si="138"/>
        <v>0</v>
      </c>
      <c r="Q193" s="558">
        <f t="shared" si="138"/>
        <v>0</v>
      </c>
      <c r="R193" s="558">
        <f t="shared" si="138"/>
        <v>0</v>
      </c>
      <c r="S193" s="561">
        <f t="shared" si="138"/>
        <v>537</v>
      </c>
      <c r="T193" s="561">
        <f t="shared" si="138"/>
        <v>537</v>
      </c>
      <c r="U193" s="1104">
        <f t="shared" si="138"/>
        <v>527</v>
      </c>
      <c r="V193" s="560">
        <f t="shared" si="138"/>
        <v>10</v>
      </c>
      <c r="W193" s="561">
        <f t="shared" si="138"/>
        <v>0</v>
      </c>
      <c r="Y193" s="535">
        <f>+'13.mell_ÖNKfeladatok2020'!$I$136-J193</f>
        <v>0</v>
      </c>
      <c r="Z193" s="535">
        <f>+'13.mell_ÖNKfeladatok2020'!$I$298-S193</f>
        <v>0</v>
      </c>
      <c r="AB193" s="262"/>
      <c r="AC193" s="262"/>
      <c r="AD193" s="262"/>
      <c r="AE193" s="262"/>
      <c r="AF193" s="262"/>
      <c r="AG193" s="262"/>
      <c r="AH193" s="262"/>
      <c r="AI193" s="262"/>
      <c r="AJ193" s="262"/>
      <c r="AK193" s="262"/>
      <c r="AL193" s="262"/>
      <c r="AM193" s="262"/>
      <c r="AN193" s="262"/>
      <c r="AO193" s="262"/>
      <c r="AP193" s="262"/>
    </row>
    <row r="194" spans="1:42" s="195" customFormat="1" ht="12.75" thickBot="1">
      <c r="A194" s="522"/>
      <c r="B194" s="573"/>
      <c r="C194" s="562"/>
      <c r="D194" s="563"/>
      <c r="E194" s="563"/>
      <c r="F194" s="563"/>
      <c r="G194" s="563"/>
      <c r="H194" s="563"/>
      <c r="I194" s="564"/>
      <c r="J194" s="565"/>
      <c r="K194" s="574"/>
      <c r="L194" s="574"/>
      <c r="M194" s="574"/>
      <c r="N194" s="574"/>
      <c r="O194" s="574"/>
      <c r="P194" s="574"/>
      <c r="Q194" s="574"/>
      <c r="R194" s="574"/>
      <c r="S194" s="572"/>
      <c r="T194" s="572"/>
      <c r="U194" s="1110"/>
      <c r="V194" s="1088"/>
      <c r="W194" s="572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</row>
    <row r="195" spans="1:42" ht="12.75" thickBot="1">
      <c r="A195" s="825">
        <f>+A191+1</f>
        <v>29</v>
      </c>
      <c r="B195" s="731" t="s">
        <v>860</v>
      </c>
      <c r="C195" s="869">
        <f>+SUMIF('13.mell_ÖNKfeladatok2020'!$B$5:$B$159,'14.mell_Önk kiegészítés2020'!$A195,'13.mell_ÖNKfeladatok2020'!Q$5:Q$159)</f>
        <v>0</v>
      </c>
      <c r="D195" s="869">
        <f>+SUMIF('13.mell_ÖNKfeladatok2020'!$B$5:$B$159,'14.mell_Önk kiegészítés2020'!$A195,'13.mell_ÖNKfeladatok2020'!U$5:U$159)</f>
        <v>0</v>
      </c>
      <c r="E195" s="869">
        <f>+SUMIF('13.mell_ÖNKfeladatok2020'!$B$5:$B$159,'14.mell_Önk kiegészítés2020'!$A195,'13.mell_ÖNKfeladatok2020'!Y$5:Y$159)</f>
        <v>0</v>
      </c>
      <c r="F195" s="869">
        <f>+SUMIF('13.mell_ÖNKfeladatok2020'!$B$5:$B$159,'14.mell_Önk kiegészítés2020'!$A195,'13.mell_ÖNKfeladatok2020'!AC$5:AC$159)</f>
        <v>0</v>
      </c>
      <c r="G195" s="869">
        <f>+SUMIF('13.mell_ÖNKfeladatok2020'!$B$5:$B$159,'14.mell_Önk kiegészítés2020'!$A195,'13.mell_ÖNKfeladatok2020'!AK$5:AK$159)</f>
        <v>0</v>
      </c>
      <c r="H195" s="869">
        <f>+SUMIF('13.mell_ÖNKfeladatok2020'!$B$5:$B$159,'14.mell_Önk kiegészítés2020'!$A195,'13.mell_ÖNKfeladatok2020'!AO$5:AO$159)</f>
        <v>0</v>
      </c>
      <c r="I195" s="869">
        <f>+SUMIF('13.mell_ÖNKfeladatok2020'!$B$5:$B$159,'14.mell_Önk kiegészítés2020'!$A195,'13.mell_ÖNKfeladatok2020'!AS$5:AS$159)</f>
        <v>0</v>
      </c>
      <c r="J195" s="732">
        <f>SUM(C195:I195)</f>
        <v>0</v>
      </c>
      <c r="K195" s="869">
        <f>+SUMIF('13.mell_ÖNKfeladatok2020'!$B$167:$B$321,'14.mell_Önk kiegészítés2020'!$A195,'13.mell_ÖNKfeladatok2020'!Q$167:Q$321)</f>
        <v>0</v>
      </c>
      <c r="L195" s="869">
        <f>+SUMIF('13.mell_ÖNKfeladatok2020'!$B$167:$B$321,'14.mell_Önk kiegészítés2020'!$A195,'13.mell_ÖNKfeladatok2020'!U$167:U$321)</f>
        <v>0</v>
      </c>
      <c r="M195" s="869">
        <f>+SUMIF('13.mell_ÖNKfeladatok2020'!$B$167:$B$321,'14.mell_Önk kiegészítés2020'!$A195,'13.mell_ÖNKfeladatok2020'!Y$167:Y$321)</f>
        <v>0</v>
      </c>
      <c r="N195" s="869">
        <f>+SUMIF('13.mell_ÖNKfeladatok2020'!$B$167:$B$321,'14.mell_Önk kiegészítés2020'!$A195,'13.mell_ÖNKfeladatok2020'!AC$167:AC$321)</f>
        <v>0</v>
      </c>
      <c r="O195" s="869">
        <f>+SUMIF('13.mell_ÖNKfeladatok2020'!$B$167:$B$321,'14.mell_Önk kiegészítés2020'!$A195,'13.mell_ÖNKfeladatok2020'!AG$167:AG$321)</f>
        <v>0</v>
      </c>
      <c r="P195" s="869">
        <f>+SUMIF('13.mell_ÖNKfeladatok2020'!$B$167:$B$321,'14.mell_Önk kiegészítés2020'!$A195,'13.mell_ÖNKfeladatok2020'!AO$167:AO$321)</f>
        <v>0</v>
      </c>
      <c r="Q195" s="869">
        <f>+SUMIF('13.mell_ÖNKfeladatok2020'!$B$167:$B$321,'14.mell_Önk kiegészítés2020'!$A195,'13.mell_ÖNKfeladatok2020'!AS$167:AS$321)</f>
        <v>0</v>
      </c>
      <c r="R195" s="869">
        <f>+SUMIF('13.mell_ÖNKfeladatok2020'!$B$167:$B$321,'14.mell_Önk kiegészítés2020'!$A195,'13.mell_ÖNKfeladatok2020'!AW$167:AW$321)</f>
        <v>0</v>
      </c>
      <c r="S195" s="732">
        <f>SUM(K195:R195)</f>
        <v>0</v>
      </c>
      <c r="T195" s="733">
        <f>S195-J195</f>
        <v>0</v>
      </c>
      <c r="U195" s="1105">
        <f>+ROUND(SUMIF('10.mell_támogatások2020'!$B$6:$B$137,'14.mell_Önk kiegészítés2020'!$A195,'10.mell_támogatások2020'!F$6:F$137)/1000,0)</f>
        <v>0</v>
      </c>
      <c r="V195" s="1083"/>
      <c r="W195" s="733">
        <f>+T195-U195-V195</f>
        <v>0</v>
      </c>
    </row>
    <row r="196" spans="1:42" s="535" customFormat="1" ht="12.75" thickBot="1">
      <c r="A196" s="344" t="s">
        <v>885</v>
      </c>
      <c r="B196" s="494" t="s">
        <v>860</v>
      </c>
      <c r="C196" s="549">
        <f>SUM(C195)</f>
        <v>0</v>
      </c>
      <c r="D196" s="549">
        <f t="shared" ref="D196:W196" si="139">SUM(D195)</f>
        <v>0</v>
      </c>
      <c r="E196" s="549">
        <f t="shared" si="139"/>
        <v>0</v>
      </c>
      <c r="F196" s="549">
        <f t="shared" si="139"/>
        <v>0</v>
      </c>
      <c r="G196" s="549">
        <f t="shared" si="139"/>
        <v>0</v>
      </c>
      <c r="H196" s="549">
        <f t="shared" si="139"/>
        <v>0</v>
      </c>
      <c r="I196" s="549">
        <f t="shared" si="139"/>
        <v>0</v>
      </c>
      <c r="J196" s="552">
        <f t="shared" si="139"/>
        <v>0</v>
      </c>
      <c r="K196" s="549">
        <f t="shared" si="139"/>
        <v>0</v>
      </c>
      <c r="L196" s="549">
        <f t="shared" si="139"/>
        <v>0</v>
      </c>
      <c r="M196" s="549">
        <f t="shared" si="139"/>
        <v>0</v>
      </c>
      <c r="N196" s="549">
        <f t="shared" si="139"/>
        <v>0</v>
      </c>
      <c r="O196" s="549">
        <f t="shared" si="139"/>
        <v>0</v>
      </c>
      <c r="P196" s="549">
        <f t="shared" si="139"/>
        <v>0</v>
      </c>
      <c r="Q196" s="549">
        <f t="shared" si="139"/>
        <v>0</v>
      </c>
      <c r="R196" s="549">
        <f t="shared" si="139"/>
        <v>0</v>
      </c>
      <c r="S196" s="552">
        <f t="shared" si="139"/>
        <v>0</v>
      </c>
      <c r="T196" s="552">
        <f t="shared" si="139"/>
        <v>0</v>
      </c>
      <c r="U196" s="1102">
        <f t="shared" si="139"/>
        <v>0</v>
      </c>
      <c r="V196" s="553">
        <f t="shared" si="139"/>
        <v>0</v>
      </c>
      <c r="W196" s="552">
        <f t="shared" si="139"/>
        <v>0</v>
      </c>
      <c r="AB196" s="262"/>
      <c r="AC196" s="262"/>
      <c r="AD196" s="262"/>
      <c r="AE196" s="262"/>
      <c r="AF196" s="262"/>
      <c r="AG196" s="262"/>
      <c r="AH196" s="262"/>
      <c r="AI196" s="262"/>
      <c r="AJ196" s="262"/>
      <c r="AK196" s="262"/>
      <c r="AL196" s="262"/>
      <c r="AM196" s="262"/>
      <c r="AN196" s="262"/>
      <c r="AO196" s="262"/>
      <c r="AP196" s="262"/>
    </row>
    <row r="197" spans="1:42" ht="12.75" thickBot="1">
      <c r="A197" s="876">
        <f>+A195+1</f>
        <v>30</v>
      </c>
      <c r="B197" s="877" t="s">
        <v>1075</v>
      </c>
      <c r="C197" s="878">
        <f>+SUMIF('13.mell_ÖNKfeladatok2020'!$B$5:$B$159,'14.mell_Önk kiegészítés2020'!$A197,'13.mell_ÖNKfeladatok2020'!Q$5:Q$159)</f>
        <v>0</v>
      </c>
      <c r="D197" s="878">
        <f>+SUMIF('13.mell_ÖNKfeladatok2020'!$B$5:$B$159,'14.mell_Önk kiegészítés2020'!$A197,'13.mell_ÖNKfeladatok2020'!U$5:U$159)</f>
        <v>0</v>
      </c>
      <c r="E197" s="878">
        <f>+SUMIF('13.mell_ÖNKfeladatok2020'!$B$5:$B$159,'14.mell_Önk kiegészítés2020'!$A197,'13.mell_ÖNKfeladatok2020'!Y$5:Y$159)</f>
        <v>0</v>
      </c>
      <c r="F197" s="878">
        <f>+SUMIF('13.mell_ÖNKfeladatok2020'!$B$5:$B$159,'14.mell_Önk kiegészítés2020'!$A197,'13.mell_ÖNKfeladatok2020'!AC$5:AC$159)</f>
        <v>0</v>
      </c>
      <c r="G197" s="878">
        <f>+SUMIF('13.mell_ÖNKfeladatok2020'!$B$5:$B$159,'14.mell_Önk kiegészítés2020'!$A197,'13.mell_ÖNKfeladatok2020'!AK$5:AK$159)</f>
        <v>0</v>
      </c>
      <c r="H197" s="878">
        <f>+SUMIF('13.mell_ÖNKfeladatok2020'!$B$5:$B$159,'14.mell_Önk kiegészítés2020'!$A197,'13.mell_ÖNKfeladatok2020'!AO$5:AO$159)</f>
        <v>0</v>
      </c>
      <c r="I197" s="878">
        <f>+SUMIF('13.mell_ÖNKfeladatok2020'!$B$5:$B$159,'14.mell_Önk kiegészítés2020'!$A197,'13.mell_ÖNKfeladatok2020'!AS$5:AS$159)</f>
        <v>0</v>
      </c>
      <c r="J197" s="879">
        <f>SUM(C197:I197)</f>
        <v>0</v>
      </c>
      <c r="K197" s="878">
        <f>+SUMIF('13.mell_ÖNKfeladatok2020'!$B$167:$B$321,'14.mell_Önk kiegészítés2020'!$A197,'13.mell_ÖNKfeladatok2020'!Q$167:Q$321)</f>
        <v>0</v>
      </c>
      <c r="L197" s="878">
        <f>+SUMIF('13.mell_ÖNKfeladatok2020'!$B$167:$B$321,'14.mell_Önk kiegészítés2020'!$A197,'13.mell_ÖNKfeladatok2020'!U$167:U$321)</f>
        <v>0</v>
      </c>
      <c r="M197" s="878">
        <f>+SUMIF('13.mell_ÖNKfeladatok2020'!$B$167:$B$321,'14.mell_Önk kiegészítés2020'!$A197,'13.mell_ÖNKfeladatok2020'!Y$167:Y$321)</f>
        <v>0</v>
      </c>
      <c r="N197" s="878">
        <f>+SUMIF('13.mell_ÖNKfeladatok2020'!$B$167:$B$321,'14.mell_Önk kiegészítés2020'!$A197,'13.mell_ÖNKfeladatok2020'!AC$167:AC$321)</f>
        <v>0</v>
      </c>
      <c r="O197" s="878">
        <f>+SUMIF('13.mell_ÖNKfeladatok2020'!$B$167:$B$321,'14.mell_Önk kiegészítés2020'!$A197,'13.mell_ÖNKfeladatok2020'!AG$167:AG$321)</f>
        <v>0</v>
      </c>
      <c r="P197" s="878">
        <f>+SUMIF('13.mell_ÖNKfeladatok2020'!$B$167:$B$321,'14.mell_Önk kiegészítés2020'!$A197,'13.mell_ÖNKfeladatok2020'!AO$167:AO$321)</f>
        <v>0</v>
      </c>
      <c r="Q197" s="878">
        <f>+SUMIF('13.mell_ÖNKfeladatok2020'!$B$167:$B$321,'14.mell_Önk kiegészítés2020'!$A197,'13.mell_ÖNKfeladatok2020'!AS$167:AS$321)</f>
        <v>0</v>
      </c>
      <c r="R197" s="878">
        <f>+SUMIF('13.mell_ÖNKfeladatok2020'!$B$167:$B$321,'14.mell_Önk kiegészítés2020'!$A197,'13.mell_ÖNKfeladatok2020'!AW$167:AW$321)</f>
        <v>0</v>
      </c>
      <c r="S197" s="879">
        <f>SUM(K197:R197)</f>
        <v>0</v>
      </c>
      <c r="T197" s="552">
        <f>S197-J197</f>
        <v>0</v>
      </c>
      <c r="U197" s="1108">
        <f>+ROUND(SUMIF('10.mell_támogatások2020'!$B$6:$B$137,'14.mell_Önk kiegészítés2020'!$A197,'10.mell_támogatások2020'!F$6:F$137)/1000,0)</f>
        <v>0</v>
      </c>
      <c r="V197" s="1086"/>
      <c r="W197" s="552">
        <f>+T197-U197-V197</f>
        <v>0</v>
      </c>
    </row>
    <row r="198" spans="1:42" s="535" customFormat="1" ht="12.75" thickBot="1">
      <c r="A198" s="504" t="s">
        <v>886</v>
      </c>
      <c r="B198" s="505" t="s">
        <v>861</v>
      </c>
      <c r="C198" s="549">
        <f>SUM(C197)</f>
        <v>0</v>
      </c>
      <c r="D198" s="549">
        <f t="shared" ref="D198:W198" si="140">SUM(D197)</f>
        <v>0</v>
      </c>
      <c r="E198" s="549">
        <f t="shared" si="140"/>
        <v>0</v>
      </c>
      <c r="F198" s="549">
        <f t="shared" si="140"/>
        <v>0</v>
      </c>
      <c r="G198" s="549">
        <f t="shared" si="140"/>
        <v>0</v>
      </c>
      <c r="H198" s="549">
        <f t="shared" si="140"/>
        <v>0</v>
      </c>
      <c r="I198" s="549">
        <f t="shared" si="140"/>
        <v>0</v>
      </c>
      <c r="J198" s="552">
        <f t="shared" si="140"/>
        <v>0</v>
      </c>
      <c r="K198" s="549">
        <f t="shared" si="140"/>
        <v>0</v>
      </c>
      <c r="L198" s="549">
        <f t="shared" si="140"/>
        <v>0</v>
      </c>
      <c r="M198" s="549">
        <f t="shared" si="140"/>
        <v>0</v>
      </c>
      <c r="N198" s="549">
        <f t="shared" si="140"/>
        <v>0</v>
      </c>
      <c r="O198" s="549">
        <f t="shared" si="140"/>
        <v>0</v>
      </c>
      <c r="P198" s="549">
        <f t="shared" si="140"/>
        <v>0</v>
      </c>
      <c r="Q198" s="549">
        <f t="shared" si="140"/>
        <v>0</v>
      </c>
      <c r="R198" s="549">
        <f t="shared" si="140"/>
        <v>0</v>
      </c>
      <c r="S198" s="552">
        <f t="shared" si="140"/>
        <v>0</v>
      </c>
      <c r="T198" s="552">
        <f t="shared" si="140"/>
        <v>0</v>
      </c>
      <c r="U198" s="1102">
        <f t="shared" si="140"/>
        <v>0</v>
      </c>
      <c r="V198" s="553">
        <f t="shared" si="140"/>
        <v>0</v>
      </c>
      <c r="W198" s="552">
        <f t="shared" si="140"/>
        <v>0</v>
      </c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262"/>
      <c r="AL198" s="262"/>
      <c r="AM198" s="262"/>
      <c r="AN198" s="262"/>
      <c r="AO198" s="262"/>
      <c r="AP198" s="262"/>
    </row>
    <row r="199" spans="1:42" ht="12.75" thickBot="1">
      <c r="A199" s="876">
        <f>+A197+1</f>
        <v>31</v>
      </c>
      <c r="B199" s="877" t="s">
        <v>888</v>
      </c>
      <c r="C199" s="878">
        <f>+SUMIF('13.mell_ÖNKfeladatok2020'!$B$5:$B$159,'14.mell_Önk kiegészítés2020'!$A199,'13.mell_ÖNKfeladatok2020'!Q$5:Q$159)</f>
        <v>0</v>
      </c>
      <c r="D199" s="878">
        <f>+SUMIF('13.mell_ÖNKfeladatok2020'!$B$5:$B$159,'14.mell_Önk kiegészítés2020'!$A199,'13.mell_ÖNKfeladatok2020'!U$5:U$159)</f>
        <v>0</v>
      </c>
      <c r="E199" s="878">
        <f>+SUMIF('13.mell_ÖNKfeladatok2020'!$B$5:$B$159,'14.mell_Önk kiegészítés2020'!$A199,'13.mell_ÖNKfeladatok2020'!Y$5:Y$159)</f>
        <v>0</v>
      </c>
      <c r="F199" s="878">
        <f>+SUMIF('13.mell_ÖNKfeladatok2020'!$B$5:$B$159,'14.mell_Önk kiegészítés2020'!$A199,'13.mell_ÖNKfeladatok2020'!AC$5:AC$159)</f>
        <v>0</v>
      </c>
      <c r="G199" s="878">
        <f>+SUMIF('13.mell_ÖNKfeladatok2020'!$B$5:$B$159,'14.mell_Önk kiegészítés2020'!$A199,'13.mell_ÖNKfeladatok2020'!AK$5:AK$159)</f>
        <v>0</v>
      </c>
      <c r="H199" s="878">
        <f>+SUMIF('13.mell_ÖNKfeladatok2020'!$B$5:$B$159,'14.mell_Önk kiegészítés2020'!$A199,'13.mell_ÖNKfeladatok2020'!AO$5:AO$159)</f>
        <v>0</v>
      </c>
      <c r="I199" s="878">
        <f>+SUMIF('13.mell_ÖNKfeladatok2020'!$B$5:$B$159,'14.mell_Önk kiegészítés2020'!$A199,'13.mell_ÖNKfeladatok2020'!AS$5:AS$159)</f>
        <v>0</v>
      </c>
      <c r="J199" s="879">
        <f>SUM(C199:I199)</f>
        <v>0</v>
      </c>
      <c r="K199" s="878">
        <f>+SUMIF('13.mell_ÖNKfeladatok2020'!$B$167:$B$321,'14.mell_Önk kiegészítés2020'!$A199,'13.mell_ÖNKfeladatok2020'!Q$167:Q$321)</f>
        <v>0</v>
      </c>
      <c r="L199" s="878">
        <f>+SUMIF('13.mell_ÖNKfeladatok2020'!$B$167:$B$321,'14.mell_Önk kiegészítés2020'!$A199,'13.mell_ÖNKfeladatok2020'!U$167:U$321)</f>
        <v>0</v>
      </c>
      <c r="M199" s="878">
        <f>+SUMIF('13.mell_ÖNKfeladatok2020'!$B$167:$B$321,'14.mell_Önk kiegészítés2020'!$A199,'13.mell_ÖNKfeladatok2020'!Y$167:Y$321)</f>
        <v>0</v>
      </c>
      <c r="N199" s="878">
        <f>+SUMIF('13.mell_ÖNKfeladatok2020'!$B$167:$B$321,'14.mell_Önk kiegészítés2020'!$A199,'13.mell_ÖNKfeladatok2020'!AC$167:AC$321)</f>
        <v>0</v>
      </c>
      <c r="O199" s="878">
        <f>+SUMIF('13.mell_ÖNKfeladatok2020'!$B$167:$B$321,'14.mell_Önk kiegészítés2020'!$A199,'13.mell_ÖNKfeladatok2020'!AG$167:AG$321)</f>
        <v>0</v>
      </c>
      <c r="P199" s="878">
        <f>+SUMIF('13.mell_ÖNKfeladatok2020'!$B$167:$B$321,'14.mell_Önk kiegészítés2020'!$A199,'13.mell_ÖNKfeladatok2020'!AO$167:AO$321)</f>
        <v>0</v>
      </c>
      <c r="Q199" s="878">
        <f>+SUMIF('13.mell_ÖNKfeladatok2020'!$B$167:$B$321,'14.mell_Önk kiegészítés2020'!$A199,'13.mell_ÖNKfeladatok2020'!AS$167:AS$321)</f>
        <v>0</v>
      </c>
      <c r="R199" s="878">
        <f>+SUMIF('13.mell_ÖNKfeladatok2020'!$B$167:$B$321,'14.mell_Önk kiegészítés2020'!$A199,'13.mell_ÖNKfeladatok2020'!AW$167:AW$321)</f>
        <v>0</v>
      </c>
      <c r="S199" s="879">
        <f>SUM(K199:R199)</f>
        <v>0</v>
      </c>
      <c r="T199" s="552">
        <f>S199-J199</f>
        <v>0</v>
      </c>
      <c r="U199" s="1108">
        <f>+ROUND(SUMIF('10.mell_támogatások2020'!$B$6:$B$137,'14.mell_Önk kiegészítés2020'!$A199,'10.mell_támogatások2020'!F$6:F$137)/1000,0)</f>
        <v>0</v>
      </c>
      <c r="V199" s="1086"/>
      <c r="W199" s="552">
        <f>+T199-U199-V199</f>
        <v>0</v>
      </c>
    </row>
    <row r="200" spans="1:42" s="535" customFormat="1" ht="12.75" thickBot="1">
      <c r="A200" s="504" t="s">
        <v>887</v>
      </c>
      <c r="B200" s="505" t="s">
        <v>888</v>
      </c>
      <c r="C200" s="549">
        <f>SUM(C199)</f>
        <v>0</v>
      </c>
      <c r="D200" s="549">
        <f t="shared" ref="D200:W200" si="141">SUM(D199)</f>
        <v>0</v>
      </c>
      <c r="E200" s="549">
        <f t="shared" si="141"/>
        <v>0</v>
      </c>
      <c r="F200" s="549">
        <f t="shared" si="141"/>
        <v>0</v>
      </c>
      <c r="G200" s="549">
        <f t="shared" si="141"/>
        <v>0</v>
      </c>
      <c r="H200" s="549">
        <f t="shared" si="141"/>
        <v>0</v>
      </c>
      <c r="I200" s="549">
        <f t="shared" si="141"/>
        <v>0</v>
      </c>
      <c r="J200" s="552">
        <f t="shared" si="141"/>
        <v>0</v>
      </c>
      <c r="K200" s="549">
        <f t="shared" si="141"/>
        <v>0</v>
      </c>
      <c r="L200" s="549">
        <f t="shared" si="141"/>
        <v>0</v>
      </c>
      <c r="M200" s="549">
        <f t="shared" si="141"/>
        <v>0</v>
      </c>
      <c r="N200" s="549">
        <f t="shared" si="141"/>
        <v>0</v>
      </c>
      <c r="O200" s="549">
        <f t="shared" si="141"/>
        <v>0</v>
      </c>
      <c r="P200" s="549">
        <f t="shared" si="141"/>
        <v>0</v>
      </c>
      <c r="Q200" s="549">
        <f t="shared" si="141"/>
        <v>0</v>
      </c>
      <c r="R200" s="549">
        <f t="shared" si="141"/>
        <v>0</v>
      </c>
      <c r="S200" s="552">
        <f t="shared" si="141"/>
        <v>0</v>
      </c>
      <c r="T200" s="552">
        <f t="shared" si="141"/>
        <v>0</v>
      </c>
      <c r="U200" s="1102">
        <f t="shared" si="141"/>
        <v>0</v>
      </c>
      <c r="V200" s="553">
        <f t="shared" si="141"/>
        <v>0</v>
      </c>
      <c r="W200" s="552">
        <f t="shared" si="141"/>
        <v>0</v>
      </c>
      <c r="AB200" s="262"/>
      <c r="AC200" s="262"/>
      <c r="AD200" s="262"/>
      <c r="AE200" s="262"/>
      <c r="AF200" s="262"/>
      <c r="AG200" s="262"/>
      <c r="AH200" s="262"/>
      <c r="AI200" s="262"/>
      <c r="AJ200" s="262"/>
      <c r="AK200" s="262"/>
      <c r="AL200" s="262"/>
      <c r="AM200" s="262"/>
      <c r="AN200" s="262"/>
      <c r="AO200" s="262"/>
      <c r="AP200" s="262"/>
    </row>
    <row r="201" spans="1:42" s="535" customFormat="1" ht="12.75" thickBot="1">
      <c r="A201" s="496" t="s">
        <v>552</v>
      </c>
      <c r="B201" s="508" t="s">
        <v>862</v>
      </c>
      <c r="C201" s="558">
        <f>+C196+C198+C200</f>
        <v>0</v>
      </c>
      <c r="D201" s="558">
        <f t="shared" ref="D201:W201" si="142">+D196+D198+D200</f>
        <v>0</v>
      </c>
      <c r="E201" s="558">
        <f t="shared" si="142"/>
        <v>0</v>
      </c>
      <c r="F201" s="558">
        <f t="shared" si="142"/>
        <v>0</v>
      </c>
      <c r="G201" s="558">
        <f t="shared" si="142"/>
        <v>0</v>
      </c>
      <c r="H201" s="558">
        <f t="shared" si="142"/>
        <v>0</v>
      </c>
      <c r="I201" s="558">
        <f t="shared" si="142"/>
        <v>0</v>
      </c>
      <c r="J201" s="561">
        <f t="shared" si="142"/>
        <v>0</v>
      </c>
      <c r="K201" s="558">
        <f t="shared" si="142"/>
        <v>0</v>
      </c>
      <c r="L201" s="558">
        <f t="shared" si="142"/>
        <v>0</v>
      </c>
      <c r="M201" s="558">
        <f t="shared" si="142"/>
        <v>0</v>
      </c>
      <c r="N201" s="558">
        <f t="shared" si="142"/>
        <v>0</v>
      </c>
      <c r="O201" s="558">
        <f t="shared" si="142"/>
        <v>0</v>
      </c>
      <c r="P201" s="558">
        <f t="shared" si="142"/>
        <v>0</v>
      </c>
      <c r="Q201" s="558">
        <f t="shared" si="142"/>
        <v>0</v>
      </c>
      <c r="R201" s="558">
        <f t="shared" si="142"/>
        <v>0</v>
      </c>
      <c r="S201" s="561">
        <f t="shared" si="142"/>
        <v>0</v>
      </c>
      <c r="T201" s="561">
        <f t="shared" si="142"/>
        <v>0</v>
      </c>
      <c r="U201" s="1104">
        <f t="shared" si="142"/>
        <v>0</v>
      </c>
      <c r="V201" s="560">
        <f t="shared" si="142"/>
        <v>0</v>
      </c>
      <c r="W201" s="561">
        <f t="shared" si="142"/>
        <v>0</v>
      </c>
      <c r="Y201" s="535">
        <f>+'13.mell_ÖNKfeladatok2020'!$I$145-J201</f>
        <v>0</v>
      </c>
      <c r="Z201" s="535">
        <f>+'13.mell_ÖNKfeladatok2020'!$I$307-S201</f>
        <v>0</v>
      </c>
      <c r="AB201" s="262"/>
      <c r="AC201" s="262"/>
      <c r="AD201" s="262"/>
      <c r="AE201" s="262"/>
      <c r="AF201" s="262"/>
      <c r="AG201" s="262"/>
      <c r="AH201" s="262"/>
      <c r="AI201" s="262"/>
      <c r="AJ201" s="262"/>
      <c r="AK201" s="262"/>
      <c r="AL201" s="262"/>
      <c r="AM201" s="262"/>
      <c r="AN201" s="262"/>
      <c r="AO201" s="262"/>
      <c r="AP201" s="262"/>
    </row>
    <row r="202" spans="1:42" s="195" customFormat="1" ht="12.75" thickBot="1">
      <c r="A202" s="522"/>
      <c r="B202" s="573"/>
      <c r="C202" s="562"/>
      <c r="D202" s="563"/>
      <c r="E202" s="563"/>
      <c r="F202" s="563"/>
      <c r="G202" s="563"/>
      <c r="H202" s="563"/>
      <c r="I202" s="564"/>
      <c r="J202" s="565"/>
      <c r="K202" s="574"/>
      <c r="L202" s="574"/>
      <c r="M202" s="574"/>
      <c r="N202" s="574"/>
      <c r="O202" s="574"/>
      <c r="P202" s="574"/>
      <c r="Q202" s="574"/>
      <c r="R202" s="574"/>
      <c r="S202" s="572"/>
      <c r="T202" s="572"/>
      <c r="U202" s="1110"/>
      <c r="V202" s="1088"/>
      <c r="W202" s="572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</row>
    <row r="203" spans="1:42" ht="12.75" thickBot="1">
      <c r="A203" s="825">
        <f>+A199+1</f>
        <v>32</v>
      </c>
      <c r="B203" s="731" t="s">
        <v>1152</v>
      </c>
      <c r="C203" s="869">
        <f>+SUMIF('13.mell_ÖNKfeladatok2020'!$B$5:$B$159,'14.mell_Önk kiegészítés2020'!$A203,'13.mell_ÖNKfeladatok2020'!Q$5:Q$159)</f>
        <v>0</v>
      </c>
      <c r="D203" s="869">
        <f>+SUMIF('13.mell_ÖNKfeladatok2020'!$B$5:$B$159,'14.mell_Önk kiegészítés2020'!$A203,'13.mell_ÖNKfeladatok2020'!U$5:U$159)</f>
        <v>0</v>
      </c>
      <c r="E203" s="869">
        <f>+SUMIF('13.mell_ÖNKfeladatok2020'!$B$5:$B$159,'14.mell_Önk kiegészítés2020'!$A203,'13.mell_ÖNKfeladatok2020'!Y$5:Y$159)</f>
        <v>0</v>
      </c>
      <c r="F203" s="869">
        <f>+SUMIF('13.mell_ÖNKfeladatok2020'!$B$5:$B$159,'14.mell_Önk kiegészítés2020'!$A203,'13.mell_ÖNKfeladatok2020'!AC$5:AC$159)</f>
        <v>0</v>
      </c>
      <c r="G203" s="869">
        <f>+SUMIF('13.mell_ÖNKfeladatok2020'!$B$5:$B$159,'14.mell_Önk kiegészítés2020'!$A203,'13.mell_ÖNKfeladatok2020'!AK$5:AK$159)</f>
        <v>0</v>
      </c>
      <c r="H203" s="869">
        <f>+SUMIF('13.mell_ÖNKfeladatok2020'!$B$5:$B$159,'14.mell_Önk kiegészítés2020'!$A203,'13.mell_ÖNKfeladatok2020'!AO$5:AO$159)</f>
        <v>0</v>
      </c>
      <c r="I203" s="869">
        <f>+SUMIF('13.mell_ÖNKfeladatok2020'!$B$5:$B$159,'14.mell_Önk kiegészítés2020'!$A203,'13.mell_ÖNKfeladatok2020'!AS$5:AS$159)</f>
        <v>0</v>
      </c>
      <c r="J203" s="732">
        <f>SUM(C203:I203)</f>
        <v>0</v>
      </c>
      <c r="K203" s="869">
        <f>+SUMIF('13.mell_ÖNKfeladatok2020'!$B$167:$B$321,'14.mell_Önk kiegészítés2020'!$A203,'13.mell_ÖNKfeladatok2020'!Q$167:Q$321)</f>
        <v>4385</v>
      </c>
      <c r="L203" s="869">
        <f>+SUMIF('13.mell_ÖNKfeladatok2020'!$B$167:$B$321,'14.mell_Önk kiegészítés2020'!$A203,'13.mell_ÖNKfeladatok2020'!U$167:U$321)</f>
        <v>680</v>
      </c>
      <c r="M203" s="869">
        <f>+SUMIF('13.mell_ÖNKfeladatok2020'!$B$167:$B$321,'14.mell_Önk kiegészítés2020'!$A203,'13.mell_ÖNKfeladatok2020'!Y$167:Y$321)</f>
        <v>0</v>
      </c>
      <c r="N203" s="869">
        <f>+SUMIF('13.mell_ÖNKfeladatok2020'!$B$167:$B$321,'14.mell_Önk kiegészítés2020'!$A203,'13.mell_ÖNKfeladatok2020'!AC$167:AC$321)</f>
        <v>0</v>
      </c>
      <c r="O203" s="869">
        <f>+SUMIF('13.mell_ÖNKfeladatok2020'!$B$167:$B$321,'14.mell_Önk kiegészítés2020'!$A203,'13.mell_ÖNKfeladatok2020'!AG$167:AG$321)</f>
        <v>0</v>
      </c>
      <c r="P203" s="869">
        <f>+SUMIF('13.mell_ÖNKfeladatok2020'!$B$167:$B$321,'14.mell_Önk kiegészítés2020'!$A203,'13.mell_ÖNKfeladatok2020'!AO$167:AO$321)</f>
        <v>12598</v>
      </c>
      <c r="Q203" s="869">
        <f>+SUMIF('13.mell_ÖNKfeladatok2020'!$B$167:$B$321,'14.mell_Önk kiegészítés2020'!$A203,'13.mell_ÖNKfeladatok2020'!AS$167:AS$321)</f>
        <v>0</v>
      </c>
      <c r="R203" s="869">
        <f>+SUMIF('13.mell_ÖNKfeladatok2020'!$B$167:$B$321,'14.mell_Önk kiegészítés2020'!$A203,'13.mell_ÖNKfeladatok2020'!AW$167:AW$321)</f>
        <v>0</v>
      </c>
      <c r="S203" s="732">
        <f>SUM(K203:R203)</f>
        <v>17663</v>
      </c>
      <c r="T203" s="733">
        <f>S203-J203</f>
        <v>17663</v>
      </c>
      <c r="U203" s="1105">
        <f>+ROUND(SUMIF('10.mell_támogatások2020'!$B$6:$B$137,'14.mell_Önk kiegészítés2020'!$A203,'10.mell_támogatások2020'!F$6:F$137)/1000,0)+1</f>
        <v>5029</v>
      </c>
      <c r="V203" s="1083">
        <v>36</v>
      </c>
      <c r="W203" s="733">
        <f>+T203-U203-V203</f>
        <v>12598</v>
      </c>
      <c r="AG203" s="262">
        <f>31+5</f>
        <v>36</v>
      </c>
    </row>
    <row r="204" spans="1:42" s="535" customFormat="1" ht="12.75" thickBot="1">
      <c r="A204" s="344" t="s">
        <v>1141</v>
      </c>
      <c r="B204" s="494" t="s">
        <v>1098</v>
      </c>
      <c r="C204" s="549">
        <f t="shared" ref="C204:W204" si="143">SUM(C203)</f>
        <v>0</v>
      </c>
      <c r="D204" s="549">
        <f t="shared" si="143"/>
        <v>0</v>
      </c>
      <c r="E204" s="549">
        <f t="shared" si="143"/>
        <v>0</v>
      </c>
      <c r="F204" s="549">
        <f t="shared" si="143"/>
        <v>0</v>
      </c>
      <c r="G204" s="549">
        <f t="shared" si="143"/>
        <v>0</v>
      </c>
      <c r="H204" s="549">
        <f t="shared" si="143"/>
        <v>0</v>
      </c>
      <c r="I204" s="549">
        <f t="shared" si="143"/>
        <v>0</v>
      </c>
      <c r="J204" s="552">
        <f t="shared" si="143"/>
        <v>0</v>
      </c>
      <c r="K204" s="549">
        <f t="shared" si="143"/>
        <v>4385</v>
      </c>
      <c r="L204" s="549">
        <f t="shared" si="143"/>
        <v>680</v>
      </c>
      <c r="M204" s="549">
        <f t="shared" si="143"/>
        <v>0</v>
      </c>
      <c r="N204" s="549">
        <f t="shared" si="143"/>
        <v>0</v>
      </c>
      <c r="O204" s="549">
        <f t="shared" si="143"/>
        <v>0</v>
      </c>
      <c r="P204" s="549">
        <f t="shared" si="143"/>
        <v>12598</v>
      </c>
      <c r="Q204" s="549">
        <f t="shared" si="143"/>
        <v>0</v>
      </c>
      <c r="R204" s="549">
        <f t="shared" si="143"/>
        <v>0</v>
      </c>
      <c r="S204" s="552">
        <f t="shared" si="143"/>
        <v>17663</v>
      </c>
      <c r="T204" s="552">
        <f t="shared" si="143"/>
        <v>17663</v>
      </c>
      <c r="U204" s="1102">
        <f t="shared" si="143"/>
        <v>5029</v>
      </c>
      <c r="V204" s="553">
        <f t="shared" si="143"/>
        <v>36</v>
      </c>
      <c r="W204" s="552">
        <f t="shared" si="143"/>
        <v>12598</v>
      </c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</row>
    <row r="205" spans="1:42" ht="12.75" thickBot="1">
      <c r="A205" s="876">
        <f>+A203+1</f>
        <v>33</v>
      </c>
      <c r="B205" s="877" t="s">
        <v>1100</v>
      </c>
      <c r="C205" s="878">
        <f>+SUMIF('13.mell_ÖNKfeladatok2020'!$B$5:$B$159,'14.mell_Önk kiegészítés2020'!$A205,'13.mell_ÖNKfeladatok2020'!Q$5:Q$159)</f>
        <v>0</v>
      </c>
      <c r="D205" s="878">
        <f>+SUMIF('13.mell_ÖNKfeladatok2020'!$B$5:$B$159,'14.mell_Önk kiegészítés2020'!$A205,'13.mell_ÖNKfeladatok2020'!U$5:U$159)</f>
        <v>0</v>
      </c>
      <c r="E205" s="878">
        <f>+SUMIF('13.mell_ÖNKfeladatok2020'!$B$5:$B$159,'14.mell_Önk kiegészítés2020'!$A205,'13.mell_ÖNKfeladatok2020'!Y$5:Y$159)</f>
        <v>0</v>
      </c>
      <c r="F205" s="878">
        <f>+SUMIF('13.mell_ÖNKfeladatok2020'!$B$5:$B$159,'14.mell_Önk kiegészítés2020'!$A205,'13.mell_ÖNKfeladatok2020'!AC$5:AC$159)</f>
        <v>0</v>
      </c>
      <c r="G205" s="878">
        <f>+SUMIF('13.mell_ÖNKfeladatok2020'!$B$5:$B$159,'14.mell_Önk kiegészítés2020'!$A205,'13.mell_ÖNKfeladatok2020'!AK$5:AK$159)</f>
        <v>0</v>
      </c>
      <c r="H205" s="878">
        <f>+SUMIF('13.mell_ÖNKfeladatok2020'!$B$5:$B$159,'14.mell_Önk kiegészítés2020'!$A205,'13.mell_ÖNKfeladatok2020'!AO$5:AO$159)</f>
        <v>0</v>
      </c>
      <c r="I205" s="878">
        <f>+SUMIF('13.mell_ÖNKfeladatok2020'!$B$5:$B$159,'14.mell_Önk kiegészítés2020'!$A205,'13.mell_ÖNKfeladatok2020'!AS$5:AS$159)</f>
        <v>0</v>
      </c>
      <c r="J205" s="879">
        <f>SUM(C205:I205)</f>
        <v>0</v>
      </c>
      <c r="K205" s="878">
        <f>+SUMIF('13.mell_ÖNKfeladatok2020'!$B$167:$B$321,'14.mell_Önk kiegészítés2020'!$A205,'13.mell_ÖNKfeladatok2020'!Q$167:Q$321)</f>
        <v>0</v>
      </c>
      <c r="L205" s="878">
        <f>+SUMIF('13.mell_ÖNKfeladatok2020'!$B$167:$B$321,'14.mell_Önk kiegészítés2020'!$A205,'13.mell_ÖNKfeladatok2020'!U$167:U$321)</f>
        <v>0</v>
      </c>
      <c r="M205" s="878">
        <f>+SUMIF('13.mell_ÖNKfeladatok2020'!$B$167:$B$321,'14.mell_Önk kiegészítés2020'!$A205,'13.mell_ÖNKfeladatok2020'!Y$167:Y$321)</f>
        <v>0</v>
      </c>
      <c r="N205" s="878">
        <f>+SUMIF('13.mell_ÖNKfeladatok2020'!$B$167:$B$321,'14.mell_Önk kiegészítés2020'!$A205,'13.mell_ÖNKfeladatok2020'!AC$167:AC$321)</f>
        <v>0</v>
      </c>
      <c r="O205" s="878">
        <f>+SUMIF('13.mell_ÖNKfeladatok2020'!$B$167:$B$321,'14.mell_Önk kiegészítés2020'!$A205,'13.mell_ÖNKfeladatok2020'!AG$167:AG$321)</f>
        <v>0</v>
      </c>
      <c r="P205" s="878">
        <f>+SUMIF('13.mell_ÖNKfeladatok2020'!$B$167:$B$321,'14.mell_Önk kiegészítés2020'!$A205,'13.mell_ÖNKfeladatok2020'!AO$167:AO$321)</f>
        <v>0</v>
      </c>
      <c r="Q205" s="878">
        <f>+SUMIF('13.mell_ÖNKfeladatok2020'!$B$167:$B$321,'14.mell_Önk kiegészítés2020'!$A205,'13.mell_ÖNKfeladatok2020'!AS$167:AS$321)</f>
        <v>0</v>
      </c>
      <c r="R205" s="878">
        <f>+SUMIF('13.mell_ÖNKfeladatok2020'!$B$167:$B$321,'14.mell_Önk kiegészítés2020'!$A205,'13.mell_ÖNKfeladatok2020'!AW$167:AW$321)</f>
        <v>0</v>
      </c>
      <c r="S205" s="879">
        <f>SUM(K205:R205)</f>
        <v>0</v>
      </c>
      <c r="T205" s="552">
        <f>S205-J205</f>
        <v>0</v>
      </c>
      <c r="U205" s="1108">
        <f>+ROUND(SUMIF('10.mell_támogatások2020'!$B$6:$B$137,'14.mell_Önk kiegészítés2020'!$A205,'10.mell_támogatások2020'!F$6:F$137)/1000,0)</f>
        <v>0</v>
      </c>
      <c r="V205" s="1086"/>
      <c r="W205" s="552">
        <f>+T205-U205-V205</f>
        <v>0</v>
      </c>
    </row>
    <row r="206" spans="1:42" s="535" customFormat="1" ht="12.75" thickBot="1">
      <c r="A206" s="504" t="s">
        <v>1142</v>
      </c>
      <c r="B206" s="505" t="s">
        <v>1099</v>
      </c>
      <c r="C206" s="549">
        <f t="shared" ref="C206:W206" si="144">SUM(C205)</f>
        <v>0</v>
      </c>
      <c r="D206" s="549">
        <f t="shared" si="144"/>
        <v>0</v>
      </c>
      <c r="E206" s="549">
        <f t="shared" si="144"/>
        <v>0</v>
      </c>
      <c r="F206" s="549">
        <f t="shared" si="144"/>
        <v>0</v>
      </c>
      <c r="G206" s="549">
        <f t="shared" si="144"/>
        <v>0</v>
      </c>
      <c r="H206" s="549">
        <f t="shared" si="144"/>
        <v>0</v>
      </c>
      <c r="I206" s="549">
        <f t="shared" si="144"/>
        <v>0</v>
      </c>
      <c r="J206" s="552">
        <f t="shared" si="144"/>
        <v>0</v>
      </c>
      <c r="K206" s="549">
        <f t="shared" si="144"/>
        <v>0</v>
      </c>
      <c r="L206" s="549">
        <f t="shared" si="144"/>
        <v>0</v>
      </c>
      <c r="M206" s="549">
        <f t="shared" si="144"/>
        <v>0</v>
      </c>
      <c r="N206" s="549">
        <f t="shared" si="144"/>
        <v>0</v>
      </c>
      <c r="O206" s="549">
        <f t="shared" si="144"/>
        <v>0</v>
      </c>
      <c r="P206" s="549">
        <f t="shared" si="144"/>
        <v>0</v>
      </c>
      <c r="Q206" s="549">
        <f t="shared" si="144"/>
        <v>0</v>
      </c>
      <c r="R206" s="549">
        <f t="shared" si="144"/>
        <v>0</v>
      </c>
      <c r="S206" s="552">
        <f t="shared" si="144"/>
        <v>0</v>
      </c>
      <c r="T206" s="552">
        <f t="shared" si="144"/>
        <v>0</v>
      </c>
      <c r="U206" s="1102">
        <f t="shared" si="144"/>
        <v>0</v>
      </c>
      <c r="V206" s="553">
        <f t="shared" si="144"/>
        <v>0</v>
      </c>
      <c r="W206" s="552">
        <f t="shared" si="144"/>
        <v>0</v>
      </c>
      <c r="AB206" s="262"/>
      <c r="AC206" s="262"/>
      <c r="AD206" s="262"/>
      <c r="AE206" s="262"/>
      <c r="AF206" s="262"/>
      <c r="AG206" s="262"/>
      <c r="AH206" s="262"/>
      <c r="AI206" s="262"/>
      <c r="AJ206" s="262"/>
      <c r="AK206" s="262"/>
      <c r="AL206" s="262"/>
      <c r="AM206" s="262"/>
      <c r="AN206" s="262"/>
      <c r="AO206" s="262"/>
      <c r="AP206" s="262"/>
    </row>
    <row r="207" spans="1:42" ht="12.75" thickBot="1">
      <c r="A207" s="876">
        <f>+A205+1</f>
        <v>34</v>
      </c>
      <c r="B207" s="877" t="s">
        <v>1100</v>
      </c>
      <c r="C207" s="878">
        <f>+SUMIF('13.mell_ÖNKfeladatok2020'!$B$5:$B$159,'14.mell_Önk kiegészítés2020'!$A207,'13.mell_ÖNKfeladatok2020'!Q$5:Q$159)</f>
        <v>0</v>
      </c>
      <c r="D207" s="878">
        <f>+SUMIF('13.mell_ÖNKfeladatok2020'!$B$5:$B$159,'14.mell_Önk kiegészítés2020'!$A207,'13.mell_ÖNKfeladatok2020'!U$5:U$159)</f>
        <v>0</v>
      </c>
      <c r="E207" s="878">
        <f>+SUMIF('13.mell_ÖNKfeladatok2020'!$B$5:$B$159,'14.mell_Önk kiegészítés2020'!$A207,'13.mell_ÖNKfeladatok2020'!Y$5:Y$159)</f>
        <v>0</v>
      </c>
      <c r="F207" s="878">
        <f>+SUMIF('13.mell_ÖNKfeladatok2020'!$B$5:$B$159,'14.mell_Önk kiegészítés2020'!$A207,'13.mell_ÖNKfeladatok2020'!AC$5:AC$159)</f>
        <v>0</v>
      </c>
      <c r="G207" s="878">
        <f>+SUMIF('13.mell_ÖNKfeladatok2020'!$B$5:$B$159,'14.mell_Önk kiegészítés2020'!$A207,'13.mell_ÖNKfeladatok2020'!AK$5:AK$159)</f>
        <v>0</v>
      </c>
      <c r="H207" s="878">
        <f>+SUMIF('13.mell_ÖNKfeladatok2020'!$B$5:$B$159,'14.mell_Önk kiegészítés2020'!$A207,'13.mell_ÖNKfeladatok2020'!AO$5:AO$159)</f>
        <v>0</v>
      </c>
      <c r="I207" s="878">
        <f>+SUMIF('13.mell_ÖNKfeladatok2020'!$B$5:$B$159,'14.mell_Önk kiegészítés2020'!$A207,'13.mell_ÖNKfeladatok2020'!AS$5:AS$159)</f>
        <v>0</v>
      </c>
      <c r="J207" s="879">
        <f>SUM(C207:I207)</f>
        <v>0</v>
      </c>
      <c r="K207" s="878">
        <f>+SUMIF('13.mell_ÖNKfeladatok2020'!$B$167:$B$321,'14.mell_Önk kiegészítés2020'!$A207,'13.mell_ÖNKfeladatok2020'!Q$167:Q$321)</f>
        <v>0</v>
      </c>
      <c r="L207" s="878">
        <f>+SUMIF('13.mell_ÖNKfeladatok2020'!$B$167:$B$321,'14.mell_Önk kiegészítés2020'!$A207,'13.mell_ÖNKfeladatok2020'!U$167:U$321)</f>
        <v>0</v>
      </c>
      <c r="M207" s="878">
        <f>+SUMIF('13.mell_ÖNKfeladatok2020'!$B$167:$B$321,'14.mell_Önk kiegészítés2020'!$A207,'13.mell_ÖNKfeladatok2020'!Y$167:Y$321)</f>
        <v>0</v>
      </c>
      <c r="N207" s="878">
        <f>+SUMIF('13.mell_ÖNKfeladatok2020'!$B$167:$B$321,'14.mell_Önk kiegészítés2020'!$A207,'13.mell_ÖNKfeladatok2020'!AC$167:AC$321)</f>
        <v>0</v>
      </c>
      <c r="O207" s="878">
        <f>+SUMIF('13.mell_ÖNKfeladatok2020'!$B$167:$B$321,'14.mell_Önk kiegészítés2020'!$A207,'13.mell_ÖNKfeladatok2020'!AG$167:AG$321)</f>
        <v>0</v>
      </c>
      <c r="P207" s="878">
        <f>+SUMIF('13.mell_ÖNKfeladatok2020'!$B$167:$B$321,'14.mell_Önk kiegészítés2020'!$A207,'13.mell_ÖNKfeladatok2020'!AO$167:AO$321)</f>
        <v>0</v>
      </c>
      <c r="Q207" s="878">
        <f>+SUMIF('13.mell_ÖNKfeladatok2020'!$B$167:$B$321,'14.mell_Önk kiegészítés2020'!$A207,'13.mell_ÖNKfeladatok2020'!AS$167:AS$321)</f>
        <v>0</v>
      </c>
      <c r="R207" s="878">
        <f>+SUMIF('13.mell_ÖNKfeladatok2020'!$B$167:$B$321,'14.mell_Önk kiegészítés2020'!$A207,'13.mell_ÖNKfeladatok2020'!AW$167:AW$321)</f>
        <v>0</v>
      </c>
      <c r="S207" s="879">
        <f>SUM(K207:R207)</f>
        <v>0</v>
      </c>
      <c r="T207" s="552">
        <f>S207-J207</f>
        <v>0</v>
      </c>
      <c r="U207" s="1108">
        <f>+ROUND(SUMIF('10.mell_támogatások2020'!$B$6:$B$137,'14.mell_Önk kiegészítés2020'!$A207,'10.mell_támogatások2020'!F$6:F$137)/1000,0)</f>
        <v>0</v>
      </c>
      <c r="V207" s="1086"/>
      <c r="W207" s="552">
        <f>+T207-U207-V207</f>
        <v>0</v>
      </c>
    </row>
    <row r="208" spans="1:42" s="535" customFormat="1" ht="24.75" thickBot="1">
      <c r="A208" s="504" t="s">
        <v>1143</v>
      </c>
      <c r="B208" s="505" t="s">
        <v>1100</v>
      </c>
      <c r="C208" s="549">
        <f t="shared" ref="C208:W208" si="145">SUM(C207)</f>
        <v>0</v>
      </c>
      <c r="D208" s="549">
        <f t="shared" si="145"/>
        <v>0</v>
      </c>
      <c r="E208" s="549">
        <f t="shared" si="145"/>
        <v>0</v>
      </c>
      <c r="F208" s="549">
        <f t="shared" si="145"/>
        <v>0</v>
      </c>
      <c r="G208" s="549">
        <f t="shared" si="145"/>
        <v>0</v>
      </c>
      <c r="H208" s="549">
        <f t="shared" si="145"/>
        <v>0</v>
      </c>
      <c r="I208" s="549">
        <f t="shared" si="145"/>
        <v>0</v>
      </c>
      <c r="J208" s="552">
        <f t="shared" si="145"/>
        <v>0</v>
      </c>
      <c r="K208" s="549">
        <f t="shared" si="145"/>
        <v>0</v>
      </c>
      <c r="L208" s="549">
        <f t="shared" si="145"/>
        <v>0</v>
      </c>
      <c r="M208" s="549">
        <f t="shared" si="145"/>
        <v>0</v>
      </c>
      <c r="N208" s="549">
        <f t="shared" si="145"/>
        <v>0</v>
      </c>
      <c r="O208" s="549">
        <f t="shared" si="145"/>
        <v>0</v>
      </c>
      <c r="P208" s="549">
        <f t="shared" si="145"/>
        <v>0</v>
      </c>
      <c r="Q208" s="549">
        <f t="shared" si="145"/>
        <v>0</v>
      </c>
      <c r="R208" s="549">
        <f t="shared" si="145"/>
        <v>0</v>
      </c>
      <c r="S208" s="552">
        <f t="shared" si="145"/>
        <v>0</v>
      </c>
      <c r="T208" s="552">
        <f t="shared" si="145"/>
        <v>0</v>
      </c>
      <c r="U208" s="1102">
        <f t="shared" si="145"/>
        <v>0</v>
      </c>
      <c r="V208" s="553">
        <f t="shared" si="145"/>
        <v>0</v>
      </c>
      <c r="W208" s="552">
        <f t="shared" si="145"/>
        <v>0</v>
      </c>
      <c r="AB208" s="262"/>
      <c r="AC208" s="262"/>
      <c r="AD208" s="262"/>
      <c r="AE208" s="262"/>
      <c r="AF208" s="262"/>
      <c r="AG208" s="262"/>
      <c r="AH208" s="262"/>
      <c r="AI208" s="262"/>
      <c r="AJ208" s="262"/>
      <c r="AK208" s="262"/>
      <c r="AL208" s="262"/>
      <c r="AM208" s="262"/>
      <c r="AN208" s="262"/>
      <c r="AO208" s="262"/>
      <c r="AP208" s="262"/>
    </row>
    <row r="209" spans="1:42" s="535" customFormat="1" ht="12.75" thickBot="1">
      <c r="A209" s="496" t="s">
        <v>42</v>
      </c>
      <c r="B209" s="508" t="s">
        <v>1101</v>
      </c>
      <c r="C209" s="558">
        <f t="shared" ref="C209:W209" si="146">+C204+C206+C208</f>
        <v>0</v>
      </c>
      <c r="D209" s="558">
        <f t="shared" si="146"/>
        <v>0</v>
      </c>
      <c r="E209" s="558">
        <f t="shared" si="146"/>
        <v>0</v>
      </c>
      <c r="F209" s="558">
        <f t="shared" si="146"/>
        <v>0</v>
      </c>
      <c r="G209" s="558">
        <f t="shared" si="146"/>
        <v>0</v>
      </c>
      <c r="H209" s="558">
        <f t="shared" si="146"/>
        <v>0</v>
      </c>
      <c r="I209" s="558">
        <f t="shared" si="146"/>
        <v>0</v>
      </c>
      <c r="J209" s="561">
        <f t="shared" si="146"/>
        <v>0</v>
      </c>
      <c r="K209" s="558">
        <f t="shared" si="146"/>
        <v>4385</v>
      </c>
      <c r="L209" s="558">
        <f t="shared" si="146"/>
        <v>680</v>
      </c>
      <c r="M209" s="558">
        <f t="shared" si="146"/>
        <v>0</v>
      </c>
      <c r="N209" s="558">
        <f t="shared" si="146"/>
        <v>0</v>
      </c>
      <c r="O209" s="558">
        <f t="shared" si="146"/>
        <v>0</v>
      </c>
      <c r="P209" s="558">
        <f t="shared" si="146"/>
        <v>12598</v>
      </c>
      <c r="Q209" s="558">
        <f t="shared" si="146"/>
        <v>0</v>
      </c>
      <c r="R209" s="558">
        <f t="shared" si="146"/>
        <v>0</v>
      </c>
      <c r="S209" s="561">
        <f t="shared" si="146"/>
        <v>17663</v>
      </c>
      <c r="T209" s="561">
        <f t="shared" si="146"/>
        <v>17663</v>
      </c>
      <c r="U209" s="1104">
        <f t="shared" si="146"/>
        <v>5029</v>
      </c>
      <c r="V209" s="560">
        <f t="shared" si="146"/>
        <v>36</v>
      </c>
      <c r="W209" s="561">
        <f t="shared" si="146"/>
        <v>12598</v>
      </c>
      <c r="Y209" s="535">
        <f>+'13.mell_ÖNKfeladatok2020'!$I$157-J209</f>
        <v>0</v>
      </c>
      <c r="Z209" s="535">
        <f>+'13.mell_ÖNKfeladatok2020'!$I$319-S209</f>
        <v>0</v>
      </c>
      <c r="AB209" s="262"/>
      <c r="AC209" s="262"/>
      <c r="AD209" s="262"/>
      <c r="AE209" s="262"/>
      <c r="AF209" s="262"/>
      <c r="AG209" s="262"/>
      <c r="AH209" s="262"/>
      <c r="AI209" s="262"/>
      <c r="AJ209" s="262"/>
      <c r="AK209" s="262"/>
      <c r="AL209" s="262"/>
      <c r="AM209" s="262"/>
      <c r="AN209" s="262"/>
      <c r="AO209" s="262"/>
      <c r="AP209" s="262"/>
    </row>
    <row r="210" spans="1:42" s="195" customFormat="1" ht="12.75" thickBot="1">
      <c r="A210" s="522"/>
      <c r="B210" s="573"/>
      <c r="C210" s="562"/>
      <c r="D210" s="563"/>
      <c r="E210" s="563"/>
      <c r="F210" s="563"/>
      <c r="G210" s="563"/>
      <c r="H210" s="563"/>
      <c r="I210" s="564"/>
      <c r="J210" s="565"/>
      <c r="K210" s="574"/>
      <c r="L210" s="574"/>
      <c r="M210" s="574"/>
      <c r="N210" s="574"/>
      <c r="O210" s="574"/>
      <c r="P210" s="574"/>
      <c r="Q210" s="574"/>
      <c r="R210" s="574"/>
      <c r="S210" s="572"/>
      <c r="T210" s="572"/>
      <c r="U210" s="1110"/>
      <c r="V210" s="1088"/>
      <c r="W210" s="572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</row>
    <row r="211" spans="1:42" s="535" customFormat="1" ht="12.75" thickBot="1">
      <c r="A211" s="556" t="s">
        <v>41</v>
      </c>
      <c r="B211" s="557" t="s">
        <v>769</v>
      </c>
      <c r="C211" s="558">
        <f t="shared" ref="C211:W211" si="147">+C161+C173+C183+C193+C201+C209</f>
        <v>20604</v>
      </c>
      <c r="D211" s="558">
        <f t="shared" si="147"/>
        <v>0</v>
      </c>
      <c r="E211" s="558">
        <f t="shared" si="147"/>
        <v>0</v>
      </c>
      <c r="F211" s="558">
        <f t="shared" si="147"/>
        <v>0</v>
      </c>
      <c r="G211" s="558">
        <f t="shared" si="147"/>
        <v>0</v>
      </c>
      <c r="H211" s="558">
        <f t="shared" si="147"/>
        <v>0</v>
      </c>
      <c r="I211" s="558">
        <f t="shared" si="147"/>
        <v>0</v>
      </c>
      <c r="J211" s="561">
        <f t="shared" si="147"/>
        <v>20604</v>
      </c>
      <c r="K211" s="575">
        <f t="shared" si="147"/>
        <v>5506</v>
      </c>
      <c r="L211" s="575">
        <f t="shared" si="147"/>
        <v>818</v>
      </c>
      <c r="M211" s="575">
        <f t="shared" si="147"/>
        <v>13320</v>
      </c>
      <c r="N211" s="575">
        <f t="shared" si="147"/>
        <v>0</v>
      </c>
      <c r="O211" s="575">
        <f t="shared" si="147"/>
        <v>-34740</v>
      </c>
      <c r="P211" s="575">
        <f t="shared" si="147"/>
        <v>16538</v>
      </c>
      <c r="Q211" s="575">
        <f t="shared" si="147"/>
        <v>0</v>
      </c>
      <c r="R211" s="575">
        <f t="shared" si="147"/>
        <v>19162</v>
      </c>
      <c r="S211" s="576">
        <f t="shared" si="147"/>
        <v>20604</v>
      </c>
      <c r="T211" s="576">
        <f t="shared" si="147"/>
        <v>0</v>
      </c>
      <c r="U211" s="1111">
        <f t="shared" si="147"/>
        <v>0</v>
      </c>
      <c r="V211" s="1089">
        <f t="shared" si="147"/>
        <v>0</v>
      </c>
      <c r="W211" s="576">
        <f t="shared" si="147"/>
        <v>0</v>
      </c>
      <c r="AB211" s="262"/>
      <c r="AC211" s="262"/>
      <c r="AD211" s="262"/>
      <c r="AE211" s="262"/>
      <c r="AF211" s="262"/>
      <c r="AG211" s="262"/>
      <c r="AH211" s="262"/>
      <c r="AI211" s="262"/>
      <c r="AJ211" s="262"/>
      <c r="AK211" s="262"/>
      <c r="AL211" s="262"/>
      <c r="AM211" s="262"/>
      <c r="AN211" s="262"/>
      <c r="AO211" s="262"/>
      <c r="AP211" s="262"/>
    </row>
    <row r="212" spans="1:42" s="535" customFormat="1" ht="12.75" thickBot="1">
      <c r="A212" s="586" t="s">
        <v>37</v>
      </c>
      <c r="B212" s="578" t="s">
        <v>770</v>
      </c>
      <c r="C212" s="579"/>
      <c r="D212" s="579"/>
      <c r="E212" s="579"/>
      <c r="F212" s="579">
        <f>+'1.mell._Össz_Mérleg2020'!$E$71</f>
        <v>0</v>
      </c>
      <c r="G212" s="579"/>
      <c r="H212" s="579"/>
      <c r="I212" s="579">
        <f>+'1.mell._Össz_Mérleg2020'!$E$86</f>
        <v>0</v>
      </c>
      <c r="J212" s="585">
        <f>SUM(C212:I212)</f>
        <v>0</v>
      </c>
      <c r="K212" s="579"/>
      <c r="L212" s="579"/>
      <c r="M212" s="579"/>
      <c r="N212" s="579"/>
      <c r="O212" s="579">
        <f>+'1.mell._Össz_Mérleg2020'!$E$177</f>
        <v>0</v>
      </c>
      <c r="P212" s="579"/>
      <c r="Q212" s="579"/>
      <c r="R212" s="579">
        <f>+'1.mell._Össz_Mérleg2020'!$E$192</f>
        <v>0</v>
      </c>
      <c r="S212" s="585">
        <f>SUM(K212:R212)</f>
        <v>0</v>
      </c>
      <c r="T212" s="580">
        <f>S212-J212</f>
        <v>0</v>
      </c>
      <c r="U212" s="1112"/>
      <c r="V212" s="1090"/>
      <c r="W212" s="580">
        <f>+T212-U212-V212</f>
        <v>0</v>
      </c>
      <c r="AB212" s="262"/>
      <c r="AC212" s="262"/>
      <c r="AD212" s="262"/>
      <c r="AE212" s="262"/>
      <c r="AF212" s="262"/>
      <c r="AG212" s="262"/>
      <c r="AH212" s="262"/>
      <c r="AI212" s="262"/>
      <c r="AJ212" s="262"/>
      <c r="AK212" s="262"/>
      <c r="AL212" s="262"/>
      <c r="AM212" s="262"/>
      <c r="AN212" s="262"/>
      <c r="AO212" s="262"/>
      <c r="AP212" s="262"/>
    </row>
    <row r="213" spans="1:42" s="195" customFormat="1" ht="12.75" thickBot="1">
      <c r="A213" s="556" t="s">
        <v>1146</v>
      </c>
      <c r="B213" s="557" t="s">
        <v>771</v>
      </c>
      <c r="C213" s="558">
        <f>+C211+C212</f>
        <v>20604</v>
      </c>
      <c r="D213" s="558">
        <f t="shared" ref="D213:I213" si="148">+D211+D212</f>
        <v>0</v>
      </c>
      <c r="E213" s="558">
        <f t="shared" si="148"/>
        <v>0</v>
      </c>
      <c r="F213" s="558">
        <f t="shared" si="148"/>
        <v>0</v>
      </c>
      <c r="G213" s="558">
        <f t="shared" si="148"/>
        <v>0</v>
      </c>
      <c r="H213" s="558">
        <f t="shared" si="148"/>
        <v>0</v>
      </c>
      <c r="I213" s="558">
        <f t="shared" si="148"/>
        <v>0</v>
      </c>
      <c r="J213" s="561">
        <f>+J211+J212</f>
        <v>20604</v>
      </c>
      <c r="K213" s="558">
        <f t="shared" ref="K213:W213" si="149">+K211+K212</f>
        <v>5506</v>
      </c>
      <c r="L213" s="558">
        <f t="shared" si="149"/>
        <v>818</v>
      </c>
      <c r="M213" s="558">
        <f t="shared" si="149"/>
        <v>13320</v>
      </c>
      <c r="N213" s="558">
        <f t="shared" si="149"/>
        <v>0</v>
      </c>
      <c r="O213" s="558">
        <f t="shared" si="149"/>
        <v>-34740</v>
      </c>
      <c r="P213" s="558">
        <f t="shared" si="149"/>
        <v>16538</v>
      </c>
      <c r="Q213" s="558">
        <f t="shared" si="149"/>
        <v>0</v>
      </c>
      <c r="R213" s="558">
        <f t="shared" si="149"/>
        <v>19162</v>
      </c>
      <c r="S213" s="561">
        <f t="shared" si="149"/>
        <v>20604</v>
      </c>
      <c r="T213" s="561">
        <f t="shared" si="149"/>
        <v>0</v>
      </c>
      <c r="U213" s="1104">
        <f t="shared" si="149"/>
        <v>0</v>
      </c>
      <c r="V213" s="560">
        <f t="shared" si="149"/>
        <v>0</v>
      </c>
      <c r="W213" s="561">
        <f t="shared" si="149"/>
        <v>0</v>
      </c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</row>
    <row r="214" spans="1:42" s="535" customFormat="1" ht="11.25" customHeight="1">
      <c r="A214" s="587"/>
      <c r="B214" s="577"/>
      <c r="C214" s="577"/>
      <c r="D214" s="577"/>
      <c r="E214" s="577"/>
      <c r="F214" s="577"/>
      <c r="G214" s="577"/>
      <c r="H214" s="577"/>
      <c r="I214" s="577"/>
      <c r="J214" s="577"/>
      <c r="K214" s="577"/>
      <c r="L214" s="577"/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77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</row>
    <row r="215" spans="1:42" ht="12.75" thickBot="1">
      <c r="W215" s="239" t="s">
        <v>457</v>
      </c>
    </row>
    <row r="216" spans="1:42" s="538" customFormat="1" ht="72.75" thickBot="1">
      <c r="A216" s="881" t="s">
        <v>17</v>
      </c>
      <c r="B216" s="469" t="s">
        <v>1659</v>
      </c>
      <c r="C216" s="882" t="s">
        <v>762</v>
      </c>
      <c r="D216" s="355" t="s">
        <v>524</v>
      </c>
      <c r="E216" s="355" t="s">
        <v>763</v>
      </c>
      <c r="F216" s="355" t="s">
        <v>1147</v>
      </c>
      <c r="G216" s="355" t="s">
        <v>531</v>
      </c>
      <c r="H216" s="355" t="s">
        <v>532</v>
      </c>
      <c r="I216" s="354" t="s">
        <v>1148</v>
      </c>
      <c r="J216" s="297" t="s">
        <v>523</v>
      </c>
      <c r="K216" s="882" t="s">
        <v>46</v>
      </c>
      <c r="L216" s="355" t="s">
        <v>446</v>
      </c>
      <c r="M216" s="355" t="s">
        <v>447</v>
      </c>
      <c r="N216" s="355" t="s">
        <v>765</v>
      </c>
      <c r="O216" s="355" t="s">
        <v>1149</v>
      </c>
      <c r="P216" s="355" t="s">
        <v>450</v>
      </c>
      <c r="Q216" s="355" t="s">
        <v>451</v>
      </c>
      <c r="R216" s="292" t="s">
        <v>1150</v>
      </c>
      <c r="S216" s="297" t="s">
        <v>526</v>
      </c>
      <c r="T216" s="537" t="s">
        <v>755</v>
      </c>
      <c r="U216" s="1099" t="s">
        <v>1552</v>
      </c>
      <c r="V216" s="1079" t="s">
        <v>1551</v>
      </c>
      <c r="W216" s="537" t="s">
        <v>756</v>
      </c>
      <c r="AB216" s="965" t="s">
        <v>1157</v>
      </c>
      <c r="AC216" s="538" t="s">
        <v>1068</v>
      </c>
      <c r="AD216" s="538" t="s">
        <v>1043</v>
      </c>
      <c r="AE216" s="538" t="s">
        <v>1222</v>
      </c>
      <c r="AF216" s="538" t="s">
        <v>1155</v>
      </c>
      <c r="AG216" s="538" t="s">
        <v>1154</v>
      </c>
      <c r="AH216" s="538" t="s">
        <v>1153</v>
      </c>
      <c r="AI216" s="964" t="s">
        <v>1158</v>
      </c>
      <c r="AJ216" s="538" t="s">
        <v>1223</v>
      </c>
    </row>
    <row r="217" spans="1:42">
      <c r="A217" s="825">
        <v>1</v>
      </c>
      <c r="B217" s="731" t="s">
        <v>414</v>
      </c>
      <c r="C217" s="540">
        <f>+SUMIF('13.mell_ÖNKfeladatok2020'!$B$5:$B$159,'14.mell_Önk kiegészítés2020'!$A217,'13.mell_ÖNKfeladatok2020'!R$5:R$159)</f>
        <v>0</v>
      </c>
      <c r="D217" s="540">
        <f>+SUMIF('13.mell_ÖNKfeladatok2020'!$B$5:$B$159,'14.mell_Önk kiegészítés2020'!$A217,'13.mell_ÖNKfeladatok2020'!V$5:V$159)</f>
        <v>0</v>
      </c>
      <c r="E217" s="540">
        <f>+SUMIF('13.mell_ÖNKfeladatok2020'!$B$5:$B$159,'14.mell_Önk kiegészítés2020'!$A217,'13.mell_ÖNKfeladatok2020'!Z$5:Z$159)</f>
        <v>0</v>
      </c>
      <c r="F217" s="540">
        <f>+SUMIF('13.mell_ÖNKfeladatok2020'!$B$5:$B$159,'14.mell_Önk kiegészítés2020'!$A217,'13.mell_ÖNKfeladatok2020'!AD$5:AD$159)</f>
        <v>0</v>
      </c>
      <c r="G217" s="540">
        <f>+SUMIF('13.mell_ÖNKfeladatok2020'!$B$5:$B$159,'14.mell_Önk kiegészítés2020'!$A217,'13.mell_ÖNKfeladatok2020'!AL$5:AL$159)</f>
        <v>0</v>
      </c>
      <c r="H217" s="540">
        <f>+SUMIF('13.mell_ÖNKfeladatok2020'!$B$5:$B$159,'14.mell_Önk kiegészítés2020'!$A217,'13.mell_ÖNKfeladatok2020'!AP$5:AP$159)</f>
        <v>0</v>
      </c>
      <c r="I217" s="540">
        <f>+SUMIF('13.mell_ÖNKfeladatok2020'!$B$5:$B$159,'14.mell_Önk kiegészítés2020'!$A217,'13.mell_ÖNKfeladatok2020'!AT$5:AT$159)</f>
        <v>0</v>
      </c>
      <c r="J217" s="732">
        <f>SUM(C217:I217)</f>
        <v>0</v>
      </c>
      <c r="K217" s="540">
        <f>+SUMIF('13.mell_ÖNKfeladatok2020'!$B$167:$B$321,'14.mell_Önk kiegészítés2020'!$A217,'13.mell_ÖNKfeladatok2020'!R$167:R$321)</f>
        <v>43051.999999999993</v>
      </c>
      <c r="L217" s="540">
        <f>+SUMIF('13.mell_ÖNKfeladatok2020'!$B$167:$B$321,'14.mell_Önk kiegészítés2020'!$A217,'13.mell_ÖNKfeladatok2020'!V$167:V$321)</f>
        <v>6719</v>
      </c>
      <c r="M217" s="540">
        <f>+SUMIF('13.mell_ÖNKfeladatok2020'!$B$167:$B$321,'14.mell_Önk kiegészítés2020'!$A217,'13.mell_ÖNKfeladatok2020'!Z$167:Z$321)</f>
        <v>658</v>
      </c>
      <c r="N217" s="540">
        <f>+SUMIF('13.mell_ÖNKfeladatok2020'!$B$167:$B$321,'14.mell_Önk kiegészítés2020'!$A217,'13.mell_ÖNKfeladatok2020'!AD$167:AD$321)</f>
        <v>0</v>
      </c>
      <c r="O217" s="540">
        <f>+SUMIF('13.mell_ÖNKfeladatok2020'!$B$167:$B$321,'14.mell_Önk kiegészítés2020'!$A217,'13.mell_ÖNKfeladatok2020'!AH$167:AH$321)</f>
        <v>0</v>
      </c>
      <c r="P217" s="540">
        <f>+SUMIF('13.mell_ÖNKfeladatok2020'!$B$167:$B$321,'14.mell_Önk kiegészítés2020'!$A217,'13.mell_ÖNKfeladatok2020'!AP$167:AP$321)</f>
        <v>0</v>
      </c>
      <c r="Q217" s="540">
        <f>+SUMIF('13.mell_ÖNKfeladatok2020'!$B$167:$B$321,'14.mell_Önk kiegészítés2020'!$A217,'13.mell_ÖNKfeladatok2020'!AT$167:AT$321)</f>
        <v>0</v>
      </c>
      <c r="R217" s="540">
        <f>+SUMIF('13.mell_ÖNKfeladatok2020'!$B$167:$B$321,'14.mell_Önk kiegészítés2020'!$A217,'13.mell_ÖNKfeladatok2020'!AX$167:AX$321)</f>
        <v>0</v>
      </c>
      <c r="S217" s="732">
        <f>SUM(K217:R217)</f>
        <v>50428.999999999993</v>
      </c>
      <c r="T217" s="733">
        <f>S217-J217</f>
        <v>50428.999999999993</v>
      </c>
      <c r="U217" s="540">
        <f>+ROUND(SUMIF('10.mell_támogatások2020'!$B$6:$B$137,'14.mell_Önk kiegészítés2020'!$A217,'10.mell_támogatások2020'!G$6:G$137)/1000,0)</f>
        <v>1794</v>
      </c>
      <c r="V217" s="540"/>
      <c r="W217" s="733">
        <f>+T217-U217-V217</f>
        <v>48634.999999999993</v>
      </c>
      <c r="AA217" s="262">
        <f>+W77+W147-W217</f>
        <v>0</v>
      </c>
    </row>
    <row r="218" spans="1:42">
      <c r="A218" s="826">
        <f>+A217+1</f>
        <v>2</v>
      </c>
      <c r="B218" s="539" t="s">
        <v>649</v>
      </c>
      <c r="C218" s="540">
        <f>+SUMIF('13.mell_ÖNKfeladatok2020'!$B$5:$B$159,'14.mell_Önk kiegészítés2020'!$A218,'13.mell_ÖNKfeladatok2020'!R$5:R$159)</f>
        <v>0</v>
      </c>
      <c r="D218" s="540">
        <f>+SUMIF('13.mell_ÖNKfeladatok2020'!$B$5:$B$159,'14.mell_Önk kiegészítés2020'!$A218,'13.mell_ÖNKfeladatok2020'!V$5:V$159)</f>
        <v>0</v>
      </c>
      <c r="E218" s="540">
        <f>+SUMIF('13.mell_ÖNKfeladatok2020'!$B$5:$B$159,'14.mell_Önk kiegészítés2020'!$A218,'13.mell_ÖNKfeladatok2020'!Z$5:Z$159)</f>
        <v>1500</v>
      </c>
      <c r="F218" s="540">
        <f>+SUMIF('13.mell_ÖNKfeladatok2020'!$B$5:$B$159,'14.mell_Önk kiegészítés2020'!$A218,'13.mell_ÖNKfeladatok2020'!AD$5:AD$159)</f>
        <v>0</v>
      </c>
      <c r="G218" s="540">
        <f>+SUMIF('13.mell_ÖNKfeladatok2020'!$B$5:$B$159,'14.mell_Önk kiegészítés2020'!$A218,'13.mell_ÖNKfeladatok2020'!AL$5:AL$159)</f>
        <v>0</v>
      </c>
      <c r="H218" s="540">
        <f>+SUMIF('13.mell_ÖNKfeladatok2020'!$B$5:$B$159,'14.mell_Önk kiegészítés2020'!$A218,'13.mell_ÖNKfeladatok2020'!AP$5:AP$159)</f>
        <v>0</v>
      </c>
      <c r="I218" s="540">
        <f>+SUMIF('13.mell_ÖNKfeladatok2020'!$B$5:$B$159,'14.mell_Önk kiegészítés2020'!$A218,'13.mell_ÖNKfeladatok2020'!AT$5:AT$159)</f>
        <v>0</v>
      </c>
      <c r="J218" s="581">
        <f>SUM(C218:I218)</f>
        <v>1500</v>
      </c>
      <c r="K218" s="540">
        <f>+SUMIF('13.mell_ÖNKfeladatok2020'!$B$167:$B$321,'14.mell_Önk kiegészítés2020'!$A218,'13.mell_ÖNKfeladatok2020'!R$167:R$321)</f>
        <v>0</v>
      </c>
      <c r="L218" s="540">
        <f>+SUMIF('13.mell_ÖNKfeladatok2020'!$B$167:$B$321,'14.mell_Önk kiegészítés2020'!$A218,'13.mell_ÖNKfeladatok2020'!V$167:V$321)</f>
        <v>0</v>
      </c>
      <c r="M218" s="540">
        <f>+SUMIF('13.mell_ÖNKfeladatok2020'!$B$167:$B$321,'14.mell_Önk kiegészítés2020'!$A218,'13.mell_ÖNKfeladatok2020'!Z$167:Z$321)</f>
        <v>2319</v>
      </c>
      <c r="N218" s="540">
        <f>+SUMIF('13.mell_ÖNKfeladatok2020'!$B$167:$B$321,'14.mell_Önk kiegészítés2020'!$A218,'13.mell_ÖNKfeladatok2020'!AD$167:AD$321)</f>
        <v>0</v>
      </c>
      <c r="O218" s="540">
        <f>+SUMIF('13.mell_ÖNKfeladatok2020'!$B$167:$B$321,'14.mell_Önk kiegészítés2020'!$A218,'13.mell_ÖNKfeladatok2020'!AH$167:AH$321)</f>
        <v>0</v>
      </c>
      <c r="P218" s="540">
        <f>+SUMIF('13.mell_ÖNKfeladatok2020'!$B$167:$B$321,'14.mell_Önk kiegészítés2020'!$A218,'13.mell_ÖNKfeladatok2020'!AP$167:AP$321)</f>
        <v>7000</v>
      </c>
      <c r="Q218" s="540">
        <f>+SUMIF('13.mell_ÖNKfeladatok2020'!$B$167:$B$321,'14.mell_Önk kiegészítés2020'!$A218,'13.mell_ÖNKfeladatok2020'!AT$167:AT$321)</f>
        <v>0</v>
      </c>
      <c r="R218" s="540">
        <f>+SUMIF('13.mell_ÖNKfeladatok2020'!$B$167:$B$321,'14.mell_Önk kiegészítés2020'!$A218,'13.mell_ÖNKfeladatok2020'!AX$167:AX$321)</f>
        <v>0</v>
      </c>
      <c r="S218" s="581">
        <f t="shared" ref="S218:S224" si="150">SUM(K218:R218)</f>
        <v>9319</v>
      </c>
      <c r="T218" s="541">
        <f>S218-J218</f>
        <v>7819</v>
      </c>
      <c r="U218" s="1100">
        <f>+ROUND(SUMIF('10.mell_támogatások2020'!$B$6:$B$137,'14.mell_Önk kiegészítés2020'!$A218,'10.mell_támogatások2020'!G$6:G$137)/1000,0)</f>
        <v>3460</v>
      </c>
      <c r="V218" s="1080"/>
      <c r="W218" s="541">
        <f t="shared" ref="W218:W224" si="151">+T218-U218-V218</f>
        <v>4359</v>
      </c>
      <c r="AA218" s="262">
        <f t="shared" ref="AA218:AA281" si="152">+W78+W148-W218</f>
        <v>0</v>
      </c>
    </row>
    <row r="219" spans="1:42">
      <c r="A219" s="826">
        <f>+A218+1</f>
        <v>3</v>
      </c>
      <c r="B219" s="542" t="s">
        <v>644</v>
      </c>
      <c r="C219" s="543">
        <f>+SUMIF('13.mell_ÖNKfeladatok2020'!$B$5:$B$159,'14.mell_Önk kiegészítés2020'!$A219,'13.mell_ÖNKfeladatok2020'!R$5:R$159)</f>
        <v>0</v>
      </c>
      <c r="D219" s="543">
        <f>+SUMIF('13.mell_ÖNKfeladatok2020'!$B$5:$B$159,'14.mell_Önk kiegészítés2020'!$A219,'13.mell_ÖNKfeladatok2020'!V$5:V$159)</f>
        <v>0</v>
      </c>
      <c r="E219" s="543">
        <f>+SUMIF('13.mell_ÖNKfeladatok2020'!$B$5:$B$159,'14.mell_Önk kiegészítés2020'!$A219,'13.mell_ÖNKfeladatok2020'!Z$5:Z$159)</f>
        <v>0</v>
      </c>
      <c r="F219" s="543">
        <f>+SUMIF('13.mell_ÖNKfeladatok2020'!$B$5:$B$159,'14.mell_Önk kiegészítés2020'!$A219,'13.mell_ÖNKfeladatok2020'!AD$5:AD$159)</f>
        <v>0</v>
      </c>
      <c r="G219" s="540">
        <f>+SUMIF('13.mell_ÖNKfeladatok2020'!$B$5:$B$159,'14.mell_Önk kiegészítés2020'!$A219,'13.mell_ÖNKfeladatok2020'!AL$5:AL$159)</f>
        <v>0</v>
      </c>
      <c r="H219" s="543">
        <f>+SUMIF('13.mell_ÖNKfeladatok2020'!$B$5:$B$159,'14.mell_Önk kiegészítés2020'!$A219,'13.mell_ÖNKfeladatok2020'!AP$5:AP$159)</f>
        <v>0</v>
      </c>
      <c r="I219" s="543">
        <f>+SUMIF('13.mell_ÖNKfeladatok2020'!$B$5:$B$159,'14.mell_Önk kiegészítés2020'!$A219,'13.mell_ÖNKfeladatok2020'!AT$5:AT$159)</f>
        <v>0</v>
      </c>
      <c r="J219" s="582">
        <f t="shared" ref="J219:J229" si="153">SUM(C219:I219)</f>
        <v>0</v>
      </c>
      <c r="K219" s="543">
        <f>+SUMIF('13.mell_ÖNKfeladatok2020'!$B$167:$B$321,'14.mell_Önk kiegészítés2020'!$A219,'13.mell_ÖNKfeladatok2020'!R$167:R$321)</f>
        <v>0</v>
      </c>
      <c r="L219" s="543">
        <f>+SUMIF('13.mell_ÖNKfeladatok2020'!$B$167:$B$321,'14.mell_Önk kiegészítés2020'!$A219,'13.mell_ÖNKfeladatok2020'!V$167:V$321)</f>
        <v>0</v>
      </c>
      <c r="M219" s="543">
        <f>+SUMIF('13.mell_ÖNKfeladatok2020'!$B$167:$B$321,'14.mell_Önk kiegészítés2020'!$A219,'13.mell_ÖNKfeladatok2020'!Z$167:Z$321)</f>
        <v>25000</v>
      </c>
      <c r="N219" s="543">
        <f>+SUMIF('13.mell_ÖNKfeladatok2020'!$B$167:$B$321,'14.mell_Önk kiegészítés2020'!$A219,'13.mell_ÖNKfeladatok2020'!AD$167:AD$321)</f>
        <v>0</v>
      </c>
      <c r="O219" s="543">
        <f>+SUMIF('13.mell_ÖNKfeladatok2020'!$B$167:$B$321,'14.mell_Önk kiegészítés2020'!$A219,'13.mell_ÖNKfeladatok2020'!AH$167:AH$321)</f>
        <v>0</v>
      </c>
      <c r="P219" s="543">
        <f>+SUMIF('13.mell_ÖNKfeladatok2020'!$B$167:$B$321,'14.mell_Önk kiegészítés2020'!$A219,'13.mell_ÖNKfeladatok2020'!AP$167:AP$321)</f>
        <v>0</v>
      </c>
      <c r="Q219" s="543">
        <f>+SUMIF('13.mell_ÖNKfeladatok2020'!$B$167:$B$321,'14.mell_Önk kiegészítés2020'!$A219,'13.mell_ÖNKfeladatok2020'!AT$167:AT$321)</f>
        <v>0</v>
      </c>
      <c r="R219" s="543">
        <f>+SUMIF('13.mell_ÖNKfeladatok2020'!$B$167:$B$321,'14.mell_Önk kiegészítés2020'!$A219,'13.mell_ÖNKfeladatok2020'!AX$167:AX$321)</f>
        <v>0</v>
      </c>
      <c r="S219" s="582">
        <f t="shared" si="150"/>
        <v>25000</v>
      </c>
      <c r="T219" s="544">
        <f t="shared" ref="T219:T229" si="154">S219-J219</f>
        <v>25000</v>
      </c>
      <c r="U219" s="1100">
        <f>+ROUND(SUMIF('10.mell_támogatások2020'!$B$6:$B$137,'14.mell_Önk kiegészítés2020'!$A219,'10.mell_támogatások2020'!G$6:G$137)/1000,0)</f>
        <v>26600</v>
      </c>
      <c r="V219" s="1080"/>
      <c r="W219" s="544">
        <f t="shared" si="151"/>
        <v>-1600</v>
      </c>
      <c r="AA219" s="262">
        <f t="shared" si="152"/>
        <v>0</v>
      </c>
    </row>
    <row r="220" spans="1:42">
      <c r="A220" s="826">
        <f>+A219+1</f>
        <v>4</v>
      </c>
      <c r="B220" s="542" t="s">
        <v>646</v>
      </c>
      <c r="C220" s="543">
        <f>+SUMIF('13.mell_ÖNKfeladatok2020'!$B$5:$B$159,'14.mell_Önk kiegészítés2020'!$A220,'13.mell_ÖNKfeladatok2020'!R$5:R$159)</f>
        <v>0</v>
      </c>
      <c r="D220" s="543">
        <f>+SUMIF('13.mell_ÖNKfeladatok2020'!$B$5:$B$159,'14.mell_Önk kiegészítés2020'!$A220,'13.mell_ÖNKfeladatok2020'!V$5:V$159)</f>
        <v>0</v>
      </c>
      <c r="E220" s="543">
        <f>+SUMIF('13.mell_ÖNKfeladatok2020'!$B$5:$B$159,'14.mell_Önk kiegészítés2020'!$A220,'13.mell_ÖNKfeladatok2020'!Z$5:Z$159)</f>
        <v>0</v>
      </c>
      <c r="F220" s="543">
        <f>+SUMIF('13.mell_ÖNKfeladatok2020'!$B$5:$B$159,'14.mell_Önk kiegészítés2020'!$A220,'13.mell_ÖNKfeladatok2020'!AD$5:AD$159)</f>
        <v>0</v>
      </c>
      <c r="G220" s="540">
        <f>+SUMIF('13.mell_ÖNKfeladatok2020'!$B$5:$B$159,'14.mell_Önk kiegészítés2020'!$A220,'13.mell_ÖNKfeladatok2020'!AL$5:AL$159)</f>
        <v>0</v>
      </c>
      <c r="H220" s="543">
        <f>+SUMIF('13.mell_ÖNKfeladatok2020'!$B$5:$B$159,'14.mell_Önk kiegészítés2020'!$A220,'13.mell_ÖNKfeladatok2020'!AP$5:AP$159)</f>
        <v>0</v>
      </c>
      <c r="I220" s="543">
        <f>+SUMIF('13.mell_ÖNKfeladatok2020'!$B$5:$B$159,'14.mell_Önk kiegészítés2020'!$A220,'13.mell_ÖNKfeladatok2020'!AT$5:AT$159)</f>
        <v>0</v>
      </c>
      <c r="J220" s="582">
        <f t="shared" si="153"/>
        <v>0</v>
      </c>
      <c r="K220" s="543">
        <f>+SUMIF('13.mell_ÖNKfeladatok2020'!$B$167:$B$321,'14.mell_Önk kiegészítés2020'!$A220,'13.mell_ÖNKfeladatok2020'!R$167:R$321)</f>
        <v>0</v>
      </c>
      <c r="L220" s="543">
        <f>+SUMIF('13.mell_ÖNKfeladatok2020'!$B$167:$B$321,'14.mell_Önk kiegészítés2020'!$A220,'13.mell_ÖNKfeladatok2020'!V$167:V$321)</f>
        <v>0</v>
      </c>
      <c r="M220" s="543">
        <f>+SUMIF('13.mell_ÖNKfeladatok2020'!$B$167:$B$321,'14.mell_Önk kiegészítés2020'!$A220,'13.mell_ÖNKfeladatok2020'!Z$167:Z$321)</f>
        <v>13381</v>
      </c>
      <c r="N220" s="543">
        <f>+SUMIF('13.mell_ÖNKfeladatok2020'!$B$167:$B$321,'14.mell_Önk kiegészítés2020'!$A220,'13.mell_ÖNKfeladatok2020'!AD$167:AD$321)</f>
        <v>0</v>
      </c>
      <c r="O220" s="543">
        <f>+SUMIF('13.mell_ÖNKfeladatok2020'!$B$167:$B$321,'14.mell_Önk kiegészítés2020'!$A220,'13.mell_ÖNKfeladatok2020'!AH$167:AH$321)</f>
        <v>0</v>
      </c>
      <c r="P220" s="543">
        <f>+SUMIF('13.mell_ÖNKfeladatok2020'!$B$167:$B$321,'14.mell_Önk kiegészítés2020'!$A220,'13.mell_ÖNKfeladatok2020'!AP$167:AP$321)</f>
        <v>0</v>
      </c>
      <c r="Q220" s="543">
        <f>+SUMIF('13.mell_ÖNKfeladatok2020'!$B$167:$B$321,'14.mell_Önk kiegészítés2020'!$A220,'13.mell_ÖNKfeladatok2020'!AT$167:AT$321)</f>
        <v>0</v>
      </c>
      <c r="R220" s="543">
        <f>+SUMIF('13.mell_ÖNKfeladatok2020'!$B$167:$B$321,'14.mell_Önk kiegészítés2020'!$A220,'13.mell_ÖNKfeladatok2020'!AX$167:AX$321)</f>
        <v>0</v>
      </c>
      <c r="S220" s="582">
        <f t="shared" si="150"/>
        <v>13381</v>
      </c>
      <c r="T220" s="544">
        <f t="shared" si="154"/>
        <v>13381</v>
      </c>
      <c r="U220" s="1100">
        <f>+ROUND(SUMIF('10.mell_támogatások2020'!$B$6:$B$137,'14.mell_Önk kiegészítés2020'!$A220,'10.mell_támogatások2020'!G$6:G$137)/1000,0)</f>
        <v>15266</v>
      </c>
      <c r="V220" s="1080">
        <v>13930</v>
      </c>
      <c r="W220" s="544">
        <f t="shared" si="151"/>
        <v>-15815</v>
      </c>
      <c r="AA220" s="262">
        <f t="shared" si="152"/>
        <v>0</v>
      </c>
      <c r="AI220" s="262">
        <v>13930</v>
      </c>
    </row>
    <row r="221" spans="1:42">
      <c r="A221" s="826">
        <f>+A220+1</f>
        <v>5</v>
      </c>
      <c r="B221" s="542" t="s">
        <v>643</v>
      </c>
      <c r="C221" s="543">
        <f>+SUMIF('13.mell_ÖNKfeladatok2020'!$B$5:$B$159,'14.mell_Önk kiegészítés2020'!$A221,'13.mell_ÖNKfeladatok2020'!R$5:R$159)</f>
        <v>0</v>
      </c>
      <c r="D221" s="543">
        <f>+SUMIF('13.mell_ÖNKfeladatok2020'!$B$5:$B$159,'14.mell_Önk kiegészítés2020'!$A221,'13.mell_ÖNKfeladatok2020'!V$5:V$159)</f>
        <v>0</v>
      </c>
      <c r="E221" s="543">
        <f>+SUMIF('13.mell_ÖNKfeladatok2020'!$B$5:$B$159,'14.mell_Önk kiegészítés2020'!$A221,'13.mell_ÖNKfeladatok2020'!Z$5:Z$159)</f>
        <v>0</v>
      </c>
      <c r="F221" s="543">
        <f>+SUMIF('13.mell_ÖNKfeladatok2020'!$B$5:$B$159,'14.mell_Önk kiegészítés2020'!$A221,'13.mell_ÖNKfeladatok2020'!AD$5:AD$159)</f>
        <v>0</v>
      </c>
      <c r="G221" s="540">
        <f>+SUMIF('13.mell_ÖNKfeladatok2020'!$B$5:$B$159,'14.mell_Önk kiegészítés2020'!$A221,'13.mell_ÖNKfeladatok2020'!AL$5:AL$159)</f>
        <v>0</v>
      </c>
      <c r="H221" s="543">
        <f>+SUMIF('13.mell_ÖNKfeladatok2020'!$B$5:$B$159,'14.mell_Önk kiegészítés2020'!$A221,'13.mell_ÖNKfeladatok2020'!AP$5:AP$159)</f>
        <v>0</v>
      </c>
      <c r="I221" s="543">
        <f>+SUMIF('13.mell_ÖNKfeladatok2020'!$B$5:$B$159,'14.mell_Önk kiegészítés2020'!$A221,'13.mell_ÖNKfeladatok2020'!AT$5:AT$159)</f>
        <v>0</v>
      </c>
      <c r="J221" s="582">
        <f>SUM(C221:I221)</f>
        <v>0</v>
      </c>
      <c r="K221" s="543">
        <f>+SUMIF('13.mell_ÖNKfeladatok2020'!$B$167:$B$321,'14.mell_Önk kiegészítés2020'!$A221,'13.mell_ÖNKfeladatok2020'!R$167:R$321)</f>
        <v>0</v>
      </c>
      <c r="L221" s="543">
        <f>+SUMIF('13.mell_ÖNKfeladatok2020'!$B$167:$B$321,'14.mell_Önk kiegészítés2020'!$A221,'13.mell_ÖNKfeladatok2020'!V$167:V$321)</f>
        <v>0</v>
      </c>
      <c r="M221" s="543">
        <f>+SUMIF('13.mell_ÖNKfeladatok2020'!$B$167:$B$321,'14.mell_Önk kiegészítés2020'!$A221,'13.mell_ÖNKfeladatok2020'!Z$167:Z$321)</f>
        <v>11899</v>
      </c>
      <c r="N221" s="543">
        <f>+SUMIF('13.mell_ÖNKfeladatok2020'!$B$167:$B$321,'14.mell_Önk kiegészítés2020'!$A221,'13.mell_ÖNKfeladatok2020'!AD$167:AD$321)</f>
        <v>0</v>
      </c>
      <c r="O221" s="543">
        <f>+SUMIF('13.mell_ÖNKfeladatok2020'!$B$167:$B$321,'14.mell_Önk kiegészítés2020'!$A221,'13.mell_ÖNKfeladatok2020'!AH$167:AH$321)</f>
        <v>0</v>
      </c>
      <c r="P221" s="543">
        <f>+SUMIF('13.mell_ÖNKfeladatok2020'!$B$167:$B$321,'14.mell_Önk kiegészítés2020'!$A221,'13.mell_ÖNKfeladatok2020'!AP$167:AP$321)</f>
        <v>0</v>
      </c>
      <c r="Q221" s="543">
        <f>+SUMIF('13.mell_ÖNKfeladatok2020'!$B$167:$B$321,'14.mell_Önk kiegészítés2020'!$A221,'13.mell_ÖNKfeladatok2020'!AT$167:AT$321)</f>
        <v>61258</v>
      </c>
      <c r="R221" s="543">
        <f>+SUMIF('13.mell_ÖNKfeladatok2020'!$B$167:$B$321,'14.mell_Önk kiegészítés2020'!$A221,'13.mell_ÖNKfeladatok2020'!AX$167:AX$321)</f>
        <v>0</v>
      </c>
      <c r="S221" s="582">
        <f>SUM(K221:R221)</f>
        <v>73157</v>
      </c>
      <c r="T221" s="544">
        <f>S221-J221</f>
        <v>73157</v>
      </c>
      <c r="U221" s="1100">
        <f>+ROUND(SUMIF('10.mell_támogatások2020'!$B$6:$B$137,'14.mell_Önk kiegészítés2020'!$A221,'10.mell_támogatások2020'!G$6:G$137)/1000,0)</f>
        <v>14918</v>
      </c>
      <c r="V221" s="1080"/>
      <c r="W221" s="544">
        <f t="shared" si="151"/>
        <v>58239</v>
      </c>
      <c r="AA221" s="262">
        <f t="shared" si="152"/>
        <v>0</v>
      </c>
    </row>
    <row r="222" spans="1:42">
      <c r="A222" s="826">
        <f>+A221+1</f>
        <v>6</v>
      </c>
      <c r="B222" s="542" t="s">
        <v>1496</v>
      </c>
      <c r="C222" s="543">
        <f>+SUMIF('13.mell_ÖNKfeladatok2020'!$B$5:$B$159,'14.mell_Önk kiegészítés2020'!$A222,'13.mell_ÖNKfeladatok2020'!R$5:R$159)</f>
        <v>0</v>
      </c>
      <c r="D222" s="543">
        <f>+SUMIF('13.mell_ÖNKfeladatok2020'!$B$5:$B$159,'14.mell_Önk kiegészítés2020'!$A222,'13.mell_ÖNKfeladatok2020'!V$5:V$159)</f>
        <v>0</v>
      </c>
      <c r="E222" s="543">
        <f>+SUMIF('13.mell_ÖNKfeladatok2020'!$B$5:$B$159,'14.mell_Önk kiegészítés2020'!$A222,'13.mell_ÖNKfeladatok2020'!Z$5:Z$159)</f>
        <v>0</v>
      </c>
      <c r="F222" s="543">
        <f>+SUMIF('13.mell_ÖNKfeladatok2020'!$B$5:$B$159,'14.mell_Önk kiegészítés2020'!$A222,'13.mell_ÖNKfeladatok2020'!AD$5:AD$159)</f>
        <v>0</v>
      </c>
      <c r="G222" s="540">
        <f>+SUMIF('13.mell_ÖNKfeladatok2020'!$B$5:$B$159,'14.mell_Önk kiegészítés2020'!$A222,'13.mell_ÖNKfeladatok2020'!AL$5:AL$159)</f>
        <v>0</v>
      </c>
      <c r="H222" s="543">
        <f>+SUMIF('13.mell_ÖNKfeladatok2020'!$B$5:$B$159,'14.mell_Önk kiegészítés2020'!$A222,'13.mell_ÖNKfeladatok2020'!AP$5:AP$159)</f>
        <v>0</v>
      </c>
      <c r="I222" s="543">
        <f>+SUMIF('13.mell_ÖNKfeladatok2020'!$B$5:$B$159,'14.mell_Önk kiegészítés2020'!$A222,'13.mell_ÖNKfeladatok2020'!AT$5:AT$159)</f>
        <v>0</v>
      </c>
      <c r="J222" s="582">
        <f t="shared" si="153"/>
        <v>0</v>
      </c>
      <c r="K222" s="543">
        <f>+SUMIF('13.mell_ÖNKfeladatok2020'!$B$167:$B$321,'14.mell_Önk kiegészítés2020'!$A222,'13.mell_ÖNKfeladatok2020'!R$167:R$321)</f>
        <v>0</v>
      </c>
      <c r="L222" s="543">
        <f>+SUMIF('13.mell_ÖNKfeladatok2020'!$B$167:$B$321,'14.mell_Önk kiegészítés2020'!$A222,'13.mell_ÖNKfeladatok2020'!V$167:V$321)</f>
        <v>0</v>
      </c>
      <c r="M222" s="543">
        <f>+SUMIF('13.mell_ÖNKfeladatok2020'!$B$167:$B$321,'14.mell_Önk kiegészítés2020'!$A222,'13.mell_ÖNKfeladatok2020'!Z$167:Z$321)</f>
        <v>0</v>
      </c>
      <c r="N222" s="543">
        <f>+SUMIF('13.mell_ÖNKfeladatok2020'!$B$167:$B$321,'14.mell_Önk kiegészítés2020'!$A222,'13.mell_ÖNKfeladatok2020'!AD$167:AD$321)</f>
        <v>49355</v>
      </c>
      <c r="O222" s="543">
        <f>+SUMIF('13.mell_ÖNKfeladatok2020'!$B$167:$B$321,'14.mell_Önk kiegészítés2020'!$A222,'13.mell_ÖNKfeladatok2020'!AH$167:AH$321)</f>
        <v>0</v>
      </c>
      <c r="P222" s="543">
        <f>+SUMIF('13.mell_ÖNKfeladatok2020'!$B$167:$B$321,'14.mell_Önk kiegészítés2020'!$A222,'13.mell_ÖNKfeladatok2020'!AP$167:AP$321)</f>
        <v>8440</v>
      </c>
      <c r="Q222" s="543">
        <f>+SUMIF('13.mell_ÖNKfeladatok2020'!$B$167:$B$321,'14.mell_Önk kiegészítés2020'!$A222,'13.mell_ÖNKfeladatok2020'!AT$167:AT$321)</f>
        <v>0</v>
      </c>
      <c r="R222" s="543">
        <f>+SUMIF('13.mell_ÖNKfeladatok2020'!$B$167:$B$321,'14.mell_Önk kiegészítés2020'!$A222,'13.mell_ÖNKfeladatok2020'!AX$167:AX$321)</f>
        <v>19162</v>
      </c>
      <c r="S222" s="582">
        <f t="shared" si="150"/>
        <v>76957</v>
      </c>
      <c r="T222" s="544">
        <f t="shared" si="154"/>
        <v>76957</v>
      </c>
      <c r="U222" s="1100">
        <f>+ROUND(SUMIF('10.mell_támogatások2020'!$B$6:$B$137,'14.mell_Önk kiegészítés2020'!$A222,'10.mell_támogatások2020'!G$6:G$137)/1000,0)</f>
        <v>122616</v>
      </c>
      <c r="V222" s="1080"/>
      <c r="W222" s="544">
        <f t="shared" si="151"/>
        <v>-45659</v>
      </c>
      <c r="Y222" s="880">
        <f>+W222+W226+W246+W247+W273-W246+(13319-3355)-39+8300</f>
        <v>2297</v>
      </c>
      <c r="Z222" s="262" t="s">
        <v>1313</v>
      </c>
      <c r="AA222" s="262">
        <f t="shared" si="152"/>
        <v>0</v>
      </c>
    </row>
    <row r="223" spans="1:42">
      <c r="A223" s="826">
        <f>A222+1</f>
        <v>7</v>
      </c>
      <c r="B223" s="542" t="s">
        <v>774</v>
      </c>
      <c r="C223" s="543">
        <f>+SUMIF('13.mell_ÖNKfeladatok2020'!$B$5:$B$159,'14.mell_Önk kiegészítés2020'!$A223,'13.mell_ÖNKfeladatok2020'!R$5:R$159)</f>
        <v>0</v>
      </c>
      <c r="D223" s="543">
        <f>+SUMIF('13.mell_ÖNKfeladatok2020'!$B$5:$B$159,'14.mell_Önk kiegészítés2020'!$A223,'13.mell_ÖNKfeladatok2020'!V$5:V$159)</f>
        <v>0</v>
      </c>
      <c r="E223" s="543">
        <f>+SUMIF('13.mell_ÖNKfeladatok2020'!$B$5:$B$159,'14.mell_Önk kiegészítés2020'!$A223,'13.mell_ÖNKfeladatok2020'!Z$5:Z$159)</f>
        <v>0</v>
      </c>
      <c r="F223" s="543">
        <f>+SUMIF('13.mell_ÖNKfeladatok2020'!$B$5:$B$159,'14.mell_Önk kiegészítés2020'!$A223,'13.mell_ÖNKfeladatok2020'!AD$5:AD$159)</f>
        <v>0</v>
      </c>
      <c r="G223" s="540">
        <f>+SUMIF('13.mell_ÖNKfeladatok2020'!$B$5:$B$159,'14.mell_Önk kiegészítés2020'!$A223,'13.mell_ÖNKfeladatok2020'!AL$5:AL$159)</f>
        <v>0</v>
      </c>
      <c r="H223" s="543">
        <f>+SUMIF('13.mell_ÖNKfeladatok2020'!$B$5:$B$159,'14.mell_Önk kiegészítés2020'!$A223,'13.mell_ÖNKfeladatok2020'!AP$5:AP$159)</f>
        <v>0</v>
      </c>
      <c r="I223" s="543">
        <f>+SUMIF('13.mell_ÖNKfeladatok2020'!$B$5:$B$159,'14.mell_Önk kiegészítés2020'!$A223,'13.mell_ÖNKfeladatok2020'!AT$5:AT$159)</f>
        <v>0</v>
      </c>
      <c r="J223" s="582">
        <f>SUM(C223:I223)</f>
        <v>0</v>
      </c>
      <c r="K223" s="543">
        <f>+SUMIF('13.mell_ÖNKfeladatok2020'!$B$167:$B$321,'14.mell_Önk kiegészítés2020'!$A223,'13.mell_ÖNKfeladatok2020'!R$167:R$321)</f>
        <v>0</v>
      </c>
      <c r="L223" s="543">
        <f>+SUMIF('13.mell_ÖNKfeladatok2020'!$B$167:$B$321,'14.mell_Önk kiegészítés2020'!$A223,'13.mell_ÖNKfeladatok2020'!V$167:V$321)</f>
        <v>0</v>
      </c>
      <c r="M223" s="543">
        <f>+SUMIF('13.mell_ÖNKfeladatok2020'!$B$167:$B$321,'14.mell_Önk kiegészítés2020'!$A223,'13.mell_ÖNKfeladatok2020'!Z$167:Z$321)</f>
        <v>0</v>
      </c>
      <c r="N223" s="543">
        <f>+SUMIF('13.mell_ÖNKfeladatok2020'!$B$167:$B$321,'14.mell_Önk kiegészítés2020'!$A223,'13.mell_ÖNKfeladatok2020'!AD$167:AD$321)</f>
        <v>0</v>
      </c>
      <c r="O223" s="543">
        <f>+SUMIF('13.mell_ÖNKfeladatok2020'!$B$167:$B$321,'14.mell_Önk kiegészítés2020'!$A223,'13.mell_ÖNKfeladatok2020'!AH$167:AH$321)</f>
        <v>0</v>
      </c>
      <c r="P223" s="543">
        <f>+SUMIF('13.mell_ÖNKfeladatok2020'!$B$167:$B$321,'14.mell_Önk kiegészítés2020'!$A223,'13.mell_ÖNKfeladatok2020'!AP$167:AP$321)</f>
        <v>0</v>
      </c>
      <c r="Q223" s="543">
        <f>+SUMIF('13.mell_ÖNKfeladatok2020'!$B$167:$B$321,'14.mell_Önk kiegészítés2020'!$A223,'13.mell_ÖNKfeladatok2020'!AT$167:AT$321)</f>
        <v>0</v>
      </c>
      <c r="R223" s="543">
        <f>+SUMIF('13.mell_ÖNKfeladatok2020'!$B$167:$B$321,'14.mell_Önk kiegészítés2020'!$A223,'13.mell_ÖNKfeladatok2020'!AX$167:AX$321)</f>
        <v>0</v>
      </c>
      <c r="S223" s="582">
        <f>SUM(K223:R223)</f>
        <v>0</v>
      </c>
      <c r="T223" s="544">
        <f>S223-J223</f>
        <v>0</v>
      </c>
      <c r="U223" s="1101">
        <f>+ROUND(SUMIF('10.mell_támogatások2020'!$B$6:$B$137,'14.mell_Önk kiegészítés2020'!$A223,'10.mell_támogatások2020'!G$6:G$137)/1000,0)</f>
        <v>0</v>
      </c>
      <c r="V223" s="1081"/>
      <c r="W223" s="544">
        <f t="shared" si="151"/>
        <v>0</v>
      </c>
      <c r="AA223" s="262">
        <f t="shared" si="152"/>
        <v>0</v>
      </c>
    </row>
    <row r="224" spans="1:42" ht="12.75" thickBot="1">
      <c r="A224" s="826">
        <f>+A223+1</f>
        <v>8</v>
      </c>
      <c r="B224" s="545" t="s">
        <v>757</v>
      </c>
      <c r="C224" s="543">
        <f>+SUMIF('13.mell_ÖNKfeladatok2020'!$B$5:$B$159,'14.mell_Önk kiegészítés2020'!$A224,'13.mell_ÖNKfeladatok2020'!R$5:R$159)</f>
        <v>1202649</v>
      </c>
      <c r="D224" s="546">
        <f>+SUMIF('13.mell_ÖNKfeladatok2020'!$B$5:$B$159,'14.mell_Önk kiegészítés2020'!$A224,'13.mell_ÖNKfeladatok2020'!V$5:V$159)</f>
        <v>347952</v>
      </c>
      <c r="E224" s="546">
        <f>+SUMIF('13.mell_ÖNKfeladatok2020'!$B$5:$B$159,'14.mell_Önk kiegészítés2020'!$A224,'13.mell_ÖNKfeladatok2020'!Z$5:Z$159)</f>
        <v>121738</v>
      </c>
      <c r="F224" s="546">
        <f>+SUMIF('13.mell_ÖNKfeladatok2020'!$B$5:$B$159,'14.mell_Önk kiegészítés2020'!$A224,'13.mell_ÖNKfeladatok2020'!AD$5:AD$159)</f>
        <v>5490</v>
      </c>
      <c r="G224" s="540">
        <f>+SUMIF('13.mell_ÖNKfeladatok2020'!$B$5:$B$159,'14.mell_Önk kiegészítés2020'!$A224,'13.mell_ÖNKfeladatok2020'!AL$5:AL$159)</f>
        <v>32276</v>
      </c>
      <c r="H224" s="546">
        <f>+SUMIF('13.mell_ÖNKfeladatok2020'!$B$5:$B$159,'14.mell_Önk kiegészítés2020'!$A224,'13.mell_ÖNKfeladatok2020'!AP$5:AP$159)</f>
        <v>40350</v>
      </c>
      <c r="I224" s="546">
        <f>+SUMIF('13.mell_ÖNKfeladatok2020'!$B$5:$B$159,'14.mell_Önk kiegészítés2020'!$A224,'13.mell_ÖNKfeladatok2020'!AT$5:AT$159)</f>
        <v>0</v>
      </c>
      <c r="J224" s="582">
        <f t="shared" si="153"/>
        <v>1750455</v>
      </c>
      <c r="K224" s="543">
        <f>+SUMIF('13.mell_ÖNKfeladatok2020'!$B$167:$B$321,'14.mell_Önk kiegészítés2020'!$A224,'13.mell_ÖNKfeladatok2020'!R$167:R$321)</f>
        <v>120749</v>
      </c>
      <c r="L224" s="543">
        <f>+SUMIF('13.mell_ÖNKfeladatok2020'!$B$167:$B$321,'14.mell_Önk kiegészítés2020'!$A224,'13.mell_ÖNKfeladatok2020'!V$167:V$321)</f>
        <v>12418</v>
      </c>
      <c r="M224" s="543">
        <f>+SUMIF('13.mell_ÖNKfeladatok2020'!$B$167:$B$321,'14.mell_Önk kiegészítés2020'!$A224,'13.mell_ÖNKfeladatok2020'!Z$167:Z$321)</f>
        <v>126908</v>
      </c>
      <c r="N224" s="543">
        <f>+SUMIF('13.mell_ÖNKfeladatok2020'!$B$167:$B$321,'14.mell_Önk kiegészítés2020'!$A224,'13.mell_ÖNKfeladatok2020'!AD$167:AD$321)</f>
        <v>0</v>
      </c>
      <c r="O224" s="543">
        <f>+SUMIF('13.mell_ÖNKfeladatok2020'!$B$167:$B$321,'14.mell_Önk kiegészítés2020'!$A224,'13.mell_ÖNKfeladatok2020'!AH$167:AH$321)</f>
        <v>3145636</v>
      </c>
      <c r="P224" s="543">
        <f>+SUMIF('13.mell_ÖNKfeladatok2020'!$B$167:$B$321,'14.mell_Önk kiegészítés2020'!$A224,'13.mell_ÖNKfeladatok2020'!AP$167:AP$321)</f>
        <v>91500</v>
      </c>
      <c r="Q224" s="543">
        <f>+SUMIF('13.mell_ÖNKfeladatok2020'!$B$167:$B$321,'14.mell_Önk kiegészítés2020'!$A224,'13.mell_ÖNKfeladatok2020'!AT$167:AT$321)</f>
        <v>0</v>
      </c>
      <c r="R224" s="543">
        <f>+SUMIF('13.mell_ÖNKfeladatok2020'!$B$167:$B$321,'14.mell_Önk kiegészítés2020'!$A224,'13.mell_ÖNKfeladatok2020'!AX$167:AX$321)</f>
        <v>0</v>
      </c>
      <c r="S224" s="582">
        <f t="shared" si="150"/>
        <v>3497211</v>
      </c>
      <c r="T224" s="544">
        <f t="shared" si="154"/>
        <v>1746756</v>
      </c>
      <c r="U224" s="1101">
        <f>-ROUND('10.mell_támogatások2020'!G$137/1000,0)+ROUND(SUMIF('10.mell_támogatások2020'!$B$6:$B$137,'14.mell_Önk kiegészítés2020'!$A224,'10.mell_támogatások2020'!G$6:G$137)/1000,0)</f>
        <v>-820841</v>
      </c>
      <c r="V224" s="1081">
        <f>2845803-33049-10024+61637-409</f>
        <v>2863958</v>
      </c>
      <c r="W224" s="544">
        <f t="shared" si="151"/>
        <v>-296361</v>
      </c>
      <c r="AA224" s="262">
        <f t="shared" si="152"/>
        <v>0</v>
      </c>
      <c r="AC224" s="262">
        <v>2845803</v>
      </c>
      <c r="AE224" s="262">
        <f>-26419-6630</f>
        <v>-33049</v>
      </c>
      <c r="AF224" s="262">
        <v>-10024</v>
      </c>
      <c r="AG224" s="262">
        <v>-409</v>
      </c>
      <c r="AI224" s="262">
        <f>11933+6559+43145</f>
        <v>61637</v>
      </c>
    </row>
    <row r="225" spans="1:42" s="535" customFormat="1" ht="12.75" thickBot="1">
      <c r="A225" s="547" t="s">
        <v>587</v>
      </c>
      <c r="B225" s="548" t="s">
        <v>410</v>
      </c>
      <c r="C225" s="549">
        <f>SUM(C217:C224)</f>
        <v>1202649</v>
      </c>
      <c r="D225" s="550">
        <f t="shared" ref="D225:W225" si="155">SUM(D217:D224)</f>
        <v>347952</v>
      </c>
      <c r="E225" s="550">
        <f t="shared" si="155"/>
        <v>123238</v>
      </c>
      <c r="F225" s="550">
        <f t="shared" si="155"/>
        <v>5490</v>
      </c>
      <c r="G225" s="550">
        <f t="shared" si="155"/>
        <v>32276</v>
      </c>
      <c r="H225" s="550">
        <f t="shared" si="155"/>
        <v>40350</v>
      </c>
      <c r="I225" s="551">
        <f t="shared" si="155"/>
        <v>0</v>
      </c>
      <c r="J225" s="552">
        <f t="shared" si="155"/>
        <v>1751955</v>
      </c>
      <c r="K225" s="549">
        <f t="shared" si="155"/>
        <v>163801</v>
      </c>
      <c r="L225" s="549">
        <f t="shared" si="155"/>
        <v>19137</v>
      </c>
      <c r="M225" s="549">
        <f t="shared" si="155"/>
        <v>180165</v>
      </c>
      <c r="N225" s="549">
        <f t="shared" si="155"/>
        <v>49355</v>
      </c>
      <c r="O225" s="549">
        <f t="shared" si="155"/>
        <v>3145636</v>
      </c>
      <c r="P225" s="549">
        <f t="shared" si="155"/>
        <v>106940</v>
      </c>
      <c r="Q225" s="549">
        <f t="shared" si="155"/>
        <v>61258</v>
      </c>
      <c r="R225" s="549">
        <f t="shared" si="155"/>
        <v>19162</v>
      </c>
      <c r="S225" s="552">
        <f t="shared" si="155"/>
        <v>3745454</v>
      </c>
      <c r="T225" s="552">
        <f t="shared" si="155"/>
        <v>1993499</v>
      </c>
      <c r="U225" s="1102">
        <f t="shared" si="155"/>
        <v>-636187</v>
      </c>
      <c r="V225" s="553">
        <f t="shared" ref="V225" si="156">SUM(V217:V224)</f>
        <v>2877888</v>
      </c>
      <c r="W225" s="552">
        <f t="shared" si="155"/>
        <v>-248202</v>
      </c>
      <c r="AA225" s="262">
        <f t="shared" si="152"/>
        <v>0</v>
      </c>
      <c r="AB225" s="262"/>
      <c r="AC225" s="262"/>
      <c r="AD225" s="262"/>
      <c r="AE225" s="262"/>
      <c r="AF225" s="262"/>
      <c r="AG225" s="262"/>
      <c r="AH225" s="262"/>
      <c r="AI225" s="262"/>
      <c r="AJ225" s="262"/>
      <c r="AK225" s="262"/>
      <c r="AL225" s="262"/>
      <c r="AM225" s="262"/>
      <c r="AN225" s="262"/>
      <c r="AO225" s="262"/>
      <c r="AP225" s="262"/>
    </row>
    <row r="226" spans="1:42" ht="12.75">
      <c r="A226" s="826">
        <f>+A224+1</f>
        <v>9</v>
      </c>
      <c r="B226" s="545" t="s">
        <v>772</v>
      </c>
      <c r="C226" s="546">
        <f>+SUMIF('13.mell_ÖNKfeladatok2020'!$B$5:$B$159,'14.mell_Önk kiegészítés2020'!$A226,'13.mell_ÖNKfeladatok2020'!R$5:R$159)</f>
        <v>0</v>
      </c>
      <c r="D226" s="546">
        <f>+SUMIF('13.mell_ÖNKfeladatok2020'!$B$5:$B$159,'14.mell_Önk kiegészítés2020'!$A226,'13.mell_ÖNKfeladatok2020'!V$5:V$159)</f>
        <v>0</v>
      </c>
      <c r="E226" s="546">
        <f>+SUMIF('13.mell_ÖNKfeladatok2020'!$B$5:$B$159,'14.mell_Önk kiegészítés2020'!$A226,'13.mell_ÖNKfeladatok2020'!Z$5:Z$159)</f>
        <v>0</v>
      </c>
      <c r="F226" s="546">
        <f>+SUMIF('13.mell_ÖNKfeladatok2020'!$B$5:$B$159,'14.mell_Önk kiegészítés2020'!$A226,'13.mell_ÖNKfeladatok2020'!AD$5:AD$159)</f>
        <v>0</v>
      </c>
      <c r="G226" s="546">
        <f>+SUMIF('13.mell_ÖNKfeladatok2020'!$B$5:$B$159,'14.mell_Önk kiegészítés2020'!$A226,'13.mell_ÖNKfeladatok2020'!AL$5:AL$159)</f>
        <v>0</v>
      </c>
      <c r="H226" s="546">
        <f>+SUMIF('13.mell_ÖNKfeladatok2020'!$B$5:$B$159,'14.mell_Önk kiegészítés2020'!$A226,'13.mell_ÖNKfeladatok2020'!AP$5:AP$159)</f>
        <v>0</v>
      </c>
      <c r="I226" s="546">
        <f>+SUMIF('13.mell_ÖNKfeladatok2020'!$B$5:$B$159,'14.mell_Önk kiegészítés2020'!$A226,'13.mell_ÖNKfeladatok2020'!AT$5:AT$159)</f>
        <v>0</v>
      </c>
      <c r="J226" s="583">
        <f>SUM(C226:I226)</f>
        <v>0</v>
      </c>
      <c r="K226" s="543">
        <f>+SUMIF('13.mell_ÖNKfeladatok2020'!$B$167:$B$321,'14.mell_Önk kiegészítés2020'!$A226,'13.mell_ÖNKfeladatok2020'!R$167:R$321)</f>
        <v>0</v>
      </c>
      <c r="L226" s="543">
        <f>+SUMIF('13.mell_ÖNKfeladatok2020'!$B$167:$B$321,'14.mell_Önk kiegészítés2020'!$A226,'13.mell_ÖNKfeladatok2020'!V$167:V$321)</f>
        <v>0</v>
      </c>
      <c r="M226" s="543">
        <f>+SUMIF('13.mell_ÖNKfeladatok2020'!$B$167:$B$321,'14.mell_Önk kiegészítés2020'!$A226,'13.mell_ÖNKfeladatok2020'!Z$167:Z$321)</f>
        <v>0</v>
      </c>
      <c r="N226" s="543">
        <f>+SUMIF('13.mell_ÖNKfeladatok2020'!$B$167:$B$321,'14.mell_Önk kiegészítés2020'!$A226,'13.mell_ÖNKfeladatok2020'!AD$167:AD$321)</f>
        <v>3424</v>
      </c>
      <c r="O226" s="543">
        <f>+SUMIF('13.mell_ÖNKfeladatok2020'!$B$167:$B$321,'14.mell_Önk kiegészítés2020'!$A226,'13.mell_ÖNKfeladatok2020'!AH$167:AH$321)</f>
        <v>0</v>
      </c>
      <c r="P226" s="543">
        <f>+SUMIF('13.mell_ÖNKfeladatok2020'!$B$167:$B$321,'14.mell_Önk kiegészítés2020'!$A226,'13.mell_ÖNKfeladatok2020'!AP$167:AP$321)</f>
        <v>0</v>
      </c>
      <c r="Q226" s="543">
        <f>+SUMIF('13.mell_ÖNKfeladatok2020'!$B$167:$B$321,'14.mell_Önk kiegészítés2020'!$A226,'13.mell_ÖNKfeladatok2020'!AT$167:AT$321)</f>
        <v>0</v>
      </c>
      <c r="R226" s="543">
        <f>+SUMIF('13.mell_ÖNKfeladatok2020'!$B$167:$B$321,'14.mell_Önk kiegészítés2020'!$A226,'13.mell_ÖNKfeladatok2020'!AX$167:AX$321)</f>
        <v>0</v>
      </c>
      <c r="S226" s="582">
        <f>SUM(K226:R226)</f>
        <v>3424</v>
      </c>
      <c r="T226" s="544">
        <f>S226-J226</f>
        <v>3424</v>
      </c>
      <c r="U226" s="1103">
        <f>+ROUND(SUMIF('10.mell_támogatások2020'!$B$6:$B$137,'14.mell_Önk kiegészítés2020'!$A226,'10.mell_támogatások2020'!G$6:G$137)/1000,0)</f>
        <v>0</v>
      </c>
      <c r="V226" s="1082"/>
      <c r="W226" s="544">
        <f t="shared" ref="W226:W227" si="157">+T226-U226-V226</f>
        <v>3424</v>
      </c>
      <c r="AA226" s="262">
        <f t="shared" si="152"/>
        <v>0</v>
      </c>
    </row>
    <row r="227" spans="1:42" ht="12.75" thickBot="1">
      <c r="A227" s="826">
        <f>+A226+1</f>
        <v>10</v>
      </c>
      <c r="B227" s="545" t="s">
        <v>758</v>
      </c>
      <c r="C227" s="546">
        <f>+SUMIF('13.mell_ÖNKfeladatok2020'!$B$5:$B$159,'14.mell_Önk kiegészítés2020'!$A227,'13.mell_ÖNKfeladatok2020'!R$5:R$159)</f>
        <v>0</v>
      </c>
      <c r="D227" s="546">
        <f>+SUMIF('13.mell_ÖNKfeladatok2020'!$B$5:$B$159,'14.mell_Önk kiegészítés2020'!$A227,'13.mell_ÖNKfeladatok2020'!V$5:V$159)</f>
        <v>0</v>
      </c>
      <c r="E227" s="546">
        <f>+SUMIF('13.mell_ÖNKfeladatok2020'!$B$5:$B$159,'14.mell_Önk kiegészítés2020'!$A227,'13.mell_ÖNKfeladatok2020'!Z$5:Z$159)</f>
        <v>0</v>
      </c>
      <c r="F227" s="546">
        <f>+SUMIF('13.mell_ÖNKfeladatok2020'!$B$5:$B$159,'14.mell_Önk kiegészítés2020'!$A227,'13.mell_ÖNKfeladatok2020'!AD$5:AD$159)</f>
        <v>0</v>
      </c>
      <c r="G227" s="546">
        <f>+SUMIF('13.mell_ÖNKfeladatok2020'!$B$5:$B$159,'14.mell_Önk kiegészítés2020'!$A227,'13.mell_ÖNKfeladatok2020'!AL$5:AL$159)</f>
        <v>0</v>
      </c>
      <c r="H227" s="546">
        <f>+SUMIF('13.mell_ÖNKfeladatok2020'!$B$5:$B$159,'14.mell_Önk kiegészítés2020'!$A227,'13.mell_ÖNKfeladatok2020'!AP$5:AP$159)</f>
        <v>0</v>
      </c>
      <c r="I227" s="546">
        <f>+SUMIF('13.mell_ÖNKfeladatok2020'!$B$5:$B$159,'14.mell_Önk kiegészítés2020'!$A227,'13.mell_ÖNKfeladatok2020'!AT$5:AT$159)</f>
        <v>1100</v>
      </c>
      <c r="J227" s="583">
        <f t="shared" si="153"/>
        <v>1100</v>
      </c>
      <c r="K227" s="543">
        <f>+SUMIF('13.mell_ÖNKfeladatok2020'!$B$167:$B$321,'14.mell_Önk kiegészítés2020'!$A227,'13.mell_ÖNKfeladatok2020'!R$167:R$321)</f>
        <v>0</v>
      </c>
      <c r="L227" s="543">
        <f>+SUMIF('13.mell_ÖNKfeladatok2020'!$B$167:$B$321,'14.mell_Önk kiegészítés2020'!$A227,'13.mell_ÖNKfeladatok2020'!V$167:V$321)</f>
        <v>0</v>
      </c>
      <c r="M227" s="543">
        <f>+SUMIF('13.mell_ÖNKfeladatok2020'!$B$167:$B$321,'14.mell_Önk kiegészítés2020'!$A227,'13.mell_ÖNKfeladatok2020'!Z$167:Z$321)</f>
        <v>2000</v>
      </c>
      <c r="N227" s="543">
        <f>+SUMIF('13.mell_ÖNKfeladatok2020'!$B$167:$B$321,'14.mell_Önk kiegészítés2020'!$A227,'13.mell_ÖNKfeladatok2020'!AD$167:AD$321)</f>
        <v>0</v>
      </c>
      <c r="O227" s="543">
        <f>+SUMIF('13.mell_ÖNKfeladatok2020'!$B$167:$B$321,'14.mell_Önk kiegészítés2020'!$A227,'13.mell_ÖNKfeladatok2020'!AH$167:AH$321)</f>
        <v>1000</v>
      </c>
      <c r="P227" s="543">
        <f>+SUMIF('13.mell_ÖNKfeladatok2020'!$B$167:$B$321,'14.mell_Önk kiegészítés2020'!$A227,'13.mell_ÖNKfeladatok2020'!AP$167:AP$321)</f>
        <v>345250</v>
      </c>
      <c r="Q227" s="543">
        <f>+SUMIF('13.mell_ÖNKfeladatok2020'!$B$167:$B$321,'14.mell_Önk kiegészítés2020'!$A227,'13.mell_ÖNKfeladatok2020'!AT$167:AT$321)</f>
        <v>0</v>
      </c>
      <c r="R227" s="543">
        <f>+SUMIF('13.mell_ÖNKfeladatok2020'!$B$167:$B$321,'14.mell_Önk kiegészítés2020'!$A227,'13.mell_ÖNKfeladatok2020'!AX$167:AX$321)</f>
        <v>0</v>
      </c>
      <c r="S227" s="582">
        <f>SUM(K227:R227)</f>
        <v>348250</v>
      </c>
      <c r="T227" s="544">
        <f t="shared" si="154"/>
        <v>347150</v>
      </c>
      <c r="U227" s="1101">
        <f>+ROUND(SUMIF('10.mell_támogatások2020'!$B$6:$B$137,'14.mell_Önk kiegészítés2020'!$A227,'10.mell_támogatások2020'!G$6:G$137)/1000,0)</f>
        <v>0</v>
      </c>
      <c r="V227" s="1081"/>
      <c r="W227" s="544">
        <f t="shared" si="157"/>
        <v>347150</v>
      </c>
      <c r="AA227" s="262">
        <f t="shared" si="152"/>
        <v>0</v>
      </c>
    </row>
    <row r="228" spans="1:42" s="535" customFormat="1" ht="12.75" thickBot="1">
      <c r="A228" s="547" t="s">
        <v>588</v>
      </c>
      <c r="B228" s="548" t="s">
        <v>411</v>
      </c>
      <c r="C228" s="549">
        <f t="shared" ref="C228:W228" si="158">SUM(C226:C227)</f>
        <v>0</v>
      </c>
      <c r="D228" s="550">
        <f t="shared" si="158"/>
        <v>0</v>
      </c>
      <c r="E228" s="550">
        <f t="shared" si="158"/>
        <v>0</v>
      </c>
      <c r="F228" s="550">
        <f t="shared" si="158"/>
        <v>0</v>
      </c>
      <c r="G228" s="550">
        <f t="shared" si="158"/>
        <v>0</v>
      </c>
      <c r="H228" s="550">
        <f t="shared" si="158"/>
        <v>0</v>
      </c>
      <c r="I228" s="553">
        <f t="shared" si="158"/>
        <v>1100</v>
      </c>
      <c r="J228" s="552">
        <f t="shared" si="158"/>
        <v>1100</v>
      </c>
      <c r="K228" s="549">
        <f t="shared" si="158"/>
        <v>0</v>
      </c>
      <c r="L228" s="549">
        <f t="shared" si="158"/>
        <v>0</v>
      </c>
      <c r="M228" s="549">
        <f t="shared" si="158"/>
        <v>2000</v>
      </c>
      <c r="N228" s="549">
        <f t="shared" si="158"/>
        <v>3424</v>
      </c>
      <c r="O228" s="549">
        <f t="shared" si="158"/>
        <v>1000</v>
      </c>
      <c r="P228" s="549">
        <f t="shared" si="158"/>
        <v>345250</v>
      </c>
      <c r="Q228" s="549">
        <f t="shared" si="158"/>
        <v>0</v>
      </c>
      <c r="R228" s="549">
        <f t="shared" si="158"/>
        <v>0</v>
      </c>
      <c r="S228" s="552">
        <f t="shared" si="158"/>
        <v>351674</v>
      </c>
      <c r="T228" s="552">
        <f t="shared" si="158"/>
        <v>350574</v>
      </c>
      <c r="U228" s="1102">
        <f t="shared" si="158"/>
        <v>0</v>
      </c>
      <c r="V228" s="553">
        <f t="shared" ref="V228" si="159">SUM(V226:V227)</f>
        <v>0</v>
      </c>
      <c r="W228" s="552">
        <f t="shared" si="158"/>
        <v>350574</v>
      </c>
      <c r="AA228" s="262">
        <f t="shared" si="152"/>
        <v>0</v>
      </c>
      <c r="AB228" s="262"/>
      <c r="AC228" s="262"/>
      <c r="AD228" s="262"/>
      <c r="AE228" s="262"/>
      <c r="AF228" s="262"/>
      <c r="AG228" s="262"/>
      <c r="AH228" s="262"/>
      <c r="AI228" s="262"/>
      <c r="AJ228" s="262"/>
      <c r="AK228" s="262"/>
      <c r="AL228" s="262"/>
      <c r="AM228" s="262"/>
      <c r="AN228" s="262"/>
      <c r="AO228" s="262"/>
      <c r="AP228" s="262"/>
    </row>
    <row r="229" spans="1:42" ht="12.75" thickBot="1">
      <c r="A229" s="826">
        <f>+A227+1</f>
        <v>11</v>
      </c>
      <c r="B229" s="554" t="s">
        <v>412</v>
      </c>
      <c r="C229" s="555">
        <f>+SUMIF('13.mell_ÖNKfeladatok2020'!$B$5:$B$159,'14.mell_Önk kiegészítés2020'!$A229,'13.mell_ÖNKfeladatok2020'!R$5:R$159)</f>
        <v>0</v>
      </c>
      <c r="D229" s="555">
        <f>+SUMIF('13.mell_ÖNKfeladatok2020'!$B$5:$B$159,'14.mell_Önk kiegészítés2020'!$A229,'13.mell_ÖNKfeladatok2020'!V$5:V$159)</f>
        <v>0</v>
      </c>
      <c r="E229" s="555">
        <f>+SUMIF('13.mell_ÖNKfeladatok2020'!$B$5:$B$159,'14.mell_Önk kiegészítés2020'!$A229,'13.mell_ÖNKfeladatok2020'!Z$5:Z$159)</f>
        <v>0</v>
      </c>
      <c r="F229" s="555">
        <f>+SUMIF('13.mell_ÖNKfeladatok2020'!$B$5:$B$159,'14.mell_Önk kiegészítés2020'!$A229,'13.mell_ÖNKfeladatok2020'!AD$5:AD$159)</f>
        <v>0</v>
      </c>
      <c r="G229" s="555">
        <f>+SUMIF('13.mell_ÖNKfeladatok2020'!$B$5:$B$159,'14.mell_Önk kiegészítés2020'!$A229,'13.mell_ÖNKfeladatok2020'!AL$5:AL$159)</f>
        <v>0</v>
      </c>
      <c r="H229" s="555">
        <f>+SUMIF('13.mell_ÖNKfeladatok2020'!$B$5:$B$159,'14.mell_Önk kiegészítés2020'!$A229,'13.mell_ÖNKfeladatok2020'!AP$5:AP$159)</f>
        <v>0</v>
      </c>
      <c r="I229" s="555">
        <f>+SUMIF('13.mell_ÖNKfeladatok2020'!$B$5:$B$159,'14.mell_Önk kiegészítés2020'!$A229,'13.mell_ÖNKfeladatok2020'!AT$5:AT$159)</f>
        <v>0</v>
      </c>
      <c r="J229" s="584">
        <f t="shared" si="153"/>
        <v>0</v>
      </c>
      <c r="K229" s="543">
        <f>+SUMIF('13.mell_ÖNKfeladatok2020'!$B$167:$B$321,'14.mell_Önk kiegészítés2020'!$A229,'13.mell_ÖNKfeladatok2020'!R$167:R$321)</f>
        <v>0</v>
      </c>
      <c r="L229" s="543">
        <f>+SUMIF('13.mell_ÖNKfeladatok2020'!$B$167:$B$321,'14.mell_Önk kiegészítés2020'!$A229,'13.mell_ÖNKfeladatok2020'!V$167:V$321)</f>
        <v>0</v>
      </c>
      <c r="M229" s="543">
        <f>+SUMIF('13.mell_ÖNKfeladatok2020'!$B$167:$B$321,'14.mell_Önk kiegészítés2020'!$A229,'13.mell_ÖNKfeladatok2020'!Z$167:Z$321)</f>
        <v>0</v>
      </c>
      <c r="N229" s="543">
        <f>+SUMIF('13.mell_ÖNKfeladatok2020'!$B$167:$B$321,'14.mell_Önk kiegészítés2020'!$A229,'13.mell_ÖNKfeladatok2020'!AD$167:AD$321)</f>
        <v>0</v>
      </c>
      <c r="O229" s="543">
        <f>+SUMIF('13.mell_ÖNKfeladatok2020'!$B$167:$B$321,'14.mell_Önk kiegészítés2020'!$A229,'13.mell_ÖNKfeladatok2020'!AH$167:AH$321)</f>
        <v>0</v>
      </c>
      <c r="P229" s="543">
        <f>+SUMIF('13.mell_ÖNKfeladatok2020'!$B$167:$B$321,'14.mell_Önk kiegészítés2020'!$A229,'13.mell_ÖNKfeladatok2020'!AP$167:AP$321)</f>
        <v>0</v>
      </c>
      <c r="Q229" s="543">
        <f>+SUMIF('13.mell_ÖNKfeladatok2020'!$B$167:$B$321,'14.mell_Önk kiegészítés2020'!$A229,'13.mell_ÖNKfeladatok2020'!AT$167:AT$321)</f>
        <v>0</v>
      </c>
      <c r="R229" s="543">
        <f>+SUMIF('13.mell_ÖNKfeladatok2020'!$B$167:$B$321,'14.mell_Önk kiegészítés2020'!$A229,'13.mell_ÖNKfeladatok2020'!AX$167:AX$321)</f>
        <v>0</v>
      </c>
      <c r="S229" s="582">
        <f>SUM(K229:R229)</f>
        <v>0</v>
      </c>
      <c r="T229" s="544">
        <f t="shared" si="154"/>
        <v>0</v>
      </c>
      <c r="U229" s="1101">
        <f>+ROUND(SUMIF('10.mell_támogatások2020'!$B$6:$B$137,'14.mell_Önk kiegészítés2020'!$A229,'10.mell_támogatások2020'!G$6:G$137)/1000,0)</f>
        <v>0</v>
      </c>
      <c r="V229" s="1081"/>
      <c r="W229" s="544">
        <f>+T229-U229-V229</f>
        <v>0</v>
      </c>
      <c r="AA229" s="262">
        <f t="shared" si="152"/>
        <v>0</v>
      </c>
    </row>
    <row r="230" spans="1:42" s="535" customFormat="1" ht="12.75" thickBot="1">
      <c r="A230" s="547" t="s">
        <v>589</v>
      </c>
      <c r="B230" s="548" t="s">
        <v>412</v>
      </c>
      <c r="C230" s="549">
        <f>SUM(C229)</f>
        <v>0</v>
      </c>
      <c r="D230" s="550">
        <f t="shared" ref="D230:W230" si="160">SUM(D229)</f>
        <v>0</v>
      </c>
      <c r="E230" s="550">
        <f t="shared" si="160"/>
        <v>0</v>
      </c>
      <c r="F230" s="550">
        <f t="shared" si="160"/>
        <v>0</v>
      </c>
      <c r="G230" s="550">
        <f t="shared" si="160"/>
        <v>0</v>
      </c>
      <c r="H230" s="550">
        <f t="shared" si="160"/>
        <v>0</v>
      </c>
      <c r="I230" s="553">
        <f t="shared" si="160"/>
        <v>0</v>
      </c>
      <c r="J230" s="552">
        <f t="shared" si="160"/>
        <v>0</v>
      </c>
      <c r="K230" s="549">
        <f t="shared" si="160"/>
        <v>0</v>
      </c>
      <c r="L230" s="549">
        <f t="shared" si="160"/>
        <v>0</v>
      </c>
      <c r="M230" s="549">
        <f t="shared" si="160"/>
        <v>0</v>
      </c>
      <c r="N230" s="549">
        <f t="shared" si="160"/>
        <v>0</v>
      </c>
      <c r="O230" s="549">
        <f t="shared" si="160"/>
        <v>0</v>
      </c>
      <c r="P230" s="549">
        <f t="shared" si="160"/>
        <v>0</v>
      </c>
      <c r="Q230" s="549">
        <f t="shared" si="160"/>
        <v>0</v>
      </c>
      <c r="R230" s="549">
        <f t="shared" si="160"/>
        <v>0</v>
      </c>
      <c r="S230" s="552">
        <f t="shared" si="160"/>
        <v>0</v>
      </c>
      <c r="T230" s="552">
        <f t="shared" si="160"/>
        <v>0</v>
      </c>
      <c r="U230" s="1102">
        <f t="shared" si="160"/>
        <v>0</v>
      </c>
      <c r="V230" s="553">
        <f t="shared" ref="V230" si="161">SUM(V229)</f>
        <v>0</v>
      </c>
      <c r="W230" s="552">
        <f t="shared" si="160"/>
        <v>0</v>
      </c>
      <c r="AA230" s="262">
        <f t="shared" si="152"/>
        <v>0</v>
      </c>
      <c r="AB230" s="262"/>
      <c r="AC230" s="262"/>
      <c r="AD230" s="262"/>
      <c r="AE230" s="262"/>
      <c r="AF230" s="262"/>
      <c r="AG230" s="262"/>
      <c r="AH230" s="262"/>
      <c r="AI230" s="262"/>
      <c r="AJ230" s="262"/>
      <c r="AK230" s="262"/>
      <c r="AL230" s="262"/>
      <c r="AM230" s="262"/>
      <c r="AN230" s="262"/>
      <c r="AO230" s="262"/>
      <c r="AP230" s="262"/>
    </row>
    <row r="231" spans="1:42" s="535" customFormat="1" ht="12.75" thickBot="1">
      <c r="A231" s="556" t="s">
        <v>23</v>
      </c>
      <c r="B231" s="557" t="s">
        <v>413</v>
      </c>
      <c r="C231" s="558">
        <f t="shared" ref="C231:W231" si="162">+C225+C228+C230</f>
        <v>1202649</v>
      </c>
      <c r="D231" s="559">
        <f t="shared" si="162"/>
        <v>347952</v>
      </c>
      <c r="E231" s="559">
        <f t="shared" si="162"/>
        <v>123238</v>
      </c>
      <c r="F231" s="559">
        <f t="shared" si="162"/>
        <v>5490</v>
      </c>
      <c r="G231" s="559">
        <f t="shared" si="162"/>
        <v>32276</v>
      </c>
      <c r="H231" s="559">
        <f t="shared" si="162"/>
        <v>40350</v>
      </c>
      <c r="I231" s="560">
        <f t="shared" si="162"/>
        <v>1100</v>
      </c>
      <c r="J231" s="561">
        <f t="shared" si="162"/>
        <v>1753055</v>
      </c>
      <c r="K231" s="558">
        <f t="shared" si="162"/>
        <v>163801</v>
      </c>
      <c r="L231" s="558">
        <f t="shared" si="162"/>
        <v>19137</v>
      </c>
      <c r="M231" s="558">
        <f t="shared" si="162"/>
        <v>182165</v>
      </c>
      <c r="N231" s="558">
        <f t="shared" si="162"/>
        <v>52779</v>
      </c>
      <c r="O231" s="558">
        <f t="shared" si="162"/>
        <v>3146636</v>
      </c>
      <c r="P231" s="558">
        <f t="shared" si="162"/>
        <v>452190</v>
      </c>
      <c r="Q231" s="558">
        <f t="shared" si="162"/>
        <v>61258</v>
      </c>
      <c r="R231" s="558">
        <f t="shared" si="162"/>
        <v>19162</v>
      </c>
      <c r="S231" s="561">
        <f t="shared" si="162"/>
        <v>4097128</v>
      </c>
      <c r="T231" s="561">
        <f t="shared" si="162"/>
        <v>2344073</v>
      </c>
      <c r="U231" s="1104">
        <f t="shared" si="162"/>
        <v>-636187</v>
      </c>
      <c r="V231" s="560">
        <f t="shared" ref="V231" si="163">+V225+V228+V230</f>
        <v>2877888</v>
      </c>
      <c r="W231" s="561">
        <f t="shared" si="162"/>
        <v>102372</v>
      </c>
      <c r="Y231" s="535">
        <f>+'13.mell_ÖNKfeladatok2020'!$J$91-J231</f>
        <v>0</v>
      </c>
      <c r="Z231" s="535">
        <f>+'13.mell_ÖNKfeladatok2020'!$J$253-S231</f>
        <v>0</v>
      </c>
      <c r="AA231" s="262">
        <f t="shared" si="152"/>
        <v>0</v>
      </c>
      <c r="AB231" s="262"/>
      <c r="AC231" s="262"/>
      <c r="AD231" s="262"/>
      <c r="AE231" s="262"/>
      <c r="AF231" s="262"/>
      <c r="AG231" s="262"/>
      <c r="AH231" s="262"/>
      <c r="AI231" s="262"/>
      <c r="AJ231" s="262"/>
      <c r="AK231" s="262"/>
      <c r="AL231" s="262"/>
      <c r="AM231" s="262"/>
      <c r="AN231" s="262"/>
      <c r="AO231" s="262"/>
      <c r="AP231" s="262"/>
    </row>
    <row r="232" spans="1:42" s="535" customFormat="1" ht="12.75" thickBot="1">
      <c r="A232" s="567"/>
      <c r="B232" s="568"/>
      <c r="C232" s="569"/>
      <c r="D232" s="569"/>
      <c r="E232" s="569"/>
      <c r="F232" s="569"/>
      <c r="G232" s="569"/>
      <c r="H232" s="569"/>
      <c r="I232" s="866"/>
      <c r="J232" s="572"/>
      <c r="K232" s="569"/>
      <c r="L232" s="569"/>
      <c r="M232" s="569"/>
      <c r="N232" s="569"/>
      <c r="O232" s="569"/>
      <c r="P232" s="569"/>
      <c r="Q232" s="569"/>
      <c r="R232" s="569"/>
      <c r="S232" s="572"/>
      <c r="T232" s="572"/>
      <c r="U232" s="866"/>
      <c r="V232" s="571"/>
      <c r="W232" s="572"/>
      <c r="AA232" s="262">
        <f t="shared" si="152"/>
        <v>0</v>
      </c>
      <c r="AB232" s="262"/>
      <c r="AC232" s="262"/>
      <c r="AD232" s="262"/>
      <c r="AE232" s="262"/>
      <c r="AF232" s="262"/>
      <c r="AG232" s="262"/>
      <c r="AH232" s="262"/>
      <c r="AI232" s="262"/>
      <c r="AJ232" s="262"/>
      <c r="AK232" s="262"/>
      <c r="AL232" s="262"/>
      <c r="AM232" s="262"/>
      <c r="AN232" s="262"/>
      <c r="AO232" s="262"/>
      <c r="AP232" s="262"/>
    </row>
    <row r="233" spans="1:42">
      <c r="A233" s="867">
        <f>+A229+1</f>
        <v>12</v>
      </c>
      <c r="B233" s="868" t="s">
        <v>773</v>
      </c>
      <c r="C233" s="555">
        <f>+SUMIF('13.mell_ÖNKfeladatok2020'!$B$5:$B$159,'14.mell_Önk kiegészítés2020'!$A233,'13.mell_ÖNKfeladatok2020'!R$5:R$159)</f>
        <v>0</v>
      </c>
      <c r="D233" s="555">
        <f>+SUMIF('13.mell_ÖNKfeladatok2020'!$B$5:$B$159,'14.mell_Önk kiegészítés2020'!$A233,'13.mell_ÖNKfeladatok2020'!V$5:V$159)</f>
        <v>0</v>
      </c>
      <c r="E233" s="555">
        <f>+SUMIF('13.mell_ÖNKfeladatok2020'!$B$5:$B$159,'14.mell_Önk kiegészítés2020'!$A233,'13.mell_ÖNKfeladatok2020'!Z$5:Z$159)</f>
        <v>0</v>
      </c>
      <c r="F233" s="555">
        <f>+SUMIF('13.mell_ÖNKfeladatok2020'!$B$5:$B$159,'14.mell_Önk kiegészítés2020'!$A233,'13.mell_ÖNKfeladatok2020'!AD$5:AD$159)</f>
        <v>0</v>
      </c>
      <c r="G233" s="555">
        <f>+SUMIF('13.mell_ÖNKfeladatok2020'!$B$5:$B$159,'14.mell_Önk kiegészítés2020'!$A233,'13.mell_ÖNKfeladatok2020'!AL$5:AL$159)</f>
        <v>0</v>
      </c>
      <c r="H233" s="555">
        <f>+SUMIF('13.mell_ÖNKfeladatok2020'!$B$5:$B$159,'14.mell_Önk kiegészítés2020'!$A233,'13.mell_ÖNKfeladatok2020'!AP$5:AP$159)</f>
        <v>0</v>
      </c>
      <c r="I233" s="555">
        <f>+SUMIF('13.mell_ÖNKfeladatok2020'!$B$5:$B$159,'14.mell_Önk kiegészítés2020'!$A233,'13.mell_ÖNKfeladatok2020'!AT$5:AT$159)</f>
        <v>0</v>
      </c>
      <c r="J233" s="581">
        <f>SUM(C233:I233)</f>
        <v>0</v>
      </c>
      <c r="K233" s="540">
        <f>+SUMIF('13.mell_ÖNKfeladatok2020'!$B$167:$B$321,'14.mell_Önk kiegészítés2020'!$A233,'13.mell_ÖNKfeladatok2020'!R$167:R$321)</f>
        <v>169575</v>
      </c>
      <c r="L233" s="540">
        <f>+SUMIF('13.mell_ÖNKfeladatok2020'!$B$167:$B$321,'14.mell_Önk kiegészítés2020'!$A233,'13.mell_ÖNKfeladatok2020'!V$167:V$321)</f>
        <v>32833</v>
      </c>
      <c r="M233" s="540">
        <f>+SUMIF('13.mell_ÖNKfeladatok2020'!$B$167:$B$321,'14.mell_Önk kiegészítés2020'!$A233,'13.mell_ÖNKfeladatok2020'!Z$167:Z$321)</f>
        <v>23213</v>
      </c>
      <c r="N233" s="540">
        <f>+SUMIF('13.mell_ÖNKfeladatok2020'!$B$167:$B$321,'14.mell_Önk kiegészítés2020'!$A233,'13.mell_ÖNKfeladatok2020'!AD$167:AD$321)</f>
        <v>0</v>
      </c>
      <c r="O233" s="540">
        <f>+SUMIF('13.mell_ÖNKfeladatok2020'!$B$167:$B$321,'14.mell_Önk kiegészítés2020'!$A233,'13.mell_ÖNKfeladatok2020'!AH$167:AH$321)</f>
        <v>0</v>
      </c>
      <c r="P233" s="540">
        <f>+SUMIF('13.mell_ÖNKfeladatok2020'!$B$167:$B$321,'14.mell_Önk kiegészítés2020'!$A233,'13.mell_ÖNKfeladatok2020'!AP$167:AP$321)</f>
        <v>4000</v>
      </c>
      <c r="Q233" s="540">
        <f>+SUMIF('13.mell_ÖNKfeladatok2020'!$B$167:$B$321,'14.mell_Önk kiegészítés2020'!$A233,'13.mell_ÖNKfeladatok2020'!AT$167:AT$321)</f>
        <v>0</v>
      </c>
      <c r="R233" s="540">
        <f>+SUMIF('13.mell_ÖNKfeladatok2020'!$B$167:$B$321,'14.mell_Önk kiegészítés2020'!$A233,'13.mell_ÖNKfeladatok2020'!AX$167:AX$321)</f>
        <v>0</v>
      </c>
      <c r="S233" s="581">
        <f>SUM(K233:R233)</f>
        <v>229621</v>
      </c>
      <c r="T233" s="541">
        <f>S233-J233</f>
        <v>229621</v>
      </c>
      <c r="U233" s="1100">
        <f>+ROUND(SUMIF('10.mell_támogatások2020'!$B$6:$B$137,'14.mell_Önk kiegészítés2020'!$A233,'10.mell_támogatások2020'!G$6:G$137)/1000,0)</f>
        <v>146755</v>
      </c>
      <c r="V233" s="1080">
        <f>26419+10024-77159+125</f>
        <v>-40591</v>
      </c>
      <c r="W233" s="541">
        <f t="shared" ref="W233:W235" si="164">+T233-U233-V233</f>
        <v>123457</v>
      </c>
      <c r="AA233" s="262">
        <f t="shared" si="152"/>
        <v>0</v>
      </c>
      <c r="AE233" s="262">
        <v>26419</v>
      </c>
      <c r="AF233" s="262">
        <v>10024</v>
      </c>
      <c r="AG233" s="262">
        <f>((49+9)+(29+5))+(29+4)</f>
        <v>125</v>
      </c>
      <c r="AI233" s="262">
        <f>-13930-61637-1592</f>
        <v>-77159</v>
      </c>
    </row>
    <row r="234" spans="1:42">
      <c r="A234" s="826">
        <f>+A233+1</f>
        <v>13</v>
      </c>
      <c r="B234" s="542" t="s">
        <v>774</v>
      </c>
      <c r="C234" s="546">
        <f>+SUMIF('13.mell_ÖNKfeladatok2020'!$B$5:$B$159,'14.mell_Önk kiegészítés2020'!$A234,'13.mell_ÖNKfeladatok2020'!R$5:R$159)</f>
        <v>0</v>
      </c>
      <c r="D234" s="546">
        <f>+SUMIF('13.mell_ÖNKfeladatok2020'!$B$5:$B$159,'14.mell_Önk kiegészítés2020'!$A234,'13.mell_ÖNKfeladatok2020'!V$5:V$159)</f>
        <v>0</v>
      </c>
      <c r="E234" s="546">
        <f>+SUMIF('13.mell_ÖNKfeladatok2020'!$B$5:$B$159,'14.mell_Önk kiegészítés2020'!$A234,'13.mell_ÖNKfeladatok2020'!Z$5:Z$159)</f>
        <v>0</v>
      </c>
      <c r="F234" s="546">
        <f>+SUMIF('13.mell_ÖNKfeladatok2020'!$B$5:$B$159,'14.mell_Önk kiegészítés2020'!$A234,'13.mell_ÖNKfeladatok2020'!AD$5:AD$159)</f>
        <v>0</v>
      </c>
      <c r="G234" s="546">
        <f>+SUMIF('13.mell_ÖNKfeladatok2020'!$B$5:$B$159,'14.mell_Önk kiegészítés2020'!$A234,'13.mell_ÖNKfeladatok2020'!AL$5:AL$159)</f>
        <v>0</v>
      </c>
      <c r="H234" s="546">
        <f>+SUMIF('13.mell_ÖNKfeladatok2020'!$B$5:$B$159,'14.mell_Önk kiegészítés2020'!$A234,'13.mell_ÖNKfeladatok2020'!AP$5:AP$159)</f>
        <v>0</v>
      </c>
      <c r="I234" s="546">
        <f>+SUMIF('13.mell_ÖNKfeladatok2020'!$B$5:$B$159,'14.mell_Önk kiegészítés2020'!$A234,'13.mell_ÖNKfeladatok2020'!AT$5:AT$159)</f>
        <v>0</v>
      </c>
      <c r="J234" s="582">
        <f>SUM(C234:I234)</f>
        <v>0</v>
      </c>
      <c r="K234" s="543">
        <f>+SUMIF('13.mell_ÖNKfeladatok2020'!$B$167:$B$321,'14.mell_Önk kiegészítés2020'!$A234,'13.mell_ÖNKfeladatok2020'!R$167:R$321)</f>
        <v>0</v>
      </c>
      <c r="L234" s="543">
        <f>+SUMIF('13.mell_ÖNKfeladatok2020'!$B$167:$B$321,'14.mell_Önk kiegészítés2020'!$A234,'13.mell_ÖNKfeladatok2020'!V$167:V$321)</f>
        <v>0</v>
      </c>
      <c r="M234" s="543">
        <f>+SUMIF('13.mell_ÖNKfeladatok2020'!$B$167:$B$321,'14.mell_Önk kiegészítés2020'!$A234,'13.mell_ÖNKfeladatok2020'!Z$167:Z$321)</f>
        <v>0</v>
      </c>
      <c r="N234" s="543">
        <f>+SUMIF('13.mell_ÖNKfeladatok2020'!$B$167:$B$321,'14.mell_Önk kiegészítés2020'!$A234,'13.mell_ÖNKfeladatok2020'!AD$167:AD$321)</f>
        <v>0</v>
      </c>
      <c r="O234" s="543">
        <f>+SUMIF('13.mell_ÖNKfeladatok2020'!$B$167:$B$321,'14.mell_Önk kiegészítés2020'!$A234,'13.mell_ÖNKfeladatok2020'!AH$167:AH$321)</f>
        <v>0</v>
      </c>
      <c r="P234" s="543">
        <f>+SUMIF('13.mell_ÖNKfeladatok2020'!$B$167:$B$321,'14.mell_Önk kiegészítés2020'!$A234,'13.mell_ÖNKfeladatok2020'!AP$167:AP$321)</f>
        <v>0</v>
      </c>
      <c r="Q234" s="543">
        <f>+SUMIF('13.mell_ÖNKfeladatok2020'!$B$167:$B$321,'14.mell_Önk kiegészítés2020'!$A234,'13.mell_ÖNKfeladatok2020'!AT$167:AT$321)</f>
        <v>0</v>
      </c>
      <c r="R234" s="543">
        <f>+SUMIF('13.mell_ÖNKfeladatok2020'!$B$167:$B$321,'14.mell_Önk kiegészítés2020'!$A234,'13.mell_ÖNKfeladatok2020'!AX$167:AX$321)</f>
        <v>0</v>
      </c>
      <c r="S234" s="582">
        <f>SUM(K234:R234)</f>
        <v>0</v>
      </c>
      <c r="T234" s="544">
        <f>S234-J234</f>
        <v>0</v>
      </c>
      <c r="U234" s="1101">
        <f>+ROUND(SUMIF('10.mell_támogatások2020'!$B$6:$B$137,'14.mell_Önk kiegészítés2020'!$A234,'10.mell_támogatások2020'!G$6:G$137)/1000,0)</f>
        <v>0</v>
      </c>
      <c r="V234" s="1081"/>
      <c r="W234" s="544">
        <f t="shared" si="164"/>
        <v>0</v>
      </c>
      <c r="AA234" s="262">
        <f t="shared" si="152"/>
        <v>0</v>
      </c>
    </row>
    <row r="235" spans="1:42" ht="12.75" thickBot="1">
      <c r="A235" s="826">
        <f>+A234+1</f>
        <v>14</v>
      </c>
      <c r="B235" s="545" t="s">
        <v>759</v>
      </c>
      <c r="C235" s="546">
        <f>+SUMIF('13.mell_ÖNKfeladatok2020'!$B$5:$B$159,'14.mell_Önk kiegészítés2020'!$A235,'13.mell_ÖNKfeladatok2020'!R$5:R$159)</f>
        <v>0</v>
      </c>
      <c r="D235" s="546">
        <f>+SUMIF('13.mell_ÖNKfeladatok2020'!$B$5:$B$159,'14.mell_Önk kiegészítés2020'!$A235,'13.mell_ÖNKfeladatok2020'!V$5:V$159)</f>
        <v>0</v>
      </c>
      <c r="E235" s="546">
        <f>+SUMIF('13.mell_ÖNKfeladatok2020'!$B$5:$B$159,'14.mell_Önk kiegészítés2020'!$A235,'13.mell_ÖNKfeladatok2020'!Z$5:Z$159)</f>
        <v>9308</v>
      </c>
      <c r="F235" s="546">
        <f>+SUMIF('13.mell_ÖNKfeladatok2020'!$B$5:$B$159,'14.mell_Önk kiegészítés2020'!$A235,'13.mell_ÖNKfeladatok2020'!AD$5:AD$159)</f>
        <v>0</v>
      </c>
      <c r="G235" s="546">
        <f>+SUMIF('13.mell_ÖNKfeladatok2020'!$B$5:$B$159,'14.mell_Önk kiegészítés2020'!$A235,'13.mell_ÖNKfeladatok2020'!AL$5:AL$159)</f>
        <v>0</v>
      </c>
      <c r="H235" s="546">
        <f>+SUMIF('13.mell_ÖNKfeladatok2020'!$B$5:$B$159,'14.mell_Önk kiegészítés2020'!$A235,'13.mell_ÖNKfeladatok2020'!AP$5:AP$159)</f>
        <v>0</v>
      </c>
      <c r="I235" s="546">
        <f>+SUMIF('13.mell_ÖNKfeladatok2020'!$B$5:$B$159,'14.mell_Önk kiegészítés2020'!$A235,'13.mell_ÖNKfeladatok2020'!AT$5:AT$159)</f>
        <v>0</v>
      </c>
      <c r="J235" s="582">
        <f>SUM(C235:I235)</f>
        <v>9308</v>
      </c>
      <c r="K235" s="543">
        <f>+SUMIF('13.mell_ÖNKfeladatok2020'!$B$167:$B$321,'14.mell_Önk kiegészítés2020'!$A235,'13.mell_ÖNKfeladatok2020'!R$167:R$321)</f>
        <v>105621</v>
      </c>
      <c r="L235" s="543">
        <f>+SUMIF('13.mell_ÖNKfeladatok2020'!$B$167:$B$321,'14.mell_Önk kiegészítés2020'!$A235,'13.mell_ÖNKfeladatok2020'!V$167:V$321)</f>
        <v>18800</v>
      </c>
      <c r="M235" s="543">
        <f>+SUMIF('13.mell_ÖNKfeladatok2020'!$B$167:$B$321,'14.mell_Önk kiegészítés2020'!$A235,'13.mell_ÖNKfeladatok2020'!Z$167:Z$321)</f>
        <v>13704</v>
      </c>
      <c r="N235" s="543">
        <f>+SUMIF('13.mell_ÖNKfeladatok2020'!$B$167:$B$321,'14.mell_Önk kiegészítés2020'!$A235,'13.mell_ÖNKfeladatok2020'!AD$167:AD$321)</f>
        <v>0</v>
      </c>
      <c r="O235" s="543">
        <f>+SUMIF('13.mell_ÖNKfeladatok2020'!$B$167:$B$321,'14.mell_Önk kiegészítés2020'!$A235,'13.mell_ÖNKfeladatok2020'!AH$167:AH$321)</f>
        <v>22631</v>
      </c>
      <c r="P235" s="543">
        <f>+SUMIF('13.mell_ÖNKfeladatok2020'!$B$167:$B$321,'14.mell_Önk kiegészítés2020'!$A235,'13.mell_ÖNKfeladatok2020'!AP$167:AP$321)</f>
        <v>0</v>
      </c>
      <c r="Q235" s="543">
        <f>+SUMIF('13.mell_ÖNKfeladatok2020'!$B$167:$B$321,'14.mell_Önk kiegészítés2020'!$A235,'13.mell_ÖNKfeladatok2020'!AT$167:AT$321)</f>
        <v>0</v>
      </c>
      <c r="R235" s="543">
        <f>+SUMIF('13.mell_ÖNKfeladatok2020'!$B$167:$B$321,'14.mell_Önk kiegészítés2020'!$A235,'13.mell_ÖNKfeladatok2020'!AX$167:AX$321)</f>
        <v>0</v>
      </c>
      <c r="S235" s="582">
        <f>SUM(K235:R235)</f>
        <v>160756</v>
      </c>
      <c r="T235" s="544">
        <f>S235-J235</f>
        <v>151448</v>
      </c>
      <c r="U235" s="1101">
        <f>+ROUND(SUMIF('10.mell_támogatások2020'!$B$6:$B$137,'14.mell_Önk kiegészítés2020'!$A235,'10.mell_támogatások2020'!G$6:G$137)/1000,0)</f>
        <v>0</v>
      </c>
      <c r="V235" s="1081"/>
      <c r="W235" s="544">
        <f t="shared" si="164"/>
        <v>151448</v>
      </c>
      <c r="AA235" s="262">
        <f t="shared" si="152"/>
        <v>0</v>
      </c>
    </row>
    <row r="236" spans="1:42" s="535" customFormat="1" ht="12.75" thickBot="1">
      <c r="A236" s="547" t="s">
        <v>590</v>
      </c>
      <c r="B236" s="548" t="s">
        <v>869</v>
      </c>
      <c r="C236" s="549">
        <f t="shared" ref="C236:W236" si="165">SUM(C233:C235)</f>
        <v>0</v>
      </c>
      <c r="D236" s="550">
        <f t="shared" si="165"/>
        <v>0</v>
      </c>
      <c r="E236" s="550">
        <f t="shared" si="165"/>
        <v>9308</v>
      </c>
      <c r="F236" s="550">
        <f t="shared" si="165"/>
        <v>0</v>
      </c>
      <c r="G236" s="550">
        <f t="shared" si="165"/>
        <v>0</v>
      </c>
      <c r="H236" s="550">
        <f t="shared" si="165"/>
        <v>0</v>
      </c>
      <c r="I236" s="551">
        <f t="shared" si="165"/>
        <v>0</v>
      </c>
      <c r="J236" s="552">
        <f t="shared" si="165"/>
        <v>9308</v>
      </c>
      <c r="K236" s="549">
        <f t="shared" si="165"/>
        <v>275196</v>
      </c>
      <c r="L236" s="549">
        <f t="shared" si="165"/>
        <v>51633</v>
      </c>
      <c r="M236" s="549">
        <f t="shared" si="165"/>
        <v>36917</v>
      </c>
      <c r="N236" s="549">
        <f t="shared" si="165"/>
        <v>0</v>
      </c>
      <c r="O236" s="549">
        <f t="shared" si="165"/>
        <v>22631</v>
      </c>
      <c r="P236" s="549">
        <f t="shared" si="165"/>
        <v>4000</v>
      </c>
      <c r="Q236" s="549">
        <f t="shared" si="165"/>
        <v>0</v>
      </c>
      <c r="R236" s="549">
        <f t="shared" si="165"/>
        <v>0</v>
      </c>
      <c r="S236" s="552">
        <f t="shared" si="165"/>
        <v>390377</v>
      </c>
      <c r="T236" s="552">
        <f t="shared" si="165"/>
        <v>381069</v>
      </c>
      <c r="U236" s="1102">
        <f t="shared" si="165"/>
        <v>146755</v>
      </c>
      <c r="V236" s="553">
        <f t="shared" ref="V236" si="166">SUM(V233:V235)</f>
        <v>-40591</v>
      </c>
      <c r="W236" s="552">
        <f t="shared" si="165"/>
        <v>274905</v>
      </c>
      <c r="AA236" s="262">
        <f t="shared" si="152"/>
        <v>0</v>
      </c>
      <c r="AB236" s="262"/>
      <c r="AC236" s="262"/>
      <c r="AD236" s="262"/>
      <c r="AE236" s="262"/>
      <c r="AF236" s="262"/>
      <c r="AG236" s="262"/>
      <c r="AH236" s="262"/>
      <c r="AI236" s="262"/>
      <c r="AJ236" s="262"/>
      <c r="AK236" s="262"/>
      <c r="AL236" s="262"/>
      <c r="AM236" s="262"/>
      <c r="AN236" s="262"/>
      <c r="AO236" s="262"/>
      <c r="AP236" s="262"/>
    </row>
    <row r="237" spans="1:42">
      <c r="A237" s="826">
        <f>+A235+1</f>
        <v>15</v>
      </c>
      <c r="B237" s="566" t="s">
        <v>416</v>
      </c>
      <c r="C237" s="540">
        <f>+SUMIF('13.mell_ÖNKfeladatok2020'!$B$5:$B$159,'14.mell_Önk kiegészítés2020'!$A237,'13.mell_ÖNKfeladatok2020'!R$5:R$159)</f>
        <v>0</v>
      </c>
      <c r="D237" s="540">
        <f>+SUMIF('13.mell_ÖNKfeladatok2020'!$B$5:$B$159,'14.mell_Önk kiegészítés2020'!$A237,'13.mell_ÖNKfeladatok2020'!V$5:V$159)</f>
        <v>0</v>
      </c>
      <c r="E237" s="540">
        <f>+SUMIF('13.mell_ÖNKfeladatok2020'!$B$5:$B$159,'14.mell_Önk kiegészítés2020'!$A237,'13.mell_ÖNKfeladatok2020'!Z$5:Z$159)</f>
        <v>32151</v>
      </c>
      <c r="F237" s="540">
        <f>+SUMIF('13.mell_ÖNKfeladatok2020'!$B$5:$B$159,'14.mell_Önk kiegészítés2020'!$A237,'13.mell_ÖNKfeladatok2020'!AD$5:AD$159)</f>
        <v>0</v>
      </c>
      <c r="G237" s="540">
        <f>+SUMIF('13.mell_ÖNKfeladatok2020'!$B$5:$B$159,'14.mell_Önk kiegészítés2020'!$A237,'13.mell_ÖNKfeladatok2020'!AL$5:AL$159)</f>
        <v>0</v>
      </c>
      <c r="H237" s="540">
        <f>+SUMIF('13.mell_ÖNKfeladatok2020'!$B$5:$B$159,'14.mell_Önk kiegészítés2020'!$A237,'13.mell_ÖNKfeladatok2020'!AP$5:AP$159)</f>
        <v>0</v>
      </c>
      <c r="I237" s="540">
        <f>+SUMIF('13.mell_ÖNKfeladatok2020'!$B$5:$B$159,'14.mell_Önk kiegészítés2020'!$A237,'13.mell_ÖNKfeladatok2020'!AT$5:AT$159)</f>
        <v>0</v>
      </c>
      <c r="J237" s="582">
        <f>SUM(C237:I237)</f>
        <v>32151</v>
      </c>
      <c r="K237" s="543">
        <f>+SUMIF('13.mell_ÖNKfeladatok2020'!$B$167:$B$321,'14.mell_Önk kiegészítés2020'!$A237,'13.mell_ÖNKfeladatok2020'!R$167:R$321)</f>
        <v>9229</v>
      </c>
      <c r="L237" s="543">
        <f>+SUMIF('13.mell_ÖNKfeladatok2020'!$B$167:$B$321,'14.mell_Önk kiegészítés2020'!$A237,'13.mell_ÖNKfeladatok2020'!V$167:V$321)</f>
        <v>1643</v>
      </c>
      <c r="M237" s="543">
        <f>+SUMIF('13.mell_ÖNKfeladatok2020'!$B$167:$B$321,'14.mell_Önk kiegészítés2020'!$A237,'13.mell_ÖNKfeladatok2020'!Z$167:Z$321)</f>
        <v>22728</v>
      </c>
      <c r="N237" s="543">
        <f>+SUMIF('13.mell_ÖNKfeladatok2020'!$B$167:$B$321,'14.mell_Önk kiegészítés2020'!$A237,'13.mell_ÖNKfeladatok2020'!AD$167:AD$321)</f>
        <v>0</v>
      </c>
      <c r="O237" s="543">
        <f>+SUMIF('13.mell_ÖNKfeladatok2020'!$B$167:$B$321,'14.mell_Önk kiegészítés2020'!$A237,'13.mell_ÖNKfeladatok2020'!AH$167:AH$321)</f>
        <v>0</v>
      </c>
      <c r="P237" s="543">
        <f>+SUMIF('13.mell_ÖNKfeladatok2020'!$B$167:$B$321,'14.mell_Önk kiegészítés2020'!$A237,'13.mell_ÖNKfeladatok2020'!AP$167:AP$321)</f>
        <v>0</v>
      </c>
      <c r="Q237" s="543">
        <f>+SUMIF('13.mell_ÖNKfeladatok2020'!$B$167:$B$321,'14.mell_Önk kiegészítés2020'!$A237,'13.mell_ÖNKfeladatok2020'!AT$167:AT$321)</f>
        <v>0</v>
      </c>
      <c r="R237" s="543">
        <f>+SUMIF('13.mell_ÖNKfeladatok2020'!$B$167:$B$321,'14.mell_Önk kiegészítés2020'!$A237,'13.mell_ÖNKfeladatok2020'!AX$167:AX$321)</f>
        <v>0</v>
      </c>
      <c r="S237" s="582">
        <f>SUM(K237:R237)</f>
        <v>33600</v>
      </c>
      <c r="T237" s="544">
        <f>S237-J237</f>
        <v>1449</v>
      </c>
      <c r="U237" s="1101">
        <f>+ROUND(SUMIF('10.mell_támogatások2020'!$B$6:$B$137,'14.mell_Önk kiegészítés2020'!$A237,'10.mell_támogatások2020'!G$6:G$137)/1000,0)</f>
        <v>0</v>
      </c>
      <c r="V237" s="1081"/>
      <c r="W237" s="544">
        <f t="shared" ref="W237:W239" si="167">+T237-U237-V237</f>
        <v>1449</v>
      </c>
      <c r="AA237" s="262">
        <f t="shared" si="152"/>
        <v>0</v>
      </c>
    </row>
    <row r="238" spans="1:42">
      <c r="A238" s="826">
        <f>+A237+1</f>
        <v>16</v>
      </c>
      <c r="B238" s="545" t="s">
        <v>647</v>
      </c>
      <c r="C238" s="546">
        <f>+SUMIF('13.mell_ÖNKfeladatok2020'!$B$5:$B$159,'14.mell_Önk kiegészítés2020'!$A238,'13.mell_ÖNKfeladatok2020'!R$5:R$159)</f>
        <v>0</v>
      </c>
      <c r="D238" s="546">
        <f>+SUMIF('13.mell_ÖNKfeladatok2020'!$B$5:$B$159,'14.mell_Önk kiegészítés2020'!$A238,'13.mell_ÖNKfeladatok2020'!V$5:V$159)</f>
        <v>0</v>
      </c>
      <c r="E238" s="546">
        <f>+SUMIF('13.mell_ÖNKfeladatok2020'!$B$5:$B$159,'14.mell_Önk kiegészítés2020'!$A238,'13.mell_ÖNKfeladatok2020'!Z$5:Z$159)</f>
        <v>0</v>
      </c>
      <c r="F238" s="546">
        <f>+SUMIF('13.mell_ÖNKfeladatok2020'!$B$5:$B$159,'14.mell_Önk kiegészítés2020'!$A238,'13.mell_ÖNKfeladatok2020'!AD$5:AD$159)</f>
        <v>0</v>
      </c>
      <c r="G238" s="546">
        <f>+SUMIF('13.mell_ÖNKfeladatok2020'!$B$5:$B$159,'14.mell_Önk kiegészítés2020'!$A238,'13.mell_ÖNKfeladatok2020'!AL$5:AL$159)</f>
        <v>0</v>
      </c>
      <c r="H238" s="546">
        <f>+SUMIF('13.mell_ÖNKfeladatok2020'!$B$5:$B$159,'14.mell_Önk kiegészítés2020'!$A238,'13.mell_ÖNKfeladatok2020'!AP$5:AP$159)</f>
        <v>0</v>
      </c>
      <c r="I238" s="546">
        <f>+SUMIF('13.mell_ÖNKfeladatok2020'!$B$5:$B$159,'14.mell_Önk kiegészítés2020'!$A238,'13.mell_ÖNKfeladatok2020'!AT$5:AT$159)</f>
        <v>0</v>
      </c>
      <c r="J238" s="583">
        <f>SUM(C238:I238)</f>
        <v>0</v>
      </c>
      <c r="K238" s="543">
        <f>+SUMIF('13.mell_ÖNKfeladatok2020'!$B$167:$B$321,'14.mell_Önk kiegészítés2020'!$A238,'13.mell_ÖNKfeladatok2020'!R$167:R$321)</f>
        <v>5403</v>
      </c>
      <c r="L238" s="543">
        <f>+SUMIF('13.mell_ÖNKfeladatok2020'!$B$167:$B$321,'14.mell_Önk kiegészítés2020'!$A238,'13.mell_ÖNKfeladatok2020'!V$167:V$321)</f>
        <v>864</v>
      </c>
      <c r="M238" s="543">
        <f>+SUMIF('13.mell_ÖNKfeladatok2020'!$B$167:$B$321,'14.mell_Önk kiegészítés2020'!$A238,'13.mell_ÖNKfeladatok2020'!Z$167:Z$321)</f>
        <v>381</v>
      </c>
      <c r="N238" s="543">
        <f>+SUMIF('13.mell_ÖNKfeladatok2020'!$B$167:$B$321,'14.mell_Önk kiegészítés2020'!$A238,'13.mell_ÖNKfeladatok2020'!AD$167:AD$321)</f>
        <v>0</v>
      </c>
      <c r="O238" s="543">
        <f>+SUMIF('13.mell_ÖNKfeladatok2020'!$B$167:$B$321,'14.mell_Önk kiegészítés2020'!$A238,'13.mell_ÖNKfeladatok2020'!AH$167:AH$321)</f>
        <v>0</v>
      </c>
      <c r="P238" s="543">
        <f>+SUMIF('13.mell_ÖNKfeladatok2020'!$B$167:$B$321,'14.mell_Önk kiegészítés2020'!$A238,'13.mell_ÖNKfeladatok2020'!AP$167:AP$321)</f>
        <v>0</v>
      </c>
      <c r="Q238" s="543">
        <f>+SUMIF('13.mell_ÖNKfeladatok2020'!$B$167:$B$321,'14.mell_Önk kiegészítés2020'!$A238,'13.mell_ÖNKfeladatok2020'!AT$167:AT$321)</f>
        <v>0</v>
      </c>
      <c r="R238" s="543">
        <f>+SUMIF('13.mell_ÖNKfeladatok2020'!$B$167:$B$321,'14.mell_Önk kiegészítés2020'!$A238,'13.mell_ÖNKfeladatok2020'!AX$167:AX$321)</f>
        <v>0</v>
      </c>
      <c r="S238" s="582">
        <f>SUM(K238:R238)</f>
        <v>6648</v>
      </c>
      <c r="T238" s="544">
        <f>S238-J238</f>
        <v>6648</v>
      </c>
      <c r="U238" s="1101">
        <f>+ROUND(SUMIF('10.mell_támogatások2020'!$B$6:$B$137,'14.mell_Önk kiegészítés2020'!$A238,'10.mell_támogatások2020'!G$6:G$137)/1000,0)</f>
        <v>0</v>
      </c>
      <c r="V238" s="1081"/>
      <c r="W238" s="544">
        <f t="shared" si="167"/>
        <v>6648</v>
      </c>
      <c r="AA238" s="262">
        <f t="shared" si="152"/>
        <v>0</v>
      </c>
    </row>
    <row r="239" spans="1:42" ht="12.75" thickBot="1">
      <c r="A239" s="826">
        <f>+A238+1</f>
        <v>17</v>
      </c>
      <c r="B239" s="545" t="s">
        <v>894</v>
      </c>
      <c r="C239" s="546">
        <f>+SUMIF('13.mell_ÖNKfeladatok2020'!$B$5:$B$159,'14.mell_Önk kiegészítés2020'!$A239,'13.mell_ÖNKfeladatok2020'!R$5:R$159)</f>
        <v>0</v>
      </c>
      <c r="D239" s="546">
        <f>+SUMIF('13.mell_ÖNKfeladatok2020'!$B$5:$B$159,'14.mell_Önk kiegészítés2020'!$A239,'13.mell_ÖNKfeladatok2020'!V$5:V$159)</f>
        <v>0</v>
      </c>
      <c r="E239" s="546">
        <f>+SUMIF('13.mell_ÖNKfeladatok2020'!$B$5:$B$159,'14.mell_Önk kiegészítés2020'!$A239,'13.mell_ÖNKfeladatok2020'!Z$5:Z$159)</f>
        <v>0</v>
      </c>
      <c r="F239" s="546">
        <f>+SUMIF('13.mell_ÖNKfeladatok2020'!$B$5:$B$159,'14.mell_Önk kiegészítés2020'!$A239,'13.mell_ÖNKfeladatok2020'!AD$5:AD$159)</f>
        <v>0</v>
      </c>
      <c r="G239" s="546">
        <f>+SUMIF('13.mell_ÖNKfeladatok2020'!$B$5:$B$159,'14.mell_Önk kiegészítés2020'!$A239,'13.mell_ÖNKfeladatok2020'!AL$5:AL$159)</f>
        <v>0</v>
      </c>
      <c r="H239" s="546">
        <f>+SUMIF('13.mell_ÖNKfeladatok2020'!$B$5:$B$159,'14.mell_Önk kiegészítés2020'!$A239,'13.mell_ÖNKfeladatok2020'!AP$5:AP$159)</f>
        <v>0</v>
      </c>
      <c r="I239" s="546">
        <f>+SUMIF('13.mell_ÖNKfeladatok2020'!$B$5:$B$159,'14.mell_Önk kiegészítés2020'!$A239,'13.mell_ÖNKfeladatok2020'!AT$5:AT$159)</f>
        <v>0</v>
      </c>
      <c r="J239" s="583">
        <f>SUM(C239:I239)</f>
        <v>0</v>
      </c>
      <c r="K239" s="543">
        <f>+SUMIF('13.mell_ÖNKfeladatok2020'!$B$167:$B$321,'14.mell_Önk kiegészítés2020'!$A239,'13.mell_ÖNKfeladatok2020'!R$167:R$321)</f>
        <v>0</v>
      </c>
      <c r="L239" s="543">
        <f>+SUMIF('13.mell_ÖNKfeladatok2020'!$B$167:$B$321,'14.mell_Önk kiegészítés2020'!$A239,'13.mell_ÖNKfeladatok2020'!V$167:V$321)</f>
        <v>0</v>
      </c>
      <c r="M239" s="543">
        <f>+SUMIF('13.mell_ÖNKfeladatok2020'!$B$167:$B$321,'14.mell_Önk kiegészítés2020'!$A239,'13.mell_ÖNKfeladatok2020'!Z$167:Z$321)</f>
        <v>0</v>
      </c>
      <c r="N239" s="543">
        <f>+SUMIF('13.mell_ÖNKfeladatok2020'!$B$167:$B$321,'14.mell_Önk kiegészítés2020'!$A239,'13.mell_ÖNKfeladatok2020'!AD$167:AD$321)</f>
        <v>0</v>
      </c>
      <c r="O239" s="543">
        <f>+SUMIF('13.mell_ÖNKfeladatok2020'!$B$167:$B$321,'14.mell_Önk kiegészítés2020'!$A239,'13.mell_ÖNKfeladatok2020'!AH$167:AH$321)</f>
        <v>0</v>
      </c>
      <c r="P239" s="543">
        <f>+SUMIF('13.mell_ÖNKfeladatok2020'!$B$167:$B$321,'14.mell_Önk kiegészítés2020'!$A239,'13.mell_ÖNKfeladatok2020'!AP$167:AP$321)</f>
        <v>0</v>
      </c>
      <c r="Q239" s="543">
        <f>+SUMIF('13.mell_ÖNKfeladatok2020'!$B$167:$B$321,'14.mell_Önk kiegészítés2020'!$A239,'13.mell_ÖNKfeladatok2020'!AT$167:AT$321)</f>
        <v>0</v>
      </c>
      <c r="R239" s="543">
        <f>+SUMIF('13.mell_ÖNKfeladatok2020'!$B$167:$B$321,'14.mell_Önk kiegészítés2020'!$A239,'13.mell_ÖNKfeladatok2020'!AX$167:AX$321)</f>
        <v>0</v>
      </c>
      <c r="S239" s="582">
        <f>SUM(K239:R239)</f>
        <v>0</v>
      </c>
      <c r="T239" s="544">
        <f>S239-J239</f>
        <v>0</v>
      </c>
      <c r="U239" s="1101">
        <f>+ROUND(SUMIF('10.mell_támogatások2020'!$B$6:$B$137,'14.mell_Önk kiegészítés2020'!$A239,'10.mell_támogatások2020'!G$6:G$137)/1000,0)</f>
        <v>0</v>
      </c>
      <c r="V239" s="1081"/>
      <c r="W239" s="544">
        <f t="shared" si="167"/>
        <v>0</v>
      </c>
      <c r="AA239" s="262">
        <f t="shared" si="152"/>
        <v>0</v>
      </c>
    </row>
    <row r="240" spans="1:42" s="535" customFormat="1" ht="12.75" thickBot="1">
      <c r="A240" s="547" t="s">
        <v>632</v>
      </c>
      <c r="B240" s="548" t="s">
        <v>870</v>
      </c>
      <c r="C240" s="549">
        <f>SUM(C237:C239)</f>
        <v>0</v>
      </c>
      <c r="D240" s="550">
        <f t="shared" ref="D240:W240" si="168">SUM(D237:D239)</f>
        <v>0</v>
      </c>
      <c r="E240" s="550">
        <f t="shared" si="168"/>
        <v>32151</v>
      </c>
      <c r="F240" s="550">
        <f t="shared" si="168"/>
        <v>0</v>
      </c>
      <c r="G240" s="550">
        <f t="shared" si="168"/>
        <v>0</v>
      </c>
      <c r="H240" s="550">
        <f t="shared" si="168"/>
        <v>0</v>
      </c>
      <c r="I240" s="553">
        <f t="shared" si="168"/>
        <v>0</v>
      </c>
      <c r="J240" s="552">
        <f t="shared" si="168"/>
        <v>32151</v>
      </c>
      <c r="K240" s="549">
        <f t="shared" si="168"/>
        <v>14632</v>
      </c>
      <c r="L240" s="549">
        <f t="shared" si="168"/>
        <v>2507</v>
      </c>
      <c r="M240" s="549">
        <f t="shared" si="168"/>
        <v>23109</v>
      </c>
      <c r="N240" s="549">
        <f t="shared" si="168"/>
        <v>0</v>
      </c>
      <c r="O240" s="549">
        <f t="shared" si="168"/>
        <v>0</v>
      </c>
      <c r="P240" s="549">
        <f t="shared" si="168"/>
        <v>0</v>
      </c>
      <c r="Q240" s="549">
        <f t="shared" si="168"/>
        <v>0</v>
      </c>
      <c r="R240" s="549">
        <f t="shared" si="168"/>
        <v>0</v>
      </c>
      <c r="S240" s="552">
        <f t="shared" si="168"/>
        <v>40248</v>
      </c>
      <c r="T240" s="552">
        <f t="shared" si="168"/>
        <v>8097</v>
      </c>
      <c r="U240" s="1102">
        <f t="shared" si="168"/>
        <v>0</v>
      </c>
      <c r="V240" s="553">
        <f t="shared" ref="V240" si="169">SUM(V237:V239)</f>
        <v>0</v>
      </c>
      <c r="W240" s="552">
        <f t="shared" si="168"/>
        <v>8097</v>
      </c>
      <c r="AA240" s="262">
        <f t="shared" si="152"/>
        <v>0</v>
      </c>
      <c r="AB240" s="262"/>
      <c r="AC240" s="262"/>
      <c r="AD240" s="262"/>
      <c r="AE240" s="262"/>
      <c r="AF240" s="262"/>
      <c r="AG240" s="262"/>
      <c r="AH240" s="262"/>
      <c r="AI240" s="262"/>
      <c r="AJ240" s="262"/>
      <c r="AK240" s="262"/>
      <c r="AL240" s="262"/>
      <c r="AM240" s="262"/>
      <c r="AN240" s="262"/>
      <c r="AO240" s="262"/>
      <c r="AP240" s="262"/>
    </row>
    <row r="241" spans="1:42" ht="12.75" thickBot="1">
      <c r="A241" s="826">
        <f>+A239+1</f>
        <v>18</v>
      </c>
      <c r="B241" s="554" t="s">
        <v>871</v>
      </c>
      <c r="C241" s="555">
        <f>+SUMIF('13.mell_ÖNKfeladatok2020'!$B$5:$B$159,'14.mell_Önk kiegészítés2020'!$A241,'13.mell_ÖNKfeladatok2020'!R$5:R$159)</f>
        <v>0</v>
      </c>
      <c r="D241" s="555">
        <f>+SUMIF('13.mell_ÖNKfeladatok2020'!$B$5:$B$159,'14.mell_Önk kiegészítés2020'!$A241,'13.mell_ÖNKfeladatok2020'!V$5:V$159)</f>
        <v>0</v>
      </c>
      <c r="E241" s="555">
        <f>+SUMIF('13.mell_ÖNKfeladatok2020'!$B$5:$B$159,'14.mell_Önk kiegészítés2020'!$A241,'13.mell_ÖNKfeladatok2020'!Z$5:Z$159)</f>
        <v>0</v>
      </c>
      <c r="F241" s="555">
        <f>+SUMIF('13.mell_ÖNKfeladatok2020'!$B$5:$B$159,'14.mell_Önk kiegészítés2020'!$A241,'13.mell_ÖNKfeladatok2020'!AD$5:AD$159)</f>
        <v>0</v>
      </c>
      <c r="G241" s="555">
        <f>+SUMIF('13.mell_ÖNKfeladatok2020'!$B$5:$B$159,'14.mell_Önk kiegészítés2020'!$A241,'13.mell_ÖNKfeladatok2020'!AL$5:AL$159)</f>
        <v>0</v>
      </c>
      <c r="H241" s="555">
        <f>+SUMIF('13.mell_ÖNKfeladatok2020'!$B$5:$B$159,'14.mell_Önk kiegészítés2020'!$A241,'13.mell_ÖNKfeladatok2020'!AP$5:AP$159)</f>
        <v>0</v>
      </c>
      <c r="I241" s="555">
        <f>+SUMIF('13.mell_ÖNKfeladatok2020'!$B$5:$B$159,'14.mell_Önk kiegészítés2020'!$A241,'13.mell_ÖNKfeladatok2020'!AT$5:AT$159)</f>
        <v>0</v>
      </c>
      <c r="J241" s="584">
        <f>SUM(C241:I241)</f>
        <v>0</v>
      </c>
      <c r="K241" s="543">
        <f>+SUMIF('13.mell_ÖNKfeladatok2020'!$B$167:$B$321,'14.mell_Önk kiegészítés2020'!$A241,'13.mell_ÖNKfeladatok2020'!R$167:R$321)</f>
        <v>0</v>
      </c>
      <c r="L241" s="543">
        <f>+SUMIF('13.mell_ÖNKfeladatok2020'!$B$167:$B$321,'14.mell_Önk kiegészítés2020'!$A241,'13.mell_ÖNKfeladatok2020'!V$167:V$321)</f>
        <v>0</v>
      </c>
      <c r="M241" s="543">
        <f>+SUMIF('13.mell_ÖNKfeladatok2020'!$B$167:$B$321,'14.mell_Önk kiegészítés2020'!$A241,'13.mell_ÖNKfeladatok2020'!Z$167:Z$321)</f>
        <v>0</v>
      </c>
      <c r="N241" s="543">
        <f>+SUMIF('13.mell_ÖNKfeladatok2020'!$B$167:$B$321,'14.mell_Önk kiegészítés2020'!$A241,'13.mell_ÖNKfeladatok2020'!AD$167:AD$321)</f>
        <v>0</v>
      </c>
      <c r="O241" s="543">
        <f>+SUMIF('13.mell_ÖNKfeladatok2020'!$B$167:$B$321,'14.mell_Önk kiegészítés2020'!$A241,'13.mell_ÖNKfeladatok2020'!AH$167:AH$321)</f>
        <v>0</v>
      </c>
      <c r="P241" s="543">
        <f>+SUMIF('13.mell_ÖNKfeladatok2020'!$B$167:$B$321,'14.mell_Önk kiegészítés2020'!$A241,'13.mell_ÖNKfeladatok2020'!AP$167:AP$321)</f>
        <v>0</v>
      </c>
      <c r="Q241" s="543">
        <f>+SUMIF('13.mell_ÖNKfeladatok2020'!$B$167:$B$321,'14.mell_Önk kiegészítés2020'!$A241,'13.mell_ÖNKfeladatok2020'!AT$167:AT$321)</f>
        <v>0</v>
      </c>
      <c r="R241" s="543">
        <f>+SUMIF('13.mell_ÖNKfeladatok2020'!$B$167:$B$321,'14.mell_Önk kiegészítés2020'!$A241,'13.mell_ÖNKfeladatok2020'!AX$167:AX$321)</f>
        <v>0</v>
      </c>
      <c r="S241" s="582">
        <f>SUM(K241:R241)</f>
        <v>0</v>
      </c>
      <c r="T241" s="544">
        <f>S241-J241</f>
        <v>0</v>
      </c>
      <c r="U241" s="1101">
        <f>+ROUND(SUMIF('10.mell_támogatások2020'!$B$6:$B$137,'14.mell_Önk kiegészítés2020'!$A241,'10.mell_támogatások2020'!G$6:G$137)/1000,0)</f>
        <v>0</v>
      </c>
      <c r="V241" s="1081"/>
      <c r="W241" s="544">
        <f>+T241-U241-V241</f>
        <v>0</v>
      </c>
      <c r="AA241" s="262">
        <f t="shared" si="152"/>
        <v>0</v>
      </c>
    </row>
    <row r="242" spans="1:42" s="535" customFormat="1" ht="12.75" thickBot="1">
      <c r="A242" s="547" t="s">
        <v>746</v>
      </c>
      <c r="B242" s="548" t="s">
        <v>871</v>
      </c>
      <c r="C242" s="549">
        <f>SUM(C241)</f>
        <v>0</v>
      </c>
      <c r="D242" s="550">
        <f t="shared" ref="D242:W242" si="170">SUM(D241)</f>
        <v>0</v>
      </c>
      <c r="E242" s="550">
        <f t="shared" si="170"/>
        <v>0</v>
      </c>
      <c r="F242" s="550">
        <f t="shared" si="170"/>
        <v>0</v>
      </c>
      <c r="G242" s="550">
        <f t="shared" si="170"/>
        <v>0</v>
      </c>
      <c r="H242" s="550">
        <f t="shared" si="170"/>
        <v>0</v>
      </c>
      <c r="I242" s="553">
        <f t="shared" si="170"/>
        <v>0</v>
      </c>
      <c r="J242" s="552">
        <f t="shared" si="170"/>
        <v>0</v>
      </c>
      <c r="K242" s="549">
        <f t="shared" si="170"/>
        <v>0</v>
      </c>
      <c r="L242" s="549">
        <f t="shared" si="170"/>
        <v>0</v>
      </c>
      <c r="M242" s="549">
        <f t="shared" si="170"/>
        <v>0</v>
      </c>
      <c r="N242" s="549">
        <f t="shared" si="170"/>
        <v>0</v>
      </c>
      <c r="O242" s="549">
        <f t="shared" si="170"/>
        <v>0</v>
      </c>
      <c r="P242" s="549">
        <f t="shared" si="170"/>
        <v>0</v>
      </c>
      <c r="Q242" s="549">
        <f t="shared" si="170"/>
        <v>0</v>
      </c>
      <c r="R242" s="549">
        <f t="shared" si="170"/>
        <v>0</v>
      </c>
      <c r="S242" s="552">
        <f t="shared" si="170"/>
        <v>0</v>
      </c>
      <c r="T242" s="552">
        <f t="shared" si="170"/>
        <v>0</v>
      </c>
      <c r="U242" s="1102">
        <f t="shared" si="170"/>
        <v>0</v>
      </c>
      <c r="V242" s="553">
        <f t="shared" ref="V242" si="171">SUM(V241)</f>
        <v>0</v>
      </c>
      <c r="W242" s="552">
        <f t="shared" si="170"/>
        <v>0</v>
      </c>
      <c r="AA242" s="262">
        <f t="shared" si="152"/>
        <v>0</v>
      </c>
      <c r="AB242" s="262"/>
      <c r="AC242" s="262"/>
      <c r="AD242" s="262"/>
      <c r="AE242" s="262"/>
      <c r="AF242" s="262"/>
      <c r="AG242" s="262"/>
      <c r="AH242" s="262"/>
      <c r="AI242" s="262"/>
      <c r="AJ242" s="262"/>
      <c r="AK242" s="262"/>
      <c r="AL242" s="262"/>
      <c r="AM242" s="262"/>
      <c r="AN242" s="262"/>
      <c r="AO242" s="262"/>
      <c r="AP242" s="262"/>
    </row>
    <row r="243" spans="1:42" s="535" customFormat="1" ht="12.75" thickBot="1">
      <c r="A243" s="556" t="s">
        <v>22</v>
      </c>
      <c r="B243" s="557" t="s">
        <v>872</v>
      </c>
      <c r="C243" s="558">
        <f>+C236+C240+C242</f>
        <v>0</v>
      </c>
      <c r="D243" s="559">
        <f t="shared" ref="D243:W243" si="172">+D236+D240+D242</f>
        <v>0</v>
      </c>
      <c r="E243" s="559">
        <f t="shared" si="172"/>
        <v>41459</v>
      </c>
      <c r="F243" s="559">
        <f t="shared" si="172"/>
        <v>0</v>
      </c>
      <c r="G243" s="559">
        <f t="shared" si="172"/>
        <v>0</v>
      </c>
      <c r="H243" s="559">
        <f t="shared" si="172"/>
        <v>0</v>
      </c>
      <c r="I243" s="560">
        <f t="shared" si="172"/>
        <v>0</v>
      </c>
      <c r="J243" s="561">
        <f t="shared" si="172"/>
        <v>41459</v>
      </c>
      <c r="K243" s="558">
        <f t="shared" si="172"/>
        <v>289828</v>
      </c>
      <c r="L243" s="558">
        <f t="shared" si="172"/>
        <v>54140</v>
      </c>
      <c r="M243" s="558">
        <f t="shared" si="172"/>
        <v>60026</v>
      </c>
      <c r="N243" s="558">
        <f t="shared" si="172"/>
        <v>0</v>
      </c>
      <c r="O243" s="558">
        <f t="shared" si="172"/>
        <v>22631</v>
      </c>
      <c r="P243" s="558">
        <f t="shared" si="172"/>
        <v>4000</v>
      </c>
      <c r="Q243" s="558">
        <f t="shared" si="172"/>
        <v>0</v>
      </c>
      <c r="R243" s="558">
        <f t="shared" si="172"/>
        <v>0</v>
      </c>
      <c r="S243" s="561">
        <f t="shared" si="172"/>
        <v>430625</v>
      </c>
      <c r="T243" s="561">
        <f t="shared" si="172"/>
        <v>389166</v>
      </c>
      <c r="U243" s="1104">
        <f t="shared" si="172"/>
        <v>146755</v>
      </c>
      <c r="V243" s="560">
        <f t="shared" ref="V243" si="173">+V236+V240+V242</f>
        <v>-40591</v>
      </c>
      <c r="W243" s="561">
        <f t="shared" si="172"/>
        <v>283002</v>
      </c>
      <c r="Y243" s="535">
        <f>+'13.mell_ÖNKfeladatok2020'!$J$111-J243</f>
        <v>0</v>
      </c>
      <c r="Z243" s="535">
        <f>+'13.mell_ÖNKfeladatok2020'!$J$273-S243</f>
        <v>0</v>
      </c>
      <c r="AA243" s="262">
        <f t="shared" si="152"/>
        <v>0</v>
      </c>
      <c r="AB243" s="262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</row>
    <row r="244" spans="1:42" s="535" customFormat="1" ht="12.75" thickBot="1">
      <c r="A244" s="567"/>
      <c r="B244" s="568"/>
      <c r="C244" s="569"/>
      <c r="D244" s="569"/>
      <c r="E244" s="569"/>
      <c r="F244" s="569"/>
      <c r="G244" s="569"/>
      <c r="H244" s="569"/>
      <c r="I244" s="866"/>
      <c r="J244" s="572"/>
      <c r="K244" s="569"/>
      <c r="L244" s="569"/>
      <c r="M244" s="569"/>
      <c r="N244" s="569"/>
      <c r="O244" s="569"/>
      <c r="P244" s="569"/>
      <c r="Q244" s="569"/>
      <c r="R244" s="569"/>
      <c r="S244" s="572"/>
      <c r="T244" s="572"/>
      <c r="U244" s="866"/>
      <c r="V244" s="571"/>
      <c r="W244" s="572"/>
      <c r="AA244" s="262">
        <f t="shared" si="152"/>
        <v>0</v>
      </c>
      <c r="AB244" s="262"/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</row>
    <row r="245" spans="1:42">
      <c r="A245" s="825">
        <f>+A241+1</f>
        <v>19</v>
      </c>
      <c r="B245" s="731" t="s">
        <v>1078</v>
      </c>
      <c r="C245" s="869">
        <f>+SUMIF('13.mell_ÖNKfeladatok2020'!$B$5:$B$159,'14.mell_Önk kiegészítés2020'!$A245,'13.mell_ÖNKfeladatok2020'!R$5:R$159)</f>
        <v>0</v>
      </c>
      <c r="D245" s="869">
        <f>+SUMIF('13.mell_ÖNKfeladatok2020'!$B$5:$B$159,'14.mell_Önk kiegészítés2020'!$A245,'13.mell_ÖNKfeladatok2020'!V$5:V$159)</f>
        <v>0</v>
      </c>
      <c r="E245" s="869">
        <f>+SUMIF('13.mell_ÖNKfeladatok2020'!$B$5:$B$159,'14.mell_Önk kiegészítés2020'!$A245,'13.mell_ÖNKfeladatok2020'!Z$5:Z$159)</f>
        <v>0</v>
      </c>
      <c r="F245" s="869">
        <f>+SUMIF('13.mell_ÖNKfeladatok2020'!$B$5:$B$159,'14.mell_Önk kiegészítés2020'!$A245,'13.mell_ÖNKfeladatok2020'!AD$5:AD$159)</f>
        <v>0</v>
      </c>
      <c r="G245" s="869">
        <f>+SUMIF('13.mell_ÖNKfeladatok2020'!$B$5:$B$159,'14.mell_Önk kiegészítés2020'!$A245,'13.mell_ÖNKfeladatok2020'!AL$5:AL$159)</f>
        <v>0</v>
      </c>
      <c r="H245" s="869">
        <f>+SUMIF('13.mell_ÖNKfeladatok2020'!$B$5:$B$159,'14.mell_Önk kiegészítés2020'!$A245,'13.mell_ÖNKfeladatok2020'!AP$5:AP$159)</f>
        <v>0</v>
      </c>
      <c r="I245" s="869">
        <f>+SUMIF('13.mell_ÖNKfeladatok2020'!$B$5:$B$159,'14.mell_Önk kiegészítés2020'!$A245,'13.mell_ÖNKfeladatok2020'!AT$5:AT$159)</f>
        <v>0</v>
      </c>
      <c r="J245" s="732">
        <f>SUM(C245:I245)</f>
        <v>0</v>
      </c>
      <c r="K245" s="869">
        <f>+SUMIF('13.mell_ÖNKfeladatok2020'!$B$167:$B$321,'14.mell_Önk kiegészítés2020'!$A245,'13.mell_ÖNKfeladatok2020'!R$167:R$321)</f>
        <v>226599</v>
      </c>
      <c r="L245" s="869">
        <f>+SUMIF('13.mell_ÖNKfeladatok2020'!$B$167:$B$321,'14.mell_Önk kiegészítés2020'!$A245,'13.mell_ÖNKfeladatok2020'!V$167:V$321)</f>
        <v>44842</v>
      </c>
      <c r="M245" s="869">
        <f>+SUMIF('13.mell_ÖNKfeladatok2020'!$B$167:$B$321,'14.mell_Önk kiegészítés2020'!$A245,'13.mell_ÖNKfeladatok2020'!Z$167:Z$321)</f>
        <v>25891</v>
      </c>
      <c r="N245" s="869">
        <f>+SUMIF('13.mell_ÖNKfeladatok2020'!$B$167:$B$321,'14.mell_Önk kiegészítés2020'!$A245,'13.mell_ÖNKfeladatok2020'!AD$167:AD$321)</f>
        <v>0</v>
      </c>
      <c r="O245" s="869">
        <f>+SUMIF('13.mell_ÖNKfeladatok2020'!$B$167:$B$321,'14.mell_Önk kiegészítés2020'!$A245,'13.mell_ÖNKfeladatok2020'!AH$167:AH$321)</f>
        <v>110</v>
      </c>
      <c r="P245" s="869">
        <f>+SUMIF('13.mell_ÖNKfeladatok2020'!$B$167:$B$321,'14.mell_Önk kiegészítés2020'!$A245,'13.mell_ÖNKfeladatok2020'!AP$167:AP$321)</f>
        <v>1100</v>
      </c>
      <c r="Q245" s="869">
        <f>+SUMIF('13.mell_ÖNKfeladatok2020'!$B$167:$B$321,'14.mell_Önk kiegészítés2020'!$A245,'13.mell_ÖNKfeladatok2020'!AT$167:AT$321)</f>
        <v>0</v>
      </c>
      <c r="R245" s="869">
        <f>+SUMIF('13.mell_ÖNKfeladatok2020'!$B$167:$B$321,'14.mell_Önk kiegészítés2020'!$A245,'13.mell_ÖNKfeladatok2020'!AX$167:AX$321)</f>
        <v>0</v>
      </c>
      <c r="S245" s="732">
        <f>SUM(K245:R245)</f>
        <v>298542</v>
      </c>
      <c r="T245" s="733">
        <f>S245-J245</f>
        <v>298542</v>
      </c>
      <c r="U245" s="1105">
        <f>+ROUND(SUMIF('10.mell_támogatások2020'!$B$6:$B$137,'14.mell_Önk kiegészítés2020'!$A245,'10.mell_támogatások2020'!G$6:G$137)/1000,0)</f>
        <v>259126</v>
      </c>
      <c r="V245" s="1083">
        <v>69</v>
      </c>
      <c r="W245" s="733">
        <f t="shared" ref="W245:W247" si="174">+T245-U245-V245</f>
        <v>39347</v>
      </c>
      <c r="AA245" s="262">
        <f t="shared" si="152"/>
        <v>0</v>
      </c>
      <c r="AG245" s="262">
        <f>((24+4)+(18+3))+(17+3)</f>
        <v>69</v>
      </c>
    </row>
    <row r="246" spans="1:42">
      <c r="A246" s="826">
        <f>+A245+1</f>
        <v>20</v>
      </c>
      <c r="B246" s="542" t="s">
        <v>1151</v>
      </c>
      <c r="C246" s="543">
        <f>+SUMIF('13.mell_ÖNKfeladatok2020'!$B$5:$B$159,'14.mell_Önk kiegészítés2020'!$A246,'13.mell_ÖNKfeladatok2020'!R$5:R$159)</f>
        <v>0</v>
      </c>
      <c r="D246" s="543">
        <f>+SUMIF('13.mell_ÖNKfeladatok2020'!$B$5:$B$159,'14.mell_Önk kiegészítés2020'!$A246,'13.mell_ÖNKfeladatok2020'!V$5:V$159)</f>
        <v>0</v>
      </c>
      <c r="E246" s="543">
        <f>+SUMIF('13.mell_ÖNKfeladatok2020'!$B$5:$B$159,'14.mell_Önk kiegészítés2020'!$A246,'13.mell_ÖNKfeladatok2020'!Z$5:Z$159)</f>
        <v>21571</v>
      </c>
      <c r="F246" s="543">
        <f>+SUMIF('13.mell_ÖNKfeladatok2020'!$B$5:$B$159,'14.mell_Önk kiegészítés2020'!$A246,'13.mell_ÖNKfeladatok2020'!AD$5:AD$159)</f>
        <v>0</v>
      </c>
      <c r="G246" s="543">
        <f>+SUMIF('13.mell_ÖNKfeladatok2020'!$B$5:$B$159,'14.mell_Önk kiegészítés2020'!$A246,'13.mell_ÖNKfeladatok2020'!AL$5:AL$159)</f>
        <v>0</v>
      </c>
      <c r="H246" s="543">
        <f>+SUMIF('13.mell_ÖNKfeladatok2020'!$B$5:$B$159,'14.mell_Önk kiegészítés2020'!$A246,'13.mell_ÖNKfeladatok2020'!AP$5:AP$159)</f>
        <v>0</v>
      </c>
      <c r="I246" s="543">
        <f>+SUMIF('13.mell_ÖNKfeladatok2020'!$B$5:$B$159,'14.mell_Önk kiegészítés2020'!$A246,'13.mell_ÖNKfeladatok2020'!AT$5:AT$159)</f>
        <v>0</v>
      </c>
      <c r="J246" s="582">
        <f>SUM(C246:I246)</f>
        <v>21571</v>
      </c>
      <c r="K246" s="543">
        <f>+SUMIF('13.mell_ÖNKfeladatok2020'!$B$167:$B$321,'14.mell_Önk kiegészítés2020'!$A246,'13.mell_ÖNKfeladatok2020'!R$167:R$321)</f>
        <v>0</v>
      </c>
      <c r="L246" s="543">
        <f>+SUMIF('13.mell_ÖNKfeladatok2020'!$B$167:$B$321,'14.mell_Önk kiegészítés2020'!$A246,'13.mell_ÖNKfeladatok2020'!V$167:V$321)</f>
        <v>0</v>
      </c>
      <c r="M246" s="543">
        <f>+SUMIF('13.mell_ÖNKfeladatok2020'!$B$167:$B$321,'14.mell_Önk kiegészítés2020'!$A246,'13.mell_ÖNKfeladatok2020'!Z$167:Z$321)</f>
        <v>107235</v>
      </c>
      <c r="N246" s="543">
        <f>+SUMIF('13.mell_ÖNKfeladatok2020'!$B$167:$B$321,'14.mell_Önk kiegészítés2020'!$A246,'13.mell_ÖNKfeladatok2020'!AD$167:AD$321)</f>
        <v>0</v>
      </c>
      <c r="O246" s="543">
        <f>+SUMIF('13.mell_ÖNKfeladatok2020'!$B$167:$B$321,'14.mell_Önk kiegészítés2020'!$A246,'13.mell_ÖNKfeladatok2020'!AH$167:AH$321)</f>
        <v>0</v>
      </c>
      <c r="P246" s="543">
        <f>+SUMIF('13.mell_ÖNKfeladatok2020'!$B$167:$B$321,'14.mell_Önk kiegészítés2020'!$A246,'13.mell_ÖNKfeladatok2020'!AP$167:AP$321)</f>
        <v>0</v>
      </c>
      <c r="Q246" s="543">
        <f>+SUMIF('13.mell_ÖNKfeladatok2020'!$B$167:$B$321,'14.mell_Önk kiegészítés2020'!$A246,'13.mell_ÖNKfeladatok2020'!AT$167:AT$321)</f>
        <v>0</v>
      </c>
      <c r="R246" s="543">
        <f>+SUMIF('13.mell_ÖNKfeladatok2020'!$B$167:$B$321,'14.mell_Önk kiegészítés2020'!$A246,'13.mell_ÖNKfeladatok2020'!AX$167:AX$321)</f>
        <v>0</v>
      </c>
      <c r="S246" s="582">
        <f>SUM(K246:R246)</f>
        <v>107235</v>
      </c>
      <c r="T246" s="544">
        <f>S246-J246</f>
        <v>85664</v>
      </c>
      <c r="U246" s="1101">
        <f>+ROUND(SUMIF('10.mell_támogatások2020'!$B$6:$B$137,'14.mell_Önk kiegészítés2020'!$A246,'10.mell_támogatások2020'!G$6:G$137)/1000,0)</f>
        <v>78944</v>
      </c>
      <c r="V246" s="1081">
        <v>1592</v>
      </c>
      <c r="W246" s="544">
        <f t="shared" si="174"/>
        <v>5128</v>
      </c>
      <c r="AA246" s="262">
        <f t="shared" si="152"/>
        <v>0</v>
      </c>
      <c r="AI246" s="262">
        <v>1592</v>
      </c>
    </row>
    <row r="247" spans="1:42" ht="12.75" thickBot="1">
      <c r="A247" s="867">
        <f>+A246+1</f>
        <v>21</v>
      </c>
      <c r="B247" s="554" t="s">
        <v>1144</v>
      </c>
      <c r="C247" s="555">
        <f>+SUMIF('13.mell_ÖNKfeladatok2020'!$B$5:$B$159,'14.mell_Önk kiegészítés2020'!$A247,'13.mell_ÖNKfeladatok2020'!R$5:R$159)</f>
        <v>0</v>
      </c>
      <c r="D247" s="555">
        <f>+SUMIF('13.mell_ÖNKfeladatok2020'!$B$5:$B$159,'14.mell_Önk kiegészítés2020'!$A247,'13.mell_ÖNKfeladatok2020'!V$5:V$159)</f>
        <v>0</v>
      </c>
      <c r="E247" s="555">
        <f>+SUMIF('13.mell_ÖNKfeladatok2020'!$B$5:$B$159,'14.mell_Önk kiegészítés2020'!$A247,'13.mell_ÖNKfeladatok2020'!Z$5:Z$159)</f>
        <v>0</v>
      </c>
      <c r="F247" s="555">
        <f>+SUMIF('13.mell_ÖNKfeladatok2020'!$B$5:$B$159,'14.mell_Önk kiegészítés2020'!$A247,'13.mell_ÖNKfeladatok2020'!AD$5:AD$159)</f>
        <v>0</v>
      </c>
      <c r="G247" s="555">
        <f>+SUMIF('13.mell_ÖNKfeladatok2020'!$B$5:$B$159,'14.mell_Önk kiegészítés2020'!$A247,'13.mell_ÖNKfeladatok2020'!AL$5:AL$159)</f>
        <v>0</v>
      </c>
      <c r="H247" s="555">
        <f>+SUMIF('13.mell_ÖNKfeladatok2020'!$B$5:$B$159,'14.mell_Önk kiegészítés2020'!$A247,'13.mell_ÖNKfeladatok2020'!AP$5:AP$159)</f>
        <v>0</v>
      </c>
      <c r="I247" s="555">
        <f>+SUMIF('13.mell_ÖNKfeladatok2020'!$B$5:$B$159,'14.mell_Önk kiegészítés2020'!$A247,'13.mell_ÖNKfeladatok2020'!AT$5:AT$159)</f>
        <v>0</v>
      </c>
      <c r="J247" s="584">
        <f>SUM(C247:I247)</f>
        <v>0</v>
      </c>
      <c r="K247" s="540">
        <f>+SUMIF('13.mell_ÖNKfeladatok2020'!$B$167:$B$321,'14.mell_Önk kiegészítés2020'!$A247,'13.mell_ÖNKfeladatok2020'!R$167:R$321)</f>
        <v>33994</v>
      </c>
      <c r="L247" s="540">
        <f>+SUMIF('13.mell_ÖNKfeladatok2020'!$B$167:$B$321,'14.mell_Önk kiegészítés2020'!$A247,'13.mell_ÖNKfeladatok2020'!V$167:V$321)</f>
        <v>5975</v>
      </c>
      <c r="M247" s="540">
        <f>+SUMIF('13.mell_ÖNKfeladatok2020'!$B$167:$B$321,'14.mell_Önk kiegészítés2020'!$A247,'13.mell_ÖNKfeladatok2020'!Z$167:Z$321)</f>
        <v>4693</v>
      </c>
      <c r="N247" s="540">
        <f>+SUMIF('13.mell_ÖNKfeladatok2020'!$B$167:$B$321,'14.mell_Önk kiegészítés2020'!$A247,'13.mell_ÖNKfeladatok2020'!AD$167:AD$321)</f>
        <v>0</v>
      </c>
      <c r="O247" s="540">
        <f>+SUMIF('13.mell_ÖNKfeladatok2020'!$B$167:$B$321,'14.mell_Önk kiegészítés2020'!$A247,'13.mell_ÖNKfeladatok2020'!AH$167:AH$321)</f>
        <v>0</v>
      </c>
      <c r="P247" s="540">
        <f>+SUMIF('13.mell_ÖNKfeladatok2020'!$B$167:$B$321,'14.mell_Önk kiegészítés2020'!$A247,'13.mell_ÖNKfeladatok2020'!AP$167:AP$321)</f>
        <v>0</v>
      </c>
      <c r="Q247" s="540">
        <f>+SUMIF('13.mell_ÖNKfeladatok2020'!$B$167:$B$321,'14.mell_Önk kiegészítés2020'!$A247,'13.mell_ÖNKfeladatok2020'!AT$167:AT$321)</f>
        <v>0</v>
      </c>
      <c r="R247" s="540">
        <f>+SUMIF('13.mell_ÖNKfeladatok2020'!$B$167:$B$321,'14.mell_Önk kiegészítés2020'!$A247,'13.mell_ÖNKfeladatok2020'!AX$167:AX$321)</f>
        <v>0</v>
      </c>
      <c r="S247" s="581">
        <f>SUM(K247:R247)</f>
        <v>44662</v>
      </c>
      <c r="T247" s="541">
        <f>S247-J247</f>
        <v>44662</v>
      </c>
      <c r="U247" s="1100">
        <f>+ROUND(SUMIF('10.mell_támogatások2020'!$B$6:$B$137,'14.mell_Önk kiegészítés2020'!$A247,'10.mell_támogatások2020'!G$6:G$137)/1000,0)</f>
        <v>28300</v>
      </c>
      <c r="V247" s="1080"/>
      <c r="W247" s="541">
        <f t="shared" si="174"/>
        <v>16362</v>
      </c>
      <c r="AA247" s="262">
        <f t="shared" si="152"/>
        <v>0</v>
      </c>
    </row>
    <row r="248" spans="1:42" s="535" customFormat="1" ht="12.75" thickBot="1">
      <c r="A248" s="344" t="s">
        <v>747</v>
      </c>
      <c r="B248" s="494" t="s">
        <v>417</v>
      </c>
      <c r="C248" s="549">
        <f>SUM(C245:C247)</f>
        <v>0</v>
      </c>
      <c r="D248" s="549">
        <f t="shared" ref="D248:W248" si="175">SUM(D245:D247)</f>
        <v>0</v>
      </c>
      <c r="E248" s="549">
        <f t="shared" si="175"/>
        <v>21571</v>
      </c>
      <c r="F248" s="549">
        <f t="shared" si="175"/>
        <v>0</v>
      </c>
      <c r="G248" s="549">
        <f t="shared" si="175"/>
        <v>0</v>
      </c>
      <c r="H248" s="549">
        <f t="shared" si="175"/>
        <v>0</v>
      </c>
      <c r="I248" s="549">
        <f t="shared" si="175"/>
        <v>0</v>
      </c>
      <c r="J248" s="552">
        <f t="shared" si="175"/>
        <v>21571</v>
      </c>
      <c r="K248" s="549">
        <f t="shared" si="175"/>
        <v>260593</v>
      </c>
      <c r="L248" s="549">
        <f t="shared" si="175"/>
        <v>50817</v>
      </c>
      <c r="M248" s="549">
        <f t="shared" si="175"/>
        <v>137819</v>
      </c>
      <c r="N248" s="549">
        <f t="shared" si="175"/>
        <v>0</v>
      </c>
      <c r="O248" s="549">
        <f t="shared" si="175"/>
        <v>110</v>
      </c>
      <c r="P248" s="549">
        <f t="shared" si="175"/>
        <v>1100</v>
      </c>
      <c r="Q248" s="549">
        <f t="shared" si="175"/>
        <v>0</v>
      </c>
      <c r="R248" s="549">
        <f t="shared" si="175"/>
        <v>0</v>
      </c>
      <c r="S248" s="552">
        <f t="shared" si="175"/>
        <v>450439</v>
      </c>
      <c r="T248" s="552">
        <f t="shared" si="175"/>
        <v>428868</v>
      </c>
      <c r="U248" s="1102">
        <f t="shared" si="175"/>
        <v>366370</v>
      </c>
      <c r="V248" s="553">
        <f t="shared" ref="V248" si="176">SUM(V245:V247)</f>
        <v>1661</v>
      </c>
      <c r="W248" s="552">
        <f t="shared" si="175"/>
        <v>60837</v>
      </c>
      <c r="AA248" s="262">
        <f t="shared" si="152"/>
        <v>0</v>
      </c>
      <c r="AB248" s="262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</row>
    <row r="249" spans="1:42" ht="12.75" thickBot="1">
      <c r="A249" s="870">
        <f>+A247+1</f>
        <v>22</v>
      </c>
      <c r="B249" s="554" t="s">
        <v>418</v>
      </c>
      <c r="C249" s="555">
        <f>+SUMIF('13.mell_ÖNKfeladatok2020'!$B$5:$B$159,'14.mell_Önk kiegészítés2020'!$A249,'13.mell_ÖNKfeladatok2020'!R$5:R$159)</f>
        <v>0</v>
      </c>
      <c r="D249" s="555">
        <f>+SUMIF('13.mell_ÖNKfeladatok2020'!$B$5:$B$159,'14.mell_Önk kiegészítés2020'!$A249,'13.mell_ÖNKfeladatok2020'!V$5:V$159)</f>
        <v>0</v>
      </c>
      <c r="E249" s="555">
        <f>+SUMIF('13.mell_ÖNKfeladatok2020'!$B$5:$B$159,'14.mell_Önk kiegészítés2020'!$A249,'13.mell_ÖNKfeladatok2020'!Z$5:Z$159)</f>
        <v>0</v>
      </c>
      <c r="F249" s="555">
        <f>+SUMIF('13.mell_ÖNKfeladatok2020'!$B$5:$B$159,'14.mell_Önk kiegészítés2020'!$A249,'13.mell_ÖNKfeladatok2020'!AD$5:AD$159)</f>
        <v>0</v>
      </c>
      <c r="G249" s="555">
        <f>+SUMIF('13.mell_ÖNKfeladatok2020'!$B$5:$B$159,'14.mell_Önk kiegészítés2020'!$A249,'13.mell_ÖNKfeladatok2020'!AL$5:AL$159)</f>
        <v>0</v>
      </c>
      <c r="H249" s="555">
        <f>+SUMIF('13.mell_ÖNKfeladatok2020'!$B$5:$B$159,'14.mell_Önk kiegészítés2020'!$A249,'13.mell_ÖNKfeladatok2020'!AP$5:AP$159)</f>
        <v>0</v>
      </c>
      <c r="I249" s="555">
        <f>+SUMIF('13.mell_ÖNKfeladatok2020'!$B$5:$B$159,'14.mell_Önk kiegészítés2020'!$A249,'13.mell_ÖNKfeladatok2020'!AT$5:AT$159)</f>
        <v>0</v>
      </c>
      <c r="J249" s="584">
        <f>SUM(C249:I249)</f>
        <v>0</v>
      </c>
      <c r="K249" s="546">
        <f>+SUMIF('13.mell_ÖNKfeladatok2020'!$B$167:$B$321,'14.mell_Önk kiegészítés2020'!$A249,'13.mell_ÖNKfeladatok2020'!R$167:R$321)</f>
        <v>0</v>
      </c>
      <c r="L249" s="546">
        <f>+SUMIF('13.mell_ÖNKfeladatok2020'!$B$167:$B$321,'14.mell_Önk kiegészítés2020'!$A249,'13.mell_ÖNKfeladatok2020'!V$167:V$321)</f>
        <v>0</v>
      </c>
      <c r="M249" s="546">
        <f>+SUMIF('13.mell_ÖNKfeladatok2020'!$B$167:$B$321,'14.mell_Önk kiegészítés2020'!$A249,'13.mell_ÖNKfeladatok2020'!Z$167:Z$321)</f>
        <v>0</v>
      </c>
      <c r="N249" s="546">
        <f>+SUMIF('13.mell_ÖNKfeladatok2020'!$B$167:$B$321,'14.mell_Önk kiegészítés2020'!$A249,'13.mell_ÖNKfeladatok2020'!AD$167:AD$321)</f>
        <v>0</v>
      </c>
      <c r="O249" s="546">
        <f>+SUMIF('13.mell_ÖNKfeladatok2020'!$B$167:$B$321,'14.mell_Önk kiegészítés2020'!$A249,'13.mell_ÖNKfeladatok2020'!AH$167:AH$321)</f>
        <v>0</v>
      </c>
      <c r="P249" s="546">
        <f>+SUMIF('13.mell_ÖNKfeladatok2020'!$B$167:$B$321,'14.mell_Önk kiegészítés2020'!$A249,'13.mell_ÖNKfeladatok2020'!AP$167:AP$321)</f>
        <v>0</v>
      </c>
      <c r="Q249" s="546">
        <f>+SUMIF('13.mell_ÖNKfeladatok2020'!$B$167:$B$321,'14.mell_Önk kiegészítés2020'!$A249,'13.mell_ÖNKfeladatok2020'!AT$167:AT$321)</f>
        <v>0</v>
      </c>
      <c r="R249" s="546">
        <f>+SUMIF('13.mell_ÖNKfeladatok2020'!$B$167:$B$321,'14.mell_Önk kiegészítés2020'!$A249,'13.mell_ÖNKfeladatok2020'!AX$167:AX$321)</f>
        <v>0</v>
      </c>
      <c r="S249" s="583">
        <f>SUM(K249:R249)</f>
        <v>0</v>
      </c>
      <c r="T249" s="871">
        <f>S249-J249</f>
        <v>0</v>
      </c>
      <c r="U249" s="1106">
        <f>+ROUND(SUMIF('10.mell_támogatások2020'!$B$6:$B$137,'14.mell_Önk kiegészítés2020'!$A249,'10.mell_támogatások2020'!G$6:G$137)/1000,0)</f>
        <v>0</v>
      </c>
      <c r="V249" s="1084"/>
      <c r="W249" s="871">
        <f>+T249-U249-V249</f>
        <v>0</v>
      </c>
      <c r="AA249" s="262">
        <f t="shared" si="152"/>
        <v>0</v>
      </c>
    </row>
    <row r="250" spans="1:42" s="535" customFormat="1" ht="12.75" thickBot="1">
      <c r="A250" s="344" t="s">
        <v>748</v>
      </c>
      <c r="B250" s="494" t="s">
        <v>418</v>
      </c>
      <c r="C250" s="549">
        <f>SUM(C249)</f>
        <v>0</v>
      </c>
      <c r="D250" s="549">
        <f t="shared" ref="D250:W250" si="177">SUM(D249)</f>
        <v>0</v>
      </c>
      <c r="E250" s="549">
        <f t="shared" si="177"/>
        <v>0</v>
      </c>
      <c r="F250" s="549">
        <f t="shared" si="177"/>
        <v>0</v>
      </c>
      <c r="G250" s="549">
        <f t="shared" si="177"/>
        <v>0</v>
      </c>
      <c r="H250" s="549">
        <f t="shared" si="177"/>
        <v>0</v>
      </c>
      <c r="I250" s="549">
        <f t="shared" si="177"/>
        <v>0</v>
      </c>
      <c r="J250" s="552">
        <f t="shared" si="177"/>
        <v>0</v>
      </c>
      <c r="K250" s="549">
        <f t="shared" si="177"/>
        <v>0</v>
      </c>
      <c r="L250" s="549">
        <f t="shared" si="177"/>
        <v>0</v>
      </c>
      <c r="M250" s="549">
        <f t="shared" si="177"/>
        <v>0</v>
      </c>
      <c r="N250" s="549">
        <f t="shared" si="177"/>
        <v>0</v>
      </c>
      <c r="O250" s="549">
        <f t="shared" si="177"/>
        <v>0</v>
      </c>
      <c r="P250" s="549">
        <f t="shared" si="177"/>
        <v>0</v>
      </c>
      <c r="Q250" s="549">
        <f t="shared" si="177"/>
        <v>0</v>
      </c>
      <c r="R250" s="549">
        <f t="shared" si="177"/>
        <v>0</v>
      </c>
      <c r="S250" s="552">
        <f t="shared" si="177"/>
        <v>0</v>
      </c>
      <c r="T250" s="552">
        <f t="shared" si="177"/>
        <v>0</v>
      </c>
      <c r="U250" s="1102">
        <f t="shared" si="177"/>
        <v>0</v>
      </c>
      <c r="V250" s="553">
        <f t="shared" ref="V250" si="178">SUM(V249)</f>
        <v>0</v>
      </c>
      <c r="W250" s="552">
        <f t="shared" si="177"/>
        <v>0</v>
      </c>
      <c r="AA250" s="262">
        <f t="shared" si="152"/>
        <v>0</v>
      </c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  <c r="AP250" s="262"/>
    </row>
    <row r="251" spans="1:42" ht="12.75" thickBot="1">
      <c r="A251" s="870">
        <f>+A249+1</f>
        <v>23</v>
      </c>
      <c r="B251" s="554" t="s">
        <v>766</v>
      </c>
      <c r="C251" s="555">
        <f>+SUMIF('13.mell_ÖNKfeladatok2020'!$B$5:$B$159,'14.mell_Önk kiegészítés2020'!$A251,'13.mell_ÖNKfeladatok2020'!R$5:R$159)</f>
        <v>0</v>
      </c>
      <c r="D251" s="555">
        <f>+SUMIF('13.mell_ÖNKfeladatok2020'!$B$5:$B$159,'14.mell_Önk kiegészítés2020'!$A251,'13.mell_ÖNKfeladatok2020'!V$5:V$159)</f>
        <v>0</v>
      </c>
      <c r="E251" s="555">
        <f>+SUMIF('13.mell_ÖNKfeladatok2020'!$B$5:$B$159,'14.mell_Önk kiegészítés2020'!$A251,'13.mell_ÖNKfeladatok2020'!Z$5:Z$159)</f>
        <v>0</v>
      </c>
      <c r="F251" s="555">
        <f>+SUMIF('13.mell_ÖNKfeladatok2020'!$B$5:$B$159,'14.mell_Önk kiegészítés2020'!$A251,'13.mell_ÖNKfeladatok2020'!AD$5:AD$159)</f>
        <v>0</v>
      </c>
      <c r="G251" s="555">
        <f>+SUMIF('13.mell_ÖNKfeladatok2020'!$B$5:$B$159,'14.mell_Önk kiegészítés2020'!$A251,'13.mell_ÖNKfeladatok2020'!AL$5:AL$159)</f>
        <v>0</v>
      </c>
      <c r="H251" s="555">
        <f>+SUMIF('13.mell_ÖNKfeladatok2020'!$B$5:$B$159,'14.mell_Önk kiegészítés2020'!$A251,'13.mell_ÖNKfeladatok2020'!AP$5:AP$159)</f>
        <v>0</v>
      </c>
      <c r="I251" s="555">
        <f>+SUMIF('13.mell_ÖNKfeladatok2020'!$B$5:$B$159,'14.mell_Önk kiegészítés2020'!$A251,'13.mell_ÖNKfeladatok2020'!AT$5:AT$159)</f>
        <v>0</v>
      </c>
      <c r="J251" s="584">
        <f>SUM(C251:I251)</f>
        <v>0</v>
      </c>
      <c r="K251" s="546">
        <f>+SUMIF('13.mell_ÖNKfeladatok2020'!$B$167:$B$321,'14.mell_Önk kiegészítés2020'!$A251,'13.mell_ÖNKfeladatok2020'!R$167:R$321)</f>
        <v>0</v>
      </c>
      <c r="L251" s="546">
        <f>+SUMIF('13.mell_ÖNKfeladatok2020'!$B$167:$B$321,'14.mell_Önk kiegészítés2020'!$A251,'13.mell_ÖNKfeladatok2020'!V$167:V$321)</f>
        <v>0</v>
      </c>
      <c r="M251" s="546">
        <f>+SUMIF('13.mell_ÖNKfeladatok2020'!$B$167:$B$321,'14.mell_Önk kiegészítés2020'!$A251,'13.mell_ÖNKfeladatok2020'!Z$167:Z$321)</f>
        <v>0</v>
      </c>
      <c r="N251" s="546">
        <f>+SUMIF('13.mell_ÖNKfeladatok2020'!$B$167:$B$321,'14.mell_Önk kiegészítés2020'!$A251,'13.mell_ÖNKfeladatok2020'!AD$167:AD$321)</f>
        <v>0</v>
      </c>
      <c r="O251" s="546">
        <f>+SUMIF('13.mell_ÖNKfeladatok2020'!$B$167:$B$321,'14.mell_Önk kiegészítés2020'!$A251,'13.mell_ÖNKfeladatok2020'!AH$167:AH$321)</f>
        <v>0</v>
      </c>
      <c r="P251" s="546">
        <f>+SUMIF('13.mell_ÖNKfeladatok2020'!$B$167:$B$321,'14.mell_Önk kiegészítés2020'!$A251,'13.mell_ÖNKfeladatok2020'!AP$167:AP$321)</f>
        <v>0</v>
      </c>
      <c r="Q251" s="546">
        <f>+SUMIF('13.mell_ÖNKfeladatok2020'!$B$167:$B$321,'14.mell_Önk kiegészítés2020'!$A251,'13.mell_ÖNKfeladatok2020'!AT$167:AT$321)</f>
        <v>0</v>
      </c>
      <c r="R251" s="546">
        <f>+SUMIF('13.mell_ÖNKfeladatok2020'!$B$167:$B$321,'14.mell_Önk kiegészítés2020'!$A251,'13.mell_ÖNKfeladatok2020'!AX$167:AX$321)</f>
        <v>0</v>
      </c>
      <c r="S251" s="583">
        <f>SUM(K251:R251)</f>
        <v>0</v>
      </c>
      <c r="T251" s="871">
        <f>S251-J251</f>
        <v>0</v>
      </c>
      <c r="U251" s="1106">
        <f>+ROUND(SUMIF('10.mell_támogatások2020'!$B$6:$B$137,'14.mell_Önk kiegészítés2020'!$A251,'10.mell_támogatások2020'!G$6:G$137)/1000,0)</f>
        <v>0</v>
      </c>
      <c r="V251" s="1084"/>
      <c r="W251" s="871">
        <f>+T251-U251-V251</f>
        <v>0</v>
      </c>
      <c r="AA251" s="262">
        <f t="shared" si="152"/>
        <v>0</v>
      </c>
    </row>
    <row r="252" spans="1:42" s="535" customFormat="1" ht="12.75" thickBot="1">
      <c r="A252" s="344" t="s">
        <v>749</v>
      </c>
      <c r="B252" s="494" t="s">
        <v>766</v>
      </c>
      <c r="C252" s="549">
        <f>SUM(C251)</f>
        <v>0</v>
      </c>
      <c r="D252" s="549">
        <f t="shared" ref="D252:W252" si="179">SUM(D251)</f>
        <v>0</v>
      </c>
      <c r="E252" s="549">
        <f t="shared" si="179"/>
        <v>0</v>
      </c>
      <c r="F252" s="549">
        <f t="shared" si="179"/>
        <v>0</v>
      </c>
      <c r="G252" s="549">
        <f t="shared" si="179"/>
        <v>0</v>
      </c>
      <c r="H252" s="549">
        <f t="shared" si="179"/>
        <v>0</v>
      </c>
      <c r="I252" s="549">
        <f t="shared" si="179"/>
        <v>0</v>
      </c>
      <c r="J252" s="552">
        <f t="shared" si="179"/>
        <v>0</v>
      </c>
      <c r="K252" s="549">
        <f t="shared" si="179"/>
        <v>0</v>
      </c>
      <c r="L252" s="549">
        <f t="shared" si="179"/>
        <v>0</v>
      </c>
      <c r="M252" s="549">
        <f t="shared" si="179"/>
        <v>0</v>
      </c>
      <c r="N252" s="549">
        <f t="shared" si="179"/>
        <v>0</v>
      </c>
      <c r="O252" s="549">
        <f t="shared" si="179"/>
        <v>0</v>
      </c>
      <c r="P252" s="549">
        <f t="shared" si="179"/>
        <v>0</v>
      </c>
      <c r="Q252" s="549">
        <f t="shared" si="179"/>
        <v>0</v>
      </c>
      <c r="R252" s="549">
        <f t="shared" si="179"/>
        <v>0</v>
      </c>
      <c r="S252" s="552">
        <f t="shared" si="179"/>
        <v>0</v>
      </c>
      <c r="T252" s="552">
        <f t="shared" si="179"/>
        <v>0</v>
      </c>
      <c r="U252" s="1102">
        <f t="shared" si="179"/>
        <v>0</v>
      </c>
      <c r="V252" s="553">
        <f t="shared" ref="V252" si="180">SUM(V251)</f>
        <v>0</v>
      </c>
      <c r="W252" s="552">
        <f t="shared" si="179"/>
        <v>0</v>
      </c>
      <c r="AA252" s="262">
        <f t="shared" si="152"/>
        <v>0</v>
      </c>
      <c r="AB252" s="262"/>
      <c r="AC252" s="262"/>
      <c r="AD252" s="262"/>
      <c r="AE252" s="262"/>
      <c r="AF252" s="262"/>
      <c r="AG252" s="262"/>
      <c r="AH252" s="262"/>
      <c r="AI252" s="262"/>
      <c r="AJ252" s="262"/>
      <c r="AK252" s="262"/>
      <c r="AL252" s="262"/>
      <c r="AM252" s="262"/>
      <c r="AN252" s="262"/>
      <c r="AO252" s="262"/>
      <c r="AP252" s="262"/>
    </row>
    <row r="253" spans="1:42" s="535" customFormat="1" ht="12.75" thickBot="1">
      <c r="A253" s="496" t="s">
        <v>21</v>
      </c>
      <c r="B253" s="508" t="s">
        <v>419</v>
      </c>
      <c r="C253" s="558">
        <f>+C248+C250+C252</f>
        <v>0</v>
      </c>
      <c r="D253" s="559">
        <f t="shared" ref="D253:W253" si="181">+D248+D250+D252</f>
        <v>0</v>
      </c>
      <c r="E253" s="559">
        <f t="shared" si="181"/>
        <v>21571</v>
      </c>
      <c r="F253" s="559">
        <f t="shared" si="181"/>
        <v>0</v>
      </c>
      <c r="G253" s="559">
        <f t="shared" si="181"/>
        <v>0</v>
      </c>
      <c r="H253" s="559">
        <f t="shared" si="181"/>
        <v>0</v>
      </c>
      <c r="I253" s="560">
        <f t="shared" si="181"/>
        <v>0</v>
      </c>
      <c r="J253" s="561">
        <f t="shared" si="181"/>
        <v>21571</v>
      </c>
      <c r="K253" s="558">
        <f t="shared" si="181"/>
        <v>260593</v>
      </c>
      <c r="L253" s="558">
        <f t="shared" si="181"/>
        <v>50817</v>
      </c>
      <c r="M253" s="558">
        <f t="shared" si="181"/>
        <v>137819</v>
      </c>
      <c r="N253" s="558">
        <f t="shared" si="181"/>
        <v>0</v>
      </c>
      <c r="O253" s="558">
        <f t="shared" si="181"/>
        <v>110</v>
      </c>
      <c r="P253" s="558">
        <f t="shared" si="181"/>
        <v>1100</v>
      </c>
      <c r="Q253" s="558">
        <f t="shared" si="181"/>
        <v>0</v>
      </c>
      <c r="R253" s="558">
        <f t="shared" si="181"/>
        <v>0</v>
      </c>
      <c r="S253" s="561">
        <f t="shared" si="181"/>
        <v>450439</v>
      </c>
      <c r="T253" s="561">
        <f t="shared" si="181"/>
        <v>428868</v>
      </c>
      <c r="U253" s="1104">
        <f t="shared" si="181"/>
        <v>366370</v>
      </c>
      <c r="V253" s="560">
        <f t="shared" ref="V253" si="182">+V248+V250+V252</f>
        <v>1661</v>
      </c>
      <c r="W253" s="561">
        <f t="shared" si="181"/>
        <v>60837</v>
      </c>
      <c r="Y253" s="535">
        <f>+'13.mell_ÖNKfeladatok2020'!$J$124-J253</f>
        <v>0</v>
      </c>
      <c r="Z253" s="535">
        <f>+'13.mell_ÖNKfeladatok2020'!$J$286-S253</f>
        <v>0</v>
      </c>
      <c r="AA253" s="262">
        <f t="shared" si="152"/>
        <v>0</v>
      </c>
      <c r="AB253" s="262"/>
      <c r="AC253" s="262"/>
      <c r="AD253" s="262"/>
      <c r="AE253" s="262"/>
      <c r="AF253" s="262"/>
      <c r="AG253" s="262"/>
      <c r="AH253" s="262"/>
      <c r="AI253" s="262"/>
      <c r="AJ253" s="262"/>
      <c r="AK253" s="262"/>
      <c r="AL253" s="262"/>
      <c r="AM253" s="262"/>
      <c r="AN253" s="262"/>
      <c r="AO253" s="262"/>
      <c r="AP253" s="262"/>
    </row>
    <row r="254" spans="1:42" s="195" customFormat="1" ht="12.75" thickBot="1">
      <c r="A254" s="344"/>
      <c r="B254" s="494"/>
      <c r="C254" s="569"/>
      <c r="D254" s="570"/>
      <c r="E254" s="570"/>
      <c r="F254" s="570"/>
      <c r="G254" s="570"/>
      <c r="H254" s="570"/>
      <c r="I254" s="571"/>
      <c r="J254" s="572"/>
      <c r="K254" s="569"/>
      <c r="L254" s="569"/>
      <c r="M254" s="569"/>
      <c r="N254" s="569"/>
      <c r="O254" s="569"/>
      <c r="P254" s="569"/>
      <c r="Q254" s="569"/>
      <c r="R254" s="569"/>
      <c r="S254" s="572"/>
      <c r="T254" s="572"/>
      <c r="U254" s="866"/>
      <c r="V254" s="571"/>
      <c r="W254" s="572"/>
      <c r="AA254" s="262">
        <f t="shared" si="152"/>
        <v>0</v>
      </c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</row>
    <row r="255" spans="1:42">
      <c r="A255" s="825">
        <f>+A251+1</f>
        <v>24</v>
      </c>
      <c r="B255" s="731" t="s">
        <v>1088</v>
      </c>
      <c r="C255" s="869">
        <f>+SUMIF('13.mell_ÖNKfeladatok2020'!$B$5:$B$159,'14.mell_Önk kiegészítés2020'!$A255,'13.mell_ÖNKfeladatok2020'!R$5:R$159)</f>
        <v>0</v>
      </c>
      <c r="D255" s="869">
        <f>+SUMIF('13.mell_ÖNKfeladatok2020'!$B$5:$B$159,'14.mell_Önk kiegészítés2020'!$A255,'13.mell_ÖNKfeladatok2020'!V$5:V$159)</f>
        <v>0</v>
      </c>
      <c r="E255" s="869">
        <f>+SUMIF('13.mell_ÖNKfeladatok2020'!$B$5:$B$159,'14.mell_Önk kiegészítés2020'!$A255,'13.mell_ÖNKfeladatok2020'!Z$5:Z$159)</f>
        <v>0</v>
      </c>
      <c r="F255" s="869">
        <f>+SUMIF('13.mell_ÖNKfeladatok2020'!$B$5:$B$159,'14.mell_Önk kiegészítés2020'!$A255,'13.mell_ÖNKfeladatok2020'!AD$5:AD$159)</f>
        <v>0</v>
      </c>
      <c r="G255" s="869">
        <f>+SUMIF('13.mell_ÖNKfeladatok2020'!$B$5:$B$159,'14.mell_Önk kiegészítés2020'!$A255,'13.mell_ÖNKfeladatok2020'!AL$5:AL$159)</f>
        <v>0</v>
      </c>
      <c r="H255" s="869">
        <f>+SUMIF('13.mell_ÖNKfeladatok2020'!$B$5:$B$159,'14.mell_Önk kiegészítés2020'!$A255,'13.mell_ÖNKfeladatok2020'!AP$5:AP$159)</f>
        <v>0</v>
      </c>
      <c r="I255" s="869">
        <f>+SUMIF('13.mell_ÖNKfeladatok2020'!$B$5:$B$159,'14.mell_Önk kiegészítés2020'!$A255,'13.mell_ÖNKfeladatok2020'!AT$5:AT$159)</f>
        <v>0</v>
      </c>
      <c r="J255" s="732">
        <f>SUM(C255:I255)</f>
        <v>0</v>
      </c>
      <c r="K255" s="869">
        <f>+SUMIF('13.mell_ÖNKfeladatok2020'!$B$167:$B$321,'14.mell_Önk kiegészítés2020'!$A255,'13.mell_ÖNKfeladatok2020'!R$167:R$321)</f>
        <v>0</v>
      </c>
      <c r="L255" s="869">
        <f>+SUMIF('13.mell_ÖNKfeladatok2020'!$B$167:$B$321,'14.mell_Önk kiegészítés2020'!$A255,'13.mell_ÖNKfeladatok2020'!V$167:V$321)</f>
        <v>0</v>
      </c>
      <c r="M255" s="869">
        <f>+SUMIF('13.mell_ÖNKfeladatok2020'!$B$167:$B$321,'14.mell_Önk kiegészítés2020'!$A255,'13.mell_ÖNKfeladatok2020'!Z$167:Z$321)</f>
        <v>1365</v>
      </c>
      <c r="N255" s="869">
        <f>+SUMIF('13.mell_ÖNKfeladatok2020'!$B$167:$B$321,'14.mell_Önk kiegészítés2020'!$A255,'13.mell_ÖNKfeladatok2020'!AD$167:AD$321)</f>
        <v>0</v>
      </c>
      <c r="O255" s="869">
        <f>+SUMIF('13.mell_ÖNKfeladatok2020'!$B$167:$B$321,'14.mell_Önk kiegészítés2020'!$A255,'13.mell_ÖNKfeladatok2020'!AH$167:AH$321)</f>
        <v>0</v>
      </c>
      <c r="P255" s="869">
        <f>+SUMIF('13.mell_ÖNKfeladatok2020'!$B$167:$B$321,'14.mell_Önk kiegészítés2020'!$A255,'13.mell_ÖNKfeladatok2020'!AP$167:AP$321)</f>
        <v>0</v>
      </c>
      <c r="Q255" s="869">
        <f>+SUMIF('13.mell_ÖNKfeladatok2020'!$B$167:$B$321,'14.mell_Önk kiegészítés2020'!$A255,'13.mell_ÖNKfeladatok2020'!AT$167:AT$321)</f>
        <v>0</v>
      </c>
      <c r="R255" s="869">
        <f>+SUMIF('13.mell_ÖNKfeladatok2020'!$B$167:$B$321,'14.mell_Önk kiegészítés2020'!$A255,'13.mell_ÖNKfeladatok2020'!AX$167:AX$321)</f>
        <v>0</v>
      </c>
      <c r="S255" s="732">
        <f>SUM(K255:R255)</f>
        <v>1365</v>
      </c>
      <c r="T255" s="733">
        <f>S255-J255</f>
        <v>1365</v>
      </c>
      <c r="U255" s="1105">
        <f>+ROUND(SUMIF('10.mell_támogatások2020'!$B$6:$B$137,'14.mell_Önk kiegészítés2020'!$A255,'10.mell_támogatások2020'!G$6:G$137)/1000,0)</f>
        <v>0</v>
      </c>
      <c r="V255" s="1083">
        <v>1321</v>
      </c>
      <c r="W255" s="733">
        <f t="shared" ref="W255:W257" si="183">+T255-U255-V255</f>
        <v>44</v>
      </c>
      <c r="AA255" s="262">
        <f t="shared" si="152"/>
        <v>0</v>
      </c>
      <c r="AB255" s="262">
        <v>1321</v>
      </c>
    </row>
    <row r="256" spans="1:42">
      <c r="A256" s="826">
        <f>+A255+1</f>
        <v>25</v>
      </c>
      <c r="B256" s="542" t="s">
        <v>1145</v>
      </c>
      <c r="C256" s="543">
        <f>+SUMIF('13.mell_ÖNKfeladatok2020'!$B$5:$B$159,'14.mell_Önk kiegészítés2020'!$A256,'13.mell_ÖNKfeladatok2020'!R$5:R$159)</f>
        <v>0</v>
      </c>
      <c r="D256" s="543">
        <f>+SUMIF('13.mell_ÖNKfeladatok2020'!$B$5:$B$159,'14.mell_Önk kiegészítés2020'!$A256,'13.mell_ÖNKfeladatok2020'!V$5:V$159)</f>
        <v>0</v>
      </c>
      <c r="E256" s="543">
        <f>+SUMIF('13.mell_ÖNKfeladatok2020'!$B$5:$B$159,'14.mell_Önk kiegészítés2020'!$A256,'13.mell_ÖNKfeladatok2020'!Z$5:Z$159)</f>
        <v>500</v>
      </c>
      <c r="F256" s="543">
        <f>+SUMIF('13.mell_ÖNKfeladatok2020'!$B$5:$B$159,'14.mell_Önk kiegészítés2020'!$A256,'13.mell_ÖNKfeladatok2020'!AD$5:AD$159)</f>
        <v>0</v>
      </c>
      <c r="G256" s="543">
        <f>+SUMIF('13.mell_ÖNKfeladatok2020'!$B$5:$B$159,'14.mell_Önk kiegészítés2020'!$A256,'13.mell_ÖNKfeladatok2020'!AL$5:AL$159)</f>
        <v>0</v>
      </c>
      <c r="H256" s="543">
        <f>+SUMIF('13.mell_ÖNKfeladatok2020'!$B$5:$B$159,'14.mell_Önk kiegészítés2020'!$A256,'13.mell_ÖNKfeladatok2020'!AP$5:AP$159)</f>
        <v>0</v>
      </c>
      <c r="I256" s="543">
        <f>+SUMIF('13.mell_ÖNKfeladatok2020'!$B$5:$B$159,'14.mell_Önk kiegészítés2020'!$A256,'13.mell_ÖNKfeladatok2020'!AT$5:AT$159)</f>
        <v>0</v>
      </c>
      <c r="J256" s="582">
        <f>SUM(C256:I256)</f>
        <v>500</v>
      </c>
      <c r="K256" s="543">
        <f>+SUMIF('13.mell_ÖNKfeladatok2020'!$B$167:$B$321,'14.mell_Önk kiegészítés2020'!$A256,'13.mell_ÖNKfeladatok2020'!R$167:R$321)</f>
        <v>24355</v>
      </c>
      <c r="L256" s="543">
        <f>+SUMIF('13.mell_ÖNKfeladatok2020'!$B$167:$B$321,'14.mell_Önk kiegészítés2020'!$A256,'13.mell_ÖNKfeladatok2020'!V$167:V$321)</f>
        <v>4255</v>
      </c>
      <c r="M256" s="543">
        <f>+SUMIF('13.mell_ÖNKfeladatok2020'!$B$167:$B$321,'14.mell_Önk kiegészítés2020'!$A256,'13.mell_ÖNKfeladatok2020'!Z$167:Z$321)</f>
        <v>11708</v>
      </c>
      <c r="N256" s="543">
        <f>+SUMIF('13.mell_ÖNKfeladatok2020'!$B$167:$B$321,'14.mell_Önk kiegészítés2020'!$A256,'13.mell_ÖNKfeladatok2020'!AD$167:AD$321)</f>
        <v>0</v>
      </c>
      <c r="O256" s="543">
        <f>+SUMIF('13.mell_ÖNKfeladatok2020'!$B$167:$B$321,'14.mell_Önk kiegészítés2020'!$A256,'13.mell_ÖNKfeladatok2020'!AH$167:AH$321)</f>
        <v>329</v>
      </c>
      <c r="P256" s="543">
        <f>+SUMIF('13.mell_ÖNKfeladatok2020'!$B$167:$B$321,'14.mell_Önk kiegészítés2020'!$A256,'13.mell_ÖNKfeladatok2020'!AP$167:AP$321)</f>
        <v>7984</v>
      </c>
      <c r="Q256" s="543">
        <f>+SUMIF('13.mell_ÖNKfeladatok2020'!$B$167:$B$321,'14.mell_Önk kiegészítés2020'!$A256,'13.mell_ÖNKfeladatok2020'!AT$167:AT$321)</f>
        <v>0</v>
      </c>
      <c r="R256" s="543">
        <f>+SUMIF('13.mell_ÖNKfeladatok2020'!$B$167:$B$321,'14.mell_Önk kiegészítés2020'!$A256,'13.mell_ÖNKfeladatok2020'!AX$167:AX$321)</f>
        <v>0</v>
      </c>
      <c r="S256" s="582">
        <f>SUM(K256:R256)</f>
        <v>48631</v>
      </c>
      <c r="T256" s="544">
        <f>S256-J256</f>
        <v>48131</v>
      </c>
      <c r="U256" s="1101">
        <f>+ROUND(SUMIF('10.mell_támogatások2020'!$B$6:$B$137,'14.mell_Önk kiegészítés2020'!$A256,'10.mell_támogatások2020'!G$6:G$137)/1000,0)</f>
        <v>19736</v>
      </c>
      <c r="V256" s="1081">
        <f>-1321+53</f>
        <v>-1268</v>
      </c>
      <c r="W256" s="544">
        <f t="shared" si="183"/>
        <v>29663</v>
      </c>
      <c r="AA256" s="262">
        <f t="shared" si="152"/>
        <v>0</v>
      </c>
      <c r="AB256" s="262">
        <v>-1321</v>
      </c>
      <c r="AG256" s="262">
        <f>((29+5)+(8+1))+(9+1)</f>
        <v>53</v>
      </c>
    </row>
    <row r="257" spans="1:42" ht="12.75" thickBot="1">
      <c r="A257" s="872">
        <f>+A256+1</f>
        <v>26</v>
      </c>
      <c r="B257" s="554" t="s">
        <v>1095</v>
      </c>
      <c r="C257" s="555">
        <f>+SUMIF('13.mell_ÖNKfeladatok2020'!$B$5:$B$159,'14.mell_Önk kiegészítés2020'!$A257,'13.mell_ÖNKfeladatok2020'!R$5:R$159)</f>
        <v>0</v>
      </c>
      <c r="D257" s="555">
        <f>+SUMIF('13.mell_ÖNKfeladatok2020'!$B$5:$B$159,'14.mell_Önk kiegészítés2020'!$A257,'13.mell_ÖNKfeladatok2020'!V$5:V$159)</f>
        <v>0</v>
      </c>
      <c r="E257" s="555">
        <f>+SUMIF('13.mell_ÖNKfeladatok2020'!$B$5:$B$159,'14.mell_Önk kiegészítés2020'!$A257,'13.mell_ÖNKfeladatok2020'!Z$5:Z$159)</f>
        <v>100</v>
      </c>
      <c r="F257" s="555">
        <f>+SUMIF('13.mell_ÖNKfeladatok2020'!$B$5:$B$159,'14.mell_Önk kiegészítés2020'!$A257,'13.mell_ÖNKfeladatok2020'!AD$5:AD$159)</f>
        <v>0</v>
      </c>
      <c r="G257" s="555">
        <f>+SUMIF('13.mell_ÖNKfeladatok2020'!$B$5:$B$159,'14.mell_Önk kiegészítés2020'!$A257,'13.mell_ÖNKfeladatok2020'!AL$5:AL$159)</f>
        <v>0</v>
      </c>
      <c r="H257" s="555">
        <f>+SUMIF('13.mell_ÖNKfeladatok2020'!$B$5:$B$159,'14.mell_Önk kiegészítés2020'!$A257,'13.mell_ÖNKfeladatok2020'!AP$5:AP$159)</f>
        <v>0</v>
      </c>
      <c r="I257" s="555">
        <f>+SUMIF('13.mell_ÖNKfeladatok2020'!$B$5:$B$159,'14.mell_Önk kiegészítés2020'!$A257,'13.mell_ÖNKfeladatok2020'!AT$5:AT$159)</f>
        <v>0</v>
      </c>
      <c r="J257" s="584">
        <f>SUM(C257:I257)</f>
        <v>100</v>
      </c>
      <c r="K257" s="555">
        <f>+SUMIF('13.mell_ÖNKfeladatok2020'!$B$167:$B$321,'14.mell_Önk kiegészítés2020'!$A257,'13.mell_ÖNKfeladatok2020'!R$167:R$321)</f>
        <v>3217</v>
      </c>
      <c r="L257" s="555">
        <f>+SUMIF('13.mell_ÖNKfeladatok2020'!$B$167:$B$321,'14.mell_Önk kiegészítés2020'!$A257,'13.mell_ÖNKfeladatok2020'!V$167:V$321)</f>
        <v>570</v>
      </c>
      <c r="M257" s="555">
        <f>+SUMIF('13.mell_ÖNKfeladatok2020'!$B$167:$B$321,'14.mell_Önk kiegészítés2020'!$A257,'13.mell_ÖNKfeladatok2020'!Z$167:Z$321)</f>
        <v>2330</v>
      </c>
      <c r="N257" s="555">
        <f>+SUMIF('13.mell_ÖNKfeladatok2020'!$B$167:$B$321,'14.mell_Önk kiegészítés2020'!$A257,'13.mell_ÖNKfeladatok2020'!AD$167:AD$321)</f>
        <v>0</v>
      </c>
      <c r="O257" s="555">
        <f>+SUMIF('13.mell_ÖNKfeladatok2020'!$B$167:$B$321,'14.mell_Önk kiegészítés2020'!$A257,'13.mell_ÖNKfeladatok2020'!AH$167:AH$321)</f>
        <v>0</v>
      </c>
      <c r="P257" s="555">
        <f>+SUMIF('13.mell_ÖNKfeladatok2020'!$B$167:$B$321,'14.mell_Önk kiegészítés2020'!$A257,'13.mell_ÖNKfeladatok2020'!AP$167:AP$321)</f>
        <v>2388</v>
      </c>
      <c r="Q257" s="555">
        <f>+SUMIF('13.mell_ÖNKfeladatok2020'!$B$167:$B$321,'14.mell_Önk kiegészítés2020'!$A257,'13.mell_ÖNKfeladatok2020'!AT$167:AT$321)</f>
        <v>0</v>
      </c>
      <c r="R257" s="555">
        <f>+SUMIF('13.mell_ÖNKfeladatok2020'!$B$167:$B$321,'14.mell_Önk kiegészítés2020'!$A257,'13.mell_ÖNKfeladatok2020'!AX$167:AX$321)</f>
        <v>0</v>
      </c>
      <c r="S257" s="584">
        <f>SUM(K257:R257)</f>
        <v>8505</v>
      </c>
      <c r="T257" s="873">
        <f>S257-J257</f>
        <v>8405</v>
      </c>
      <c r="U257" s="1107">
        <f>+ROUND(SUMIF('10.mell_támogatások2020'!$B$6:$B$137,'14.mell_Önk kiegészítés2020'!$A257,'10.mell_támogatások2020'!G$6:G$137)/1000,0)</f>
        <v>6679</v>
      </c>
      <c r="V257" s="1085"/>
      <c r="W257" s="873">
        <f t="shared" si="183"/>
        <v>1726</v>
      </c>
      <c r="AA257" s="262">
        <f t="shared" si="152"/>
        <v>0</v>
      </c>
    </row>
    <row r="258" spans="1:42" s="535" customFormat="1" ht="12.75" thickBot="1">
      <c r="A258" s="344" t="s">
        <v>750</v>
      </c>
      <c r="B258" s="494" t="s">
        <v>420</v>
      </c>
      <c r="C258" s="549">
        <f>SUM(C255:C257)</f>
        <v>0</v>
      </c>
      <c r="D258" s="549">
        <f t="shared" ref="D258:W258" si="184">SUM(D255:D257)</f>
        <v>0</v>
      </c>
      <c r="E258" s="549">
        <f t="shared" si="184"/>
        <v>600</v>
      </c>
      <c r="F258" s="549">
        <f t="shared" si="184"/>
        <v>0</v>
      </c>
      <c r="G258" s="549">
        <f t="shared" si="184"/>
        <v>0</v>
      </c>
      <c r="H258" s="549">
        <f t="shared" si="184"/>
        <v>0</v>
      </c>
      <c r="I258" s="549">
        <f t="shared" si="184"/>
        <v>0</v>
      </c>
      <c r="J258" s="552">
        <f t="shared" si="184"/>
        <v>600</v>
      </c>
      <c r="K258" s="549">
        <f t="shared" si="184"/>
        <v>27572</v>
      </c>
      <c r="L258" s="549">
        <f t="shared" si="184"/>
        <v>4825</v>
      </c>
      <c r="M258" s="549">
        <f t="shared" si="184"/>
        <v>15403</v>
      </c>
      <c r="N258" s="549">
        <f t="shared" si="184"/>
        <v>0</v>
      </c>
      <c r="O258" s="549">
        <f t="shared" si="184"/>
        <v>329</v>
      </c>
      <c r="P258" s="549">
        <f t="shared" si="184"/>
        <v>10372</v>
      </c>
      <c r="Q258" s="549">
        <f t="shared" si="184"/>
        <v>0</v>
      </c>
      <c r="R258" s="549">
        <f t="shared" si="184"/>
        <v>0</v>
      </c>
      <c r="S258" s="552">
        <f t="shared" si="184"/>
        <v>58501</v>
      </c>
      <c r="T258" s="552">
        <f t="shared" si="184"/>
        <v>57901</v>
      </c>
      <c r="U258" s="1102">
        <f t="shared" si="184"/>
        <v>26415</v>
      </c>
      <c r="V258" s="553">
        <f t="shared" ref="V258" si="185">SUM(V255:V257)</f>
        <v>53</v>
      </c>
      <c r="W258" s="552">
        <f t="shared" si="184"/>
        <v>31433</v>
      </c>
      <c r="AA258" s="262">
        <f t="shared" si="152"/>
        <v>0</v>
      </c>
      <c r="AB258" s="262"/>
      <c r="AC258" s="262"/>
      <c r="AD258" s="262"/>
      <c r="AE258" s="262"/>
      <c r="AF258" s="262"/>
      <c r="AG258" s="262"/>
      <c r="AH258" s="262"/>
      <c r="AI258" s="262"/>
      <c r="AJ258" s="262"/>
      <c r="AK258" s="262"/>
      <c r="AL258" s="262"/>
      <c r="AM258" s="262"/>
      <c r="AN258" s="262"/>
      <c r="AO258" s="262"/>
      <c r="AP258" s="262"/>
    </row>
    <row r="259" spans="1:42" ht="12.75" thickBot="1">
      <c r="A259" s="876">
        <f>+A257+1</f>
        <v>27</v>
      </c>
      <c r="B259" s="877" t="s">
        <v>752</v>
      </c>
      <c r="C259" s="878">
        <f>+SUMIF('13.mell_ÖNKfeladatok2020'!$B$5:$B$159,'14.mell_Önk kiegészítés2020'!$A259,'13.mell_ÖNKfeladatok2020'!R$5:R$159)</f>
        <v>0</v>
      </c>
      <c r="D259" s="878">
        <f>+SUMIF('13.mell_ÖNKfeladatok2020'!$B$5:$B$159,'14.mell_Önk kiegészítés2020'!$A259,'13.mell_ÖNKfeladatok2020'!V$5:V$159)</f>
        <v>0</v>
      </c>
      <c r="E259" s="878">
        <f>+SUMIF('13.mell_ÖNKfeladatok2020'!$B$5:$B$159,'14.mell_Önk kiegészítés2020'!$A259,'13.mell_ÖNKfeladatok2020'!Z$5:Z$159)</f>
        <v>0</v>
      </c>
      <c r="F259" s="878">
        <f>+SUMIF('13.mell_ÖNKfeladatok2020'!$B$5:$B$159,'14.mell_Önk kiegészítés2020'!$A259,'13.mell_ÖNKfeladatok2020'!AD$5:AD$159)</f>
        <v>0</v>
      </c>
      <c r="G259" s="878">
        <f>+SUMIF('13.mell_ÖNKfeladatok2020'!$B$5:$B$159,'14.mell_Önk kiegészítés2020'!$A259,'13.mell_ÖNKfeladatok2020'!AL$5:AL$159)</f>
        <v>0</v>
      </c>
      <c r="H259" s="878">
        <f>+SUMIF('13.mell_ÖNKfeladatok2020'!$B$5:$B$159,'14.mell_Önk kiegészítés2020'!$A259,'13.mell_ÖNKfeladatok2020'!AP$5:AP$159)</f>
        <v>0</v>
      </c>
      <c r="I259" s="878">
        <f>+SUMIF('13.mell_ÖNKfeladatok2020'!$B$5:$B$159,'14.mell_Önk kiegészítés2020'!$A259,'13.mell_ÖNKfeladatok2020'!AT$5:AT$159)</f>
        <v>0</v>
      </c>
      <c r="J259" s="879">
        <f>SUM(C259:I259)</f>
        <v>0</v>
      </c>
      <c r="K259" s="878">
        <f>+SUMIF('13.mell_ÖNKfeladatok2020'!$B$167:$B$321,'14.mell_Önk kiegészítés2020'!$A259,'13.mell_ÖNKfeladatok2020'!R$167:R$321)</f>
        <v>0</v>
      </c>
      <c r="L259" s="878">
        <f>+SUMIF('13.mell_ÖNKfeladatok2020'!$B$167:$B$321,'14.mell_Önk kiegészítés2020'!$A259,'13.mell_ÖNKfeladatok2020'!V$167:V$321)</f>
        <v>0</v>
      </c>
      <c r="M259" s="878">
        <f>+SUMIF('13.mell_ÖNKfeladatok2020'!$B$167:$B$321,'14.mell_Önk kiegészítés2020'!$A259,'13.mell_ÖNKfeladatok2020'!Z$167:Z$321)</f>
        <v>0</v>
      </c>
      <c r="N259" s="878">
        <f>+SUMIF('13.mell_ÖNKfeladatok2020'!$B$167:$B$321,'14.mell_Önk kiegészítés2020'!$A259,'13.mell_ÖNKfeladatok2020'!AD$167:AD$321)</f>
        <v>0</v>
      </c>
      <c r="O259" s="878">
        <f>+SUMIF('13.mell_ÖNKfeladatok2020'!$B$167:$B$321,'14.mell_Önk kiegészítés2020'!$A259,'13.mell_ÖNKfeladatok2020'!AH$167:AH$321)</f>
        <v>0</v>
      </c>
      <c r="P259" s="878">
        <f>+SUMIF('13.mell_ÖNKfeladatok2020'!$B$167:$B$321,'14.mell_Önk kiegészítés2020'!$A259,'13.mell_ÖNKfeladatok2020'!AP$167:AP$321)</f>
        <v>0</v>
      </c>
      <c r="Q259" s="878">
        <f>+SUMIF('13.mell_ÖNKfeladatok2020'!$B$167:$B$321,'14.mell_Önk kiegészítés2020'!$A259,'13.mell_ÖNKfeladatok2020'!AT$167:AT$321)</f>
        <v>0</v>
      </c>
      <c r="R259" s="878">
        <f>+SUMIF('13.mell_ÖNKfeladatok2020'!$B$167:$B$321,'14.mell_Önk kiegészítés2020'!$A259,'13.mell_ÖNKfeladatok2020'!AX$167:AX$321)</f>
        <v>0</v>
      </c>
      <c r="S259" s="879">
        <f>SUM(K259:R259)</f>
        <v>0</v>
      </c>
      <c r="T259" s="552">
        <f>S259-J259</f>
        <v>0</v>
      </c>
      <c r="U259" s="1108">
        <f>+ROUND(SUMIF('10.mell_támogatások2020'!$B$6:$B$137,'14.mell_Önk kiegészítés2020'!$A259,'10.mell_támogatások2020'!G$6:G$137)/1000,0)</f>
        <v>0</v>
      </c>
      <c r="V259" s="1086"/>
      <c r="W259" s="552">
        <f>+T259-U259-V259</f>
        <v>0</v>
      </c>
      <c r="AA259" s="262">
        <f t="shared" si="152"/>
        <v>0</v>
      </c>
    </row>
    <row r="260" spans="1:42" s="535" customFormat="1" ht="12.75" thickBot="1">
      <c r="A260" s="504" t="s">
        <v>633</v>
      </c>
      <c r="B260" s="505" t="s">
        <v>752</v>
      </c>
      <c r="C260" s="874">
        <f>SUM(C259)</f>
        <v>0</v>
      </c>
      <c r="D260" s="874">
        <f t="shared" ref="D260:W260" si="186">SUM(D259)</f>
        <v>0</v>
      </c>
      <c r="E260" s="874">
        <f t="shared" si="186"/>
        <v>0</v>
      </c>
      <c r="F260" s="874">
        <f t="shared" si="186"/>
        <v>0</v>
      </c>
      <c r="G260" s="874">
        <f t="shared" si="186"/>
        <v>0</v>
      </c>
      <c r="H260" s="874">
        <f t="shared" si="186"/>
        <v>0</v>
      </c>
      <c r="I260" s="874">
        <f t="shared" si="186"/>
        <v>0</v>
      </c>
      <c r="J260" s="875">
        <f t="shared" si="186"/>
        <v>0</v>
      </c>
      <c r="K260" s="874">
        <f t="shared" si="186"/>
        <v>0</v>
      </c>
      <c r="L260" s="874">
        <f t="shared" si="186"/>
        <v>0</v>
      </c>
      <c r="M260" s="874">
        <f t="shared" si="186"/>
        <v>0</v>
      </c>
      <c r="N260" s="874">
        <f t="shared" si="186"/>
        <v>0</v>
      </c>
      <c r="O260" s="874">
        <f t="shared" si="186"/>
        <v>0</v>
      </c>
      <c r="P260" s="874">
        <f t="shared" si="186"/>
        <v>0</v>
      </c>
      <c r="Q260" s="874">
        <f t="shared" si="186"/>
        <v>0</v>
      </c>
      <c r="R260" s="874">
        <f t="shared" si="186"/>
        <v>0</v>
      </c>
      <c r="S260" s="875">
        <f t="shared" si="186"/>
        <v>0</v>
      </c>
      <c r="T260" s="875">
        <f t="shared" si="186"/>
        <v>0</v>
      </c>
      <c r="U260" s="1109">
        <f t="shared" si="186"/>
        <v>0</v>
      </c>
      <c r="V260" s="1087">
        <f t="shared" ref="V260" si="187">SUM(V259)</f>
        <v>0</v>
      </c>
      <c r="W260" s="875">
        <f t="shared" si="186"/>
        <v>0</v>
      </c>
      <c r="AA260" s="262">
        <f t="shared" si="152"/>
        <v>0</v>
      </c>
      <c r="AB260" s="262"/>
      <c r="AC260" s="262"/>
      <c r="AD260" s="262"/>
      <c r="AE260" s="262"/>
      <c r="AF260" s="262"/>
      <c r="AG260" s="262"/>
      <c r="AH260" s="262"/>
      <c r="AI260" s="262"/>
      <c r="AJ260" s="262"/>
      <c r="AK260" s="262"/>
      <c r="AL260" s="262"/>
      <c r="AM260" s="262"/>
      <c r="AN260" s="262"/>
      <c r="AO260" s="262"/>
      <c r="AP260" s="262"/>
    </row>
    <row r="261" spans="1:42" ht="12.75" thickBot="1">
      <c r="A261" s="876">
        <f>+A259+1</f>
        <v>28</v>
      </c>
      <c r="B261" s="877" t="s">
        <v>767</v>
      </c>
      <c r="C261" s="878">
        <f>+SUMIF('13.mell_ÖNKfeladatok2020'!$B$5:$B$159,'14.mell_Önk kiegészítés2020'!$A261,'13.mell_ÖNKfeladatok2020'!R$5:R$159)</f>
        <v>0</v>
      </c>
      <c r="D261" s="878">
        <f>+SUMIF('13.mell_ÖNKfeladatok2020'!$B$5:$B$159,'14.mell_Önk kiegészítés2020'!$A261,'13.mell_ÖNKfeladatok2020'!V$5:V$159)</f>
        <v>0</v>
      </c>
      <c r="E261" s="878">
        <f>+SUMIF('13.mell_ÖNKfeladatok2020'!$B$5:$B$159,'14.mell_Önk kiegészítés2020'!$A261,'13.mell_ÖNKfeladatok2020'!Z$5:Z$159)</f>
        <v>0</v>
      </c>
      <c r="F261" s="878">
        <f>+SUMIF('13.mell_ÖNKfeladatok2020'!$B$5:$B$159,'14.mell_Önk kiegészítés2020'!$A261,'13.mell_ÖNKfeladatok2020'!AD$5:AD$159)</f>
        <v>0</v>
      </c>
      <c r="G261" s="878">
        <f>+SUMIF('13.mell_ÖNKfeladatok2020'!$B$5:$B$159,'14.mell_Önk kiegészítés2020'!$A261,'13.mell_ÖNKfeladatok2020'!AL$5:AL$159)</f>
        <v>0</v>
      </c>
      <c r="H261" s="878">
        <f>+SUMIF('13.mell_ÖNKfeladatok2020'!$B$5:$B$159,'14.mell_Önk kiegészítés2020'!$A261,'13.mell_ÖNKfeladatok2020'!AP$5:AP$159)</f>
        <v>0</v>
      </c>
      <c r="I261" s="878">
        <f>+SUMIF('13.mell_ÖNKfeladatok2020'!$B$5:$B$159,'14.mell_Önk kiegészítés2020'!$A261,'13.mell_ÖNKfeladatok2020'!AT$5:AT$159)</f>
        <v>0</v>
      </c>
      <c r="J261" s="879">
        <f>SUM(C261:I261)</f>
        <v>0</v>
      </c>
      <c r="K261" s="878">
        <f>+SUMIF('13.mell_ÖNKfeladatok2020'!$B$167:$B$321,'14.mell_Önk kiegészítés2020'!$A261,'13.mell_ÖNKfeladatok2020'!R$167:R$321)</f>
        <v>0</v>
      </c>
      <c r="L261" s="878">
        <f>+SUMIF('13.mell_ÖNKfeladatok2020'!$B$167:$B$321,'14.mell_Önk kiegészítés2020'!$A261,'13.mell_ÖNKfeladatok2020'!V$167:V$321)</f>
        <v>0</v>
      </c>
      <c r="M261" s="878">
        <f>+SUMIF('13.mell_ÖNKfeladatok2020'!$B$167:$B$321,'14.mell_Önk kiegészítés2020'!$A261,'13.mell_ÖNKfeladatok2020'!Z$167:Z$321)</f>
        <v>0</v>
      </c>
      <c r="N261" s="878">
        <f>+SUMIF('13.mell_ÖNKfeladatok2020'!$B$167:$B$321,'14.mell_Önk kiegészítés2020'!$A261,'13.mell_ÖNKfeladatok2020'!AD$167:AD$321)</f>
        <v>0</v>
      </c>
      <c r="O261" s="878">
        <f>+SUMIF('13.mell_ÖNKfeladatok2020'!$B$167:$B$321,'14.mell_Önk kiegészítés2020'!$A261,'13.mell_ÖNKfeladatok2020'!AH$167:AH$321)</f>
        <v>0</v>
      </c>
      <c r="P261" s="878">
        <f>+SUMIF('13.mell_ÖNKfeladatok2020'!$B$167:$B$321,'14.mell_Önk kiegészítés2020'!$A261,'13.mell_ÖNKfeladatok2020'!AP$167:AP$321)</f>
        <v>0</v>
      </c>
      <c r="Q261" s="878">
        <f>+SUMIF('13.mell_ÖNKfeladatok2020'!$B$167:$B$321,'14.mell_Önk kiegészítés2020'!$A261,'13.mell_ÖNKfeladatok2020'!AT$167:AT$321)</f>
        <v>0</v>
      </c>
      <c r="R261" s="878">
        <f>+SUMIF('13.mell_ÖNKfeladatok2020'!$B$167:$B$321,'14.mell_Önk kiegészítés2020'!$A261,'13.mell_ÖNKfeladatok2020'!AX$167:AX$321)</f>
        <v>0</v>
      </c>
      <c r="S261" s="879">
        <f>SUM(K261:R261)</f>
        <v>0</v>
      </c>
      <c r="T261" s="552">
        <f>S261-J261</f>
        <v>0</v>
      </c>
      <c r="U261" s="1108">
        <f>+ROUND(SUMIF('10.mell_támogatások2020'!$B$6:$B$137,'14.mell_Önk kiegészítés2020'!$A261,'10.mell_támogatások2020'!G$6:G$137)/1000,0)</f>
        <v>0</v>
      </c>
      <c r="V261" s="1086"/>
      <c r="W261" s="552">
        <f>+T261-U261-V261</f>
        <v>0</v>
      </c>
      <c r="AA261" s="262">
        <f t="shared" si="152"/>
        <v>0</v>
      </c>
    </row>
    <row r="262" spans="1:42" s="535" customFormat="1" ht="12.75" thickBot="1">
      <c r="A262" s="504" t="s">
        <v>751</v>
      </c>
      <c r="B262" s="505" t="s">
        <v>767</v>
      </c>
      <c r="C262" s="874">
        <f>SUM(C261)</f>
        <v>0</v>
      </c>
      <c r="D262" s="874">
        <f t="shared" ref="D262:W262" si="188">SUM(D261)</f>
        <v>0</v>
      </c>
      <c r="E262" s="874">
        <f t="shared" si="188"/>
        <v>0</v>
      </c>
      <c r="F262" s="874">
        <f t="shared" si="188"/>
        <v>0</v>
      </c>
      <c r="G262" s="874">
        <f t="shared" si="188"/>
        <v>0</v>
      </c>
      <c r="H262" s="874">
        <f t="shared" si="188"/>
        <v>0</v>
      </c>
      <c r="I262" s="874">
        <f t="shared" si="188"/>
        <v>0</v>
      </c>
      <c r="J262" s="875">
        <f t="shared" si="188"/>
        <v>0</v>
      </c>
      <c r="K262" s="874">
        <f t="shared" si="188"/>
        <v>0</v>
      </c>
      <c r="L262" s="874">
        <f t="shared" si="188"/>
        <v>0</v>
      </c>
      <c r="M262" s="874">
        <f t="shared" si="188"/>
        <v>0</v>
      </c>
      <c r="N262" s="874">
        <f t="shared" si="188"/>
        <v>0</v>
      </c>
      <c r="O262" s="874">
        <f t="shared" si="188"/>
        <v>0</v>
      </c>
      <c r="P262" s="874">
        <f t="shared" si="188"/>
        <v>0</v>
      </c>
      <c r="Q262" s="874">
        <f t="shared" si="188"/>
        <v>0</v>
      </c>
      <c r="R262" s="874">
        <f t="shared" si="188"/>
        <v>0</v>
      </c>
      <c r="S262" s="875">
        <f t="shared" si="188"/>
        <v>0</v>
      </c>
      <c r="T262" s="875">
        <f t="shared" si="188"/>
        <v>0</v>
      </c>
      <c r="U262" s="1109">
        <f t="shared" si="188"/>
        <v>0</v>
      </c>
      <c r="V262" s="1087">
        <f t="shared" ref="V262" si="189">SUM(V261)</f>
        <v>0</v>
      </c>
      <c r="W262" s="875">
        <f t="shared" si="188"/>
        <v>0</v>
      </c>
      <c r="AA262" s="262">
        <f t="shared" si="152"/>
        <v>0</v>
      </c>
      <c r="AB262" s="262"/>
      <c r="AC262" s="262"/>
      <c r="AD262" s="262"/>
      <c r="AE262" s="262"/>
      <c r="AF262" s="262"/>
      <c r="AG262" s="262"/>
      <c r="AH262" s="262"/>
      <c r="AI262" s="262"/>
      <c r="AJ262" s="262"/>
      <c r="AK262" s="262"/>
      <c r="AL262" s="262"/>
      <c r="AM262" s="262"/>
      <c r="AN262" s="262"/>
      <c r="AO262" s="262"/>
      <c r="AP262" s="262"/>
    </row>
    <row r="263" spans="1:42" s="535" customFormat="1" ht="12.75" thickBot="1">
      <c r="A263" s="496" t="s">
        <v>20</v>
      </c>
      <c r="B263" s="508" t="s">
        <v>422</v>
      </c>
      <c r="C263" s="558">
        <f>+C258+C260+C262</f>
        <v>0</v>
      </c>
      <c r="D263" s="559">
        <f t="shared" ref="D263:W263" si="190">+D258+D260+D262</f>
        <v>0</v>
      </c>
      <c r="E263" s="559">
        <f t="shared" si="190"/>
        <v>600</v>
      </c>
      <c r="F263" s="559">
        <f t="shared" si="190"/>
        <v>0</v>
      </c>
      <c r="G263" s="559">
        <f t="shared" si="190"/>
        <v>0</v>
      </c>
      <c r="H263" s="559">
        <f t="shared" si="190"/>
        <v>0</v>
      </c>
      <c r="I263" s="560">
        <f t="shared" si="190"/>
        <v>0</v>
      </c>
      <c r="J263" s="561">
        <f t="shared" si="190"/>
        <v>600</v>
      </c>
      <c r="K263" s="558">
        <f t="shared" si="190"/>
        <v>27572</v>
      </c>
      <c r="L263" s="558">
        <f t="shared" si="190"/>
        <v>4825</v>
      </c>
      <c r="M263" s="558">
        <f t="shared" si="190"/>
        <v>15403</v>
      </c>
      <c r="N263" s="558">
        <f t="shared" si="190"/>
        <v>0</v>
      </c>
      <c r="O263" s="558">
        <f t="shared" si="190"/>
        <v>329</v>
      </c>
      <c r="P263" s="558">
        <f t="shared" si="190"/>
        <v>10372</v>
      </c>
      <c r="Q263" s="558">
        <f t="shared" si="190"/>
        <v>0</v>
      </c>
      <c r="R263" s="558">
        <f t="shared" si="190"/>
        <v>0</v>
      </c>
      <c r="S263" s="561">
        <f t="shared" si="190"/>
        <v>58501</v>
      </c>
      <c r="T263" s="561">
        <f t="shared" si="190"/>
        <v>57901</v>
      </c>
      <c r="U263" s="1104">
        <f t="shared" si="190"/>
        <v>26415</v>
      </c>
      <c r="V263" s="560">
        <f t="shared" ref="V263" si="191">+V258+V260+V262</f>
        <v>53</v>
      </c>
      <c r="W263" s="561">
        <f t="shared" si="190"/>
        <v>31433</v>
      </c>
      <c r="Y263" s="535">
        <f>+'13.mell_ÖNKfeladatok2020'!$J$136-J263</f>
        <v>0</v>
      </c>
      <c r="Z263" s="535">
        <f>+'13.mell_ÖNKfeladatok2020'!$J$298-S263</f>
        <v>0</v>
      </c>
      <c r="AA263" s="262">
        <f t="shared" si="152"/>
        <v>0</v>
      </c>
      <c r="AB263" s="262"/>
      <c r="AC263" s="262"/>
      <c r="AD263" s="262"/>
      <c r="AE263" s="262"/>
      <c r="AF263" s="262"/>
      <c r="AG263" s="262"/>
      <c r="AH263" s="262"/>
      <c r="AI263" s="262"/>
      <c r="AJ263" s="262"/>
      <c r="AK263" s="262"/>
      <c r="AL263" s="262"/>
      <c r="AM263" s="262"/>
      <c r="AN263" s="262"/>
      <c r="AO263" s="262"/>
      <c r="AP263" s="262"/>
    </row>
    <row r="264" spans="1:42" s="195" customFormat="1" ht="12.75" thickBot="1">
      <c r="A264" s="522"/>
      <c r="B264" s="573"/>
      <c r="C264" s="562"/>
      <c r="D264" s="563"/>
      <c r="E264" s="563"/>
      <c r="F264" s="563"/>
      <c r="G264" s="563"/>
      <c r="H264" s="563"/>
      <c r="I264" s="564"/>
      <c r="J264" s="565"/>
      <c r="K264" s="574"/>
      <c r="L264" s="574"/>
      <c r="M264" s="574"/>
      <c r="N264" s="574"/>
      <c r="O264" s="574"/>
      <c r="P264" s="574"/>
      <c r="Q264" s="574"/>
      <c r="R264" s="574"/>
      <c r="S264" s="572"/>
      <c r="T264" s="572"/>
      <c r="U264" s="1110"/>
      <c r="V264" s="1088"/>
      <c r="W264" s="572"/>
      <c r="AA264" s="262">
        <f t="shared" si="152"/>
        <v>0</v>
      </c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</row>
    <row r="265" spans="1:42" ht="12.75" thickBot="1">
      <c r="A265" s="825">
        <f>+A261+1</f>
        <v>29</v>
      </c>
      <c r="B265" s="731" t="s">
        <v>860</v>
      </c>
      <c r="C265" s="869">
        <f>+SUMIF('13.mell_ÖNKfeladatok2020'!$B$5:$B$159,'14.mell_Önk kiegészítés2020'!$A265,'13.mell_ÖNKfeladatok2020'!R$5:R$159)</f>
        <v>0</v>
      </c>
      <c r="D265" s="869">
        <f>+SUMIF('13.mell_ÖNKfeladatok2020'!$B$5:$B$159,'14.mell_Önk kiegészítés2020'!$A265,'13.mell_ÖNKfeladatok2020'!V$5:V$159)</f>
        <v>0</v>
      </c>
      <c r="E265" s="869">
        <f>+SUMIF('13.mell_ÖNKfeladatok2020'!$B$5:$B$159,'14.mell_Önk kiegészítés2020'!$A265,'13.mell_ÖNKfeladatok2020'!Z$5:Z$159)</f>
        <v>0</v>
      </c>
      <c r="F265" s="869">
        <f>+SUMIF('13.mell_ÖNKfeladatok2020'!$B$5:$B$159,'14.mell_Önk kiegészítés2020'!$A265,'13.mell_ÖNKfeladatok2020'!AD$5:AD$159)</f>
        <v>0</v>
      </c>
      <c r="G265" s="869">
        <f>+SUMIF('13.mell_ÖNKfeladatok2020'!$B$5:$B$159,'14.mell_Önk kiegészítés2020'!$A265,'13.mell_ÖNKfeladatok2020'!AL$5:AL$159)</f>
        <v>0</v>
      </c>
      <c r="H265" s="869">
        <f>+SUMIF('13.mell_ÖNKfeladatok2020'!$B$5:$B$159,'14.mell_Önk kiegészítés2020'!$A265,'13.mell_ÖNKfeladatok2020'!AP$5:AP$159)</f>
        <v>0</v>
      </c>
      <c r="I265" s="869">
        <f>+SUMIF('13.mell_ÖNKfeladatok2020'!$B$5:$B$159,'14.mell_Önk kiegészítés2020'!$A265,'13.mell_ÖNKfeladatok2020'!AT$5:AT$159)</f>
        <v>0</v>
      </c>
      <c r="J265" s="732">
        <f>SUM(C265:I265)</f>
        <v>0</v>
      </c>
      <c r="K265" s="869">
        <f>+SUMIF('13.mell_ÖNKfeladatok2020'!$B$167:$B$321,'14.mell_Önk kiegészítés2020'!$A265,'13.mell_ÖNKfeladatok2020'!R$167:R$321)</f>
        <v>0</v>
      </c>
      <c r="L265" s="869">
        <f>+SUMIF('13.mell_ÖNKfeladatok2020'!$B$167:$B$321,'14.mell_Önk kiegészítés2020'!$A265,'13.mell_ÖNKfeladatok2020'!V$167:V$321)</f>
        <v>0</v>
      </c>
      <c r="M265" s="869">
        <f>+SUMIF('13.mell_ÖNKfeladatok2020'!$B$167:$B$321,'14.mell_Önk kiegészítés2020'!$A265,'13.mell_ÖNKfeladatok2020'!Z$167:Z$321)</f>
        <v>0</v>
      </c>
      <c r="N265" s="869">
        <f>+SUMIF('13.mell_ÖNKfeladatok2020'!$B$167:$B$321,'14.mell_Önk kiegészítés2020'!$A265,'13.mell_ÖNKfeladatok2020'!AD$167:AD$321)</f>
        <v>0</v>
      </c>
      <c r="O265" s="869">
        <f>+SUMIF('13.mell_ÖNKfeladatok2020'!$B$167:$B$321,'14.mell_Önk kiegészítés2020'!$A265,'13.mell_ÖNKfeladatok2020'!AH$167:AH$321)</f>
        <v>0</v>
      </c>
      <c r="P265" s="869">
        <f>+SUMIF('13.mell_ÖNKfeladatok2020'!$B$167:$B$321,'14.mell_Önk kiegészítés2020'!$A265,'13.mell_ÖNKfeladatok2020'!AP$167:AP$321)</f>
        <v>0</v>
      </c>
      <c r="Q265" s="869">
        <f>+SUMIF('13.mell_ÖNKfeladatok2020'!$B$167:$B$321,'14.mell_Önk kiegészítés2020'!$A265,'13.mell_ÖNKfeladatok2020'!AT$167:AT$321)</f>
        <v>0</v>
      </c>
      <c r="R265" s="869">
        <f>+SUMIF('13.mell_ÖNKfeladatok2020'!$B$167:$B$321,'14.mell_Önk kiegészítés2020'!$A265,'13.mell_ÖNKfeladatok2020'!AX$167:AX$321)</f>
        <v>0</v>
      </c>
      <c r="S265" s="732">
        <f>SUM(K265:R265)</f>
        <v>0</v>
      </c>
      <c r="T265" s="733">
        <f>S265-J265</f>
        <v>0</v>
      </c>
      <c r="U265" s="1105">
        <f>+ROUND(SUMIF('10.mell_támogatások2020'!$B$6:$B$137,'14.mell_Önk kiegészítés2020'!$A265,'10.mell_támogatások2020'!G$6:G$137)/1000,0)</f>
        <v>0</v>
      </c>
      <c r="V265" s="1083"/>
      <c r="W265" s="733">
        <f>+T265-U265-V265</f>
        <v>0</v>
      </c>
      <c r="AA265" s="262">
        <f t="shared" si="152"/>
        <v>0</v>
      </c>
    </row>
    <row r="266" spans="1:42" s="535" customFormat="1" ht="12.75" thickBot="1">
      <c r="A266" s="344" t="s">
        <v>885</v>
      </c>
      <c r="B266" s="494" t="s">
        <v>860</v>
      </c>
      <c r="C266" s="549">
        <f>SUM(C265)</f>
        <v>0</v>
      </c>
      <c r="D266" s="549">
        <f t="shared" ref="D266:W266" si="192">SUM(D265)</f>
        <v>0</v>
      </c>
      <c r="E266" s="549">
        <f t="shared" si="192"/>
        <v>0</v>
      </c>
      <c r="F266" s="549">
        <f t="shared" si="192"/>
        <v>0</v>
      </c>
      <c r="G266" s="549">
        <f t="shared" si="192"/>
        <v>0</v>
      </c>
      <c r="H266" s="549">
        <f t="shared" si="192"/>
        <v>0</v>
      </c>
      <c r="I266" s="549">
        <f t="shared" si="192"/>
        <v>0</v>
      </c>
      <c r="J266" s="552">
        <f t="shared" si="192"/>
        <v>0</v>
      </c>
      <c r="K266" s="549">
        <f t="shared" si="192"/>
        <v>0</v>
      </c>
      <c r="L266" s="549">
        <f t="shared" si="192"/>
        <v>0</v>
      </c>
      <c r="M266" s="549">
        <f t="shared" si="192"/>
        <v>0</v>
      </c>
      <c r="N266" s="549">
        <f t="shared" si="192"/>
        <v>0</v>
      </c>
      <c r="O266" s="549">
        <f t="shared" si="192"/>
        <v>0</v>
      </c>
      <c r="P266" s="549">
        <f t="shared" si="192"/>
        <v>0</v>
      </c>
      <c r="Q266" s="549">
        <f t="shared" si="192"/>
        <v>0</v>
      </c>
      <c r="R266" s="549">
        <f t="shared" si="192"/>
        <v>0</v>
      </c>
      <c r="S266" s="552">
        <f t="shared" si="192"/>
        <v>0</v>
      </c>
      <c r="T266" s="552">
        <f t="shared" si="192"/>
        <v>0</v>
      </c>
      <c r="U266" s="1102">
        <f t="shared" si="192"/>
        <v>0</v>
      </c>
      <c r="V266" s="553">
        <f t="shared" ref="V266" si="193">SUM(V265)</f>
        <v>0</v>
      </c>
      <c r="W266" s="552">
        <f t="shared" si="192"/>
        <v>0</v>
      </c>
      <c r="AA266" s="262">
        <f t="shared" si="152"/>
        <v>0</v>
      </c>
      <c r="AB266" s="262"/>
      <c r="AC266" s="262"/>
      <c r="AD266" s="262"/>
      <c r="AE266" s="262"/>
      <c r="AF266" s="262"/>
      <c r="AG266" s="262"/>
      <c r="AH266" s="262"/>
      <c r="AI266" s="262"/>
      <c r="AJ266" s="262"/>
      <c r="AK266" s="262"/>
      <c r="AL266" s="262"/>
      <c r="AM266" s="262"/>
      <c r="AN266" s="262"/>
      <c r="AO266" s="262"/>
      <c r="AP266" s="262"/>
    </row>
    <row r="267" spans="1:42" ht="12.75" thickBot="1">
      <c r="A267" s="876">
        <f>+A265+1</f>
        <v>30</v>
      </c>
      <c r="B267" s="877" t="s">
        <v>1075</v>
      </c>
      <c r="C267" s="878">
        <f>+SUMIF('13.mell_ÖNKfeladatok2020'!$B$5:$B$159,'14.mell_Önk kiegészítés2020'!$A267,'13.mell_ÖNKfeladatok2020'!R$5:R$159)</f>
        <v>3240</v>
      </c>
      <c r="D267" s="878">
        <f>+SUMIF('13.mell_ÖNKfeladatok2020'!$B$5:$B$159,'14.mell_Önk kiegészítés2020'!$A267,'13.mell_ÖNKfeladatok2020'!V$5:V$159)</f>
        <v>17553</v>
      </c>
      <c r="E267" s="878">
        <f>+SUMIF('13.mell_ÖNKfeladatok2020'!$B$5:$B$159,'14.mell_Önk kiegészítés2020'!$A267,'13.mell_ÖNKfeladatok2020'!Z$5:Z$159)</f>
        <v>0</v>
      </c>
      <c r="F267" s="878">
        <f>+SUMIF('13.mell_ÖNKfeladatok2020'!$B$5:$B$159,'14.mell_Önk kiegészítés2020'!$A267,'13.mell_ÖNKfeladatok2020'!AD$5:AD$159)</f>
        <v>0</v>
      </c>
      <c r="G267" s="878">
        <f>+SUMIF('13.mell_ÖNKfeladatok2020'!$B$5:$B$159,'14.mell_Önk kiegészítés2020'!$A267,'13.mell_ÖNKfeladatok2020'!AL$5:AL$159)</f>
        <v>0</v>
      </c>
      <c r="H267" s="878">
        <f>+SUMIF('13.mell_ÖNKfeladatok2020'!$B$5:$B$159,'14.mell_Önk kiegészítés2020'!$A267,'13.mell_ÖNKfeladatok2020'!AP$5:AP$159)</f>
        <v>0</v>
      </c>
      <c r="I267" s="878">
        <f>+SUMIF('13.mell_ÖNKfeladatok2020'!$B$5:$B$159,'14.mell_Önk kiegészítés2020'!$A267,'13.mell_ÖNKfeladatok2020'!AT$5:AT$159)</f>
        <v>0</v>
      </c>
      <c r="J267" s="879">
        <f>SUM(C267:I267)</f>
        <v>20793</v>
      </c>
      <c r="K267" s="878">
        <f>+SUMIF('13.mell_ÖNKfeladatok2020'!$B$167:$B$321,'14.mell_Önk kiegészítés2020'!$A267,'13.mell_ÖNKfeladatok2020'!R$167:R$321)</f>
        <v>9352</v>
      </c>
      <c r="L267" s="878">
        <f>+SUMIF('13.mell_ÖNKfeladatok2020'!$B$167:$B$321,'14.mell_Önk kiegészítés2020'!$A267,'13.mell_ÖNKfeladatok2020'!V$167:V$321)</f>
        <v>1371</v>
      </c>
      <c r="M267" s="878">
        <f>+SUMIF('13.mell_ÖNKfeladatok2020'!$B$167:$B$321,'14.mell_Önk kiegészítés2020'!$A267,'13.mell_ÖNKfeladatok2020'!Z$167:Z$321)</f>
        <v>1056</v>
      </c>
      <c r="N267" s="878">
        <f>+SUMIF('13.mell_ÖNKfeladatok2020'!$B$167:$B$321,'14.mell_Önk kiegészítés2020'!$A267,'13.mell_ÖNKfeladatok2020'!AD$167:AD$321)</f>
        <v>0</v>
      </c>
      <c r="O267" s="878">
        <f>+SUMIF('13.mell_ÖNKfeladatok2020'!$B$167:$B$321,'14.mell_Önk kiegészítés2020'!$A267,'13.mell_ÖNKfeladatok2020'!AH$167:AH$321)</f>
        <v>9038</v>
      </c>
      <c r="P267" s="878">
        <f>+SUMIF('13.mell_ÖNKfeladatok2020'!$B$167:$B$321,'14.mell_Önk kiegészítés2020'!$A267,'13.mell_ÖNKfeladatok2020'!AP$167:AP$321)</f>
        <v>0</v>
      </c>
      <c r="Q267" s="878">
        <f>+SUMIF('13.mell_ÖNKfeladatok2020'!$B$167:$B$321,'14.mell_Önk kiegészítés2020'!$A267,'13.mell_ÖNKfeladatok2020'!AT$167:AT$321)</f>
        <v>0</v>
      </c>
      <c r="R267" s="878">
        <f>+SUMIF('13.mell_ÖNKfeladatok2020'!$B$167:$B$321,'14.mell_Önk kiegészítés2020'!$A267,'13.mell_ÖNKfeladatok2020'!AX$167:AX$321)</f>
        <v>0</v>
      </c>
      <c r="S267" s="879">
        <f>SUM(K267:R267)</f>
        <v>20817</v>
      </c>
      <c r="T267" s="552">
        <f>S267-J267</f>
        <v>24</v>
      </c>
      <c r="U267" s="1108">
        <f>+ROUND(SUMIF('10.mell_támogatások2020'!$B$6:$B$137,'14.mell_Önk kiegészítés2020'!$A267,'10.mell_támogatások2020'!G$6:G$137)/1000,0)</f>
        <v>0</v>
      </c>
      <c r="V267" s="1086"/>
      <c r="W267" s="552">
        <f>+T267-U267-V267</f>
        <v>24</v>
      </c>
      <c r="AA267" s="262">
        <f t="shared" si="152"/>
        <v>0</v>
      </c>
    </row>
    <row r="268" spans="1:42" s="535" customFormat="1" ht="12.75" thickBot="1">
      <c r="A268" s="504" t="s">
        <v>886</v>
      </c>
      <c r="B268" s="505" t="s">
        <v>861</v>
      </c>
      <c r="C268" s="549">
        <f>SUM(C267)</f>
        <v>3240</v>
      </c>
      <c r="D268" s="549">
        <f t="shared" ref="D268:W268" si="194">SUM(D267)</f>
        <v>17553</v>
      </c>
      <c r="E268" s="549">
        <f t="shared" si="194"/>
        <v>0</v>
      </c>
      <c r="F268" s="549">
        <f t="shared" si="194"/>
        <v>0</v>
      </c>
      <c r="G268" s="549">
        <f t="shared" si="194"/>
        <v>0</v>
      </c>
      <c r="H268" s="549">
        <f t="shared" si="194"/>
        <v>0</v>
      </c>
      <c r="I268" s="549">
        <f t="shared" si="194"/>
        <v>0</v>
      </c>
      <c r="J268" s="552">
        <f t="shared" si="194"/>
        <v>20793</v>
      </c>
      <c r="K268" s="549">
        <f t="shared" si="194"/>
        <v>9352</v>
      </c>
      <c r="L268" s="549">
        <f t="shared" si="194"/>
        <v>1371</v>
      </c>
      <c r="M268" s="549">
        <f t="shared" si="194"/>
        <v>1056</v>
      </c>
      <c r="N268" s="549">
        <f t="shared" si="194"/>
        <v>0</v>
      </c>
      <c r="O268" s="549">
        <f t="shared" si="194"/>
        <v>9038</v>
      </c>
      <c r="P268" s="549">
        <f t="shared" si="194"/>
        <v>0</v>
      </c>
      <c r="Q268" s="549">
        <f t="shared" si="194"/>
        <v>0</v>
      </c>
      <c r="R268" s="549">
        <f t="shared" si="194"/>
        <v>0</v>
      </c>
      <c r="S268" s="552">
        <f t="shared" si="194"/>
        <v>20817</v>
      </c>
      <c r="T268" s="552">
        <f t="shared" si="194"/>
        <v>24</v>
      </c>
      <c r="U268" s="1102">
        <f t="shared" si="194"/>
        <v>0</v>
      </c>
      <c r="V268" s="553">
        <f t="shared" ref="V268" si="195">SUM(V267)</f>
        <v>0</v>
      </c>
      <c r="W268" s="552">
        <f t="shared" si="194"/>
        <v>24</v>
      </c>
      <c r="AA268" s="262">
        <f t="shared" si="152"/>
        <v>0</v>
      </c>
      <c r="AB268" s="262"/>
      <c r="AC268" s="262"/>
      <c r="AD268" s="262"/>
      <c r="AE268" s="262"/>
      <c r="AF268" s="262"/>
      <c r="AG268" s="262"/>
      <c r="AH268" s="262"/>
      <c r="AI268" s="262"/>
      <c r="AJ268" s="262"/>
      <c r="AK268" s="262"/>
      <c r="AL268" s="262"/>
      <c r="AM268" s="262"/>
      <c r="AN268" s="262"/>
      <c r="AO268" s="262"/>
      <c r="AP268" s="262"/>
    </row>
    <row r="269" spans="1:42" ht="12.75" thickBot="1">
      <c r="A269" s="876">
        <f>+A267+1</f>
        <v>31</v>
      </c>
      <c r="B269" s="877" t="s">
        <v>888</v>
      </c>
      <c r="C269" s="878">
        <f>+SUMIF('13.mell_ÖNKfeladatok2020'!$B$5:$B$159,'14.mell_Önk kiegészítés2020'!$A269,'13.mell_ÖNKfeladatok2020'!R$5:R$159)</f>
        <v>0</v>
      </c>
      <c r="D269" s="878">
        <f>+SUMIF('13.mell_ÖNKfeladatok2020'!$B$5:$B$159,'14.mell_Önk kiegészítés2020'!$A269,'13.mell_ÖNKfeladatok2020'!V$5:V$159)</f>
        <v>0</v>
      </c>
      <c r="E269" s="878">
        <f>+SUMIF('13.mell_ÖNKfeladatok2020'!$B$5:$B$159,'14.mell_Önk kiegészítés2020'!$A269,'13.mell_ÖNKfeladatok2020'!Z$5:Z$159)</f>
        <v>0</v>
      </c>
      <c r="F269" s="878">
        <f>+SUMIF('13.mell_ÖNKfeladatok2020'!$B$5:$B$159,'14.mell_Önk kiegészítés2020'!$A269,'13.mell_ÖNKfeladatok2020'!AD$5:AD$159)</f>
        <v>0</v>
      </c>
      <c r="G269" s="878">
        <f>+SUMIF('13.mell_ÖNKfeladatok2020'!$B$5:$B$159,'14.mell_Önk kiegészítés2020'!$A269,'13.mell_ÖNKfeladatok2020'!AL$5:AL$159)</f>
        <v>0</v>
      </c>
      <c r="H269" s="878">
        <f>+SUMIF('13.mell_ÖNKfeladatok2020'!$B$5:$B$159,'14.mell_Önk kiegészítés2020'!$A269,'13.mell_ÖNKfeladatok2020'!AP$5:AP$159)</f>
        <v>0</v>
      </c>
      <c r="I269" s="878">
        <f>+SUMIF('13.mell_ÖNKfeladatok2020'!$B$5:$B$159,'14.mell_Önk kiegészítés2020'!$A269,'13.mell_ÖNKfeladatok2020'!AT$5:AT$159)</f>
        <v>0</v>
      </c>
      <c r="J269" s="879">
        <f>SUM(C269:I269)</f>
        <v>0</v>
      </c>
      <c r="K269" s="878">
        <f>+SUMIF('13.mell_ÖNKfeladatok2020'!$B$167:$B$321,'14.mell_Önk kiegészítés2020'!$A269,'13.mell_ÖNKfeladatok2020'!R$167:R$321)</f>
        <v>0</v>
      </c>
      <c r="L269" s="878">
        <f>+SUMIF('13.mell_ÖNKfeladatok2020'!$B$167:$B$321,'14.mell_Önk kiegészítés2020'!$A269,'13.mell_ÖNKfeladatok2020'!V$167:V$321)</f>
        <v>0</v>
      </c>
      <c r="M269" s="878">
        <f>+SUMIF('13.mell_ÖNKfeladatok2020'!$B$167:$B$321,'14.mell_Önk kiegészítés2020'!$A269,'13.mell_ÖNKfeladatok2020'!Z$167:Z$321)</f>
        <v>0</v>
      </c>
      <c r="N269" s="878">
        <f>+SUMIF('13.mell_ÖNKfeladatok2020'!$B$167:$B$321,'14.mell_Önk kiegészítés2020'!$A269,'13.mell_ÖNKfeladatok2020'!AD$167:AD$321)</f>
        <v>0</v>
      </c>
      <c r="O269" s="878">
        <f>+SUMIF('13.mell_ÖNKfeladatok2020'!$B$167:$B$321,'14.mell_Önk kiegészítés2020'!$A269,'13.mell_ÖNKfeladatok2020'!AH$167:AH$321)</f>
        <v>0</v>
      </c>
      <c r="P269" s="878">
        <f>+SUMIF('13.mell_ÖNKfeladatok2020'!$B$167:$B$321,'14.mell_Önk kiegészítés2020'!$A269,'13.mell_ÖNKfeladatok2020'!AP$167:AP$321)</f>
        <v>0</v>
      </c>
      <c r="Q269" s="878">
        <f>+SUMIF('13.mell_ÖNKfeladatok2020'!$B$167:$B$321,'14.mell_Önk kiegészítés2020'!$A269,'13.mell_ÖNKfeladatok2020'!AT$167:AT$321)</f>
        <v>0</v>
      </c>
      <c r="R269" s="878">
        <f>+SUMIF('13.mell_ÖNKfeladatok2020'!$B$167:$B$321,'14.mell_Önk kiegészítés2020'!$A269,'13.mell_ÖNKfeladatok2020'!AX$167:AX$321)</f>
        <v>0</v>
      </c>
      <c r="S269" s="879">
        <f>SUM(K269:R269)</f>
        <v>0</v>
      </c>
      <c r="T269" s="552">
        <f>S269-J269</f>
        <v>0</v>
      </c>
      <c r="U269" s="1108">
        <f>+ROUND(SUMIF('10.mell_támogatások2020'!$B$6:$B$137,'14.mell_Önk kiegészítés2020'!$A269,'10.mell_támogatások2020'!G$6:G$137)/1000,0)</f>
        <v>0</v>
      </c>
      <c r="V269" s="1086"/>
      <c r="W269" s="552">
        <f>+T269-U269-V269</f>
        <v>0</v>
      </c>
      <c r="AA269" s="262">
        <f t="shared" si="152"/>
        <v>0</v>
      </c>
    </row>
    <row r="270" spans="1:42" s="535" customFormat="1" ht="12.75" thickBot="1">
      <c r="A270" s="504" t="s">
        <v>887</v>
      </c>
      <c r="B270" s="505" t="s">
        <v>888</v>
      </c>
      <c r="C270" s="549">
        <f>SUM(C269)</f>
        <v>0</v>
      </c>
      <c r="D270" s="549">
        <f t="shared" ref="D270:W270" si="196">SUM(D269)</f>
        <v>0</v>
      </c>
      <c r="E270" s="549">
        <f t="shared" si="196"/>
        <v>0</v>
      </c>
      <c r="F270" s="549">
        <f t="shared" si="196"/>
        <v>0</v>
      </c>
      <c r="G270" s="549">
        <f t="shared" si="196"/>
        <v>0</v>
      </c>
      <c r="H270" s="549">
        <f t="shared" si="196"/>
        <v>0</v>
      </c>
      <c r="I270" s="549">
        <f t="shared" si="196"/>
        <v>0</v>
      </c>
      <c r="J270" s="552">
        <f t="shared" si="196"/>
        <v>0</v>
      </c>
      <c r="K270" s="549">
        <f t="shared" si="196"/>
        <v>0</v>
      </c>
      <c r="L270" s="549">
        <f t="shared" si="196"/>
        <v>0</v>
      </c>
      <c r="M270" s="549">
        <f t="shared" si="196"/>
        <v>0</v>
      </c>
      <c r="N270" s="549">
        <f t="shared" si="196"/>
        <v>0</v>
      </c>
      <c r="O270" s="549">
        <f t="shared" si="196"/>
        <v>0</v>
      </c>
      <c r="P270" s="549">
        <f t="shared" si="196"/>
        <v>0</v>
      </c>
      <c r="Q270" s="549">
        <f t="shared" si="196"/>
        <v>0</v>
      </c>
      <c r="R270" s="549">
        <f t="shared" si="196"/>
        <v>0</v>
      </c>
      <c r="S270" s="552">
        <f t="shared" si="196"/>
        <v>0</v>
      </c>
      <c r="T270" s="552">
        <f t="shared" si="196"/>
        <v>0</v>
      </c>
      <c r="U270" s="1102">
        <f t="shared" si="196"/>
        <v>0</v>
      </c>
      <c r="V270" s="553">
        <f t="shared" ref="V270" si="197">SUM(V269)</f>
        <v>0</v>
      </c>
      <c r="W270" s="552">
        <f t="shared" si="196"/>
        <v>0</v>
      </c>
      <c r="AA270" s="262">
        <f t="shared" si="152"/>
        <v>0</v>
      </c>
      <c r="AB270" s="262"/>
      <c r="AC270" s="262"/>
      <c r="AD270" s="262"/>
      <c r="AE270" s="262"/>
      <c r="AF270" s="262"/>
      <c r="AG270" s="262"/>
      <c r="AH270" s="262"/>
      <c r="AI270" s="262"/>
      <c r="AJ270" s="262"/>
      <c r="AK270" s="262"/>
      <c r="AL270" s="262"/>
      <c r="AM270" s="262"/>
      <c r="AN270" s="262"/>
      <c r="AO270" s="262"/>
      <c r="AP270" s="262"/>
    </row>
    <row r="271" spans="1:42" s="535" customFormat="1" ht="12.75" thickBot="1">
      <c r="A271" s="496" t="s">
        <v>552</v>
      </c>
      <c r="B271" s="508" t="s">
        <v>862</v>
      </c>
      <c r="C271" s="558">
        <f>+C266+C268+C270</f>
        <v>3240</v>
      </c>
      <c r="D271" s="558">
        <f t="shared" ref="D271:W271" si="198">+D266+D268+D270</f>
        <v>17553</v>
      </c>
      <c r="E271" s="558">
        <f t="shared" si="198"/>
        <v>0</v>
      </c>
      <c r="F271" s="558">
        <f t="shared" si="198"/>
        <v>0</v>
      </c>
      <c r="G271" s="558">
        <f t="shared" si="198"/>
        <v>0</v>
      </c>
      <c r="H271" s="558">
        <f t="shared" si="198"/>
        <v>0</v>
      </c>
      <c r="I271" s="558">
        <f t="shared" si="198"/>
        <v>0</v>
      </c>
      <c r="J271" s="561">
        <f t="shared" si="198"/>
        <v>20793</v>
      </c>
      <c r="K271" s="558">
        <f t="shared" si="198"/>
        <v>9352</v>
      </c>
      <c r="L271" s="558">
        <f t="shared" si="198"/>
        <v>1371</v>
      </c>
      <c r="M271" s="558">
        <f t="shared" si="198"/>
        <v>1056</v>
      </c>
      <c r="N271" s="558">
        <f t="shared" si="198"/>
        <v>0</v>
      </c>
      <c r="O271" s="558">
        <f t="shared" si="198"/>
        <v>9038</v>
      </c>
      <c r="P271" s="558">
        <f t="shared" si="198"/>
        <v>0</v>
      </c>
      <c r="Q271" s="558">
        <f t="shared" si="198"/>
        <v>0</v>
      </c>
      <c r="R271" s="558">
        <f t="shared" si="198"/>
        <v>0</v>
      </c>
      <c r="S271" s="561">
        <f t="shared" si="198"/>
        <v>20817</v>
      </c>
      <c r="T271" s="561">
        <f t="shared" si="198"/>
        <v>24</v>
      </c>
      <c r="U271" s="1104">
        <f t="shared" si="198"/>
        <v>0</v>
      </c>
      <c r="V271" s="560">
        <f t="shared" ref="V271" si="199">+V266+V268+V270</f>
        <v>0</v>
      </c>
      <c r="W271" s="561">
        <f t="shared" si="198"/>
        <v>24</v>
      </c>
      <c r="Y271" s="535">
        <f>+'13.mell_ÖNKfeladatok2020'!$J$145-J271</f>
        <v>0</v>
      </c>
      <c r="Z271" s="535">
        <f>+'13.mell_ÖNKfeladatok2020'!$J$307-S271</f>
        <v>0</v>
      </c>
      <c r="AA271" s="262">
        <f t="shared" si="152"/>
        <v>0</v>
      </c>
      <c r="AB271" s="262"/>
      <c r="AC271" s="262"/>
      <c r="AD271" s="262"/>
      <c r="AE271" s="262"/>
      <c r="AF271" s="262"/>
      <c r="AG271" s="262"/>
      <c r="AH271" s="262"/>
      <c r="AI271" s="262"/>
      <c r="AJ271" s="262"/>
      <c r="AK271" s="262"/>
      <c r="AL271" s="262"/>
      <c r="AM271" s="262"/>
      <c r="AN271" s="262"/>
      <c r="AO271" s="262"/>
      <c r="AP271" s="262"/>
    </row>
    <row r="272" spans="1:42" s="195" customFormat="1" ht="12.75" thickBot="1">
      <c r="A272" s="522"/>
      <c r="B272" s="573"/>
      <c r="C272" s="562"/>
      <c r="D272" s="563"/>
      <c r="E272" s="563"/>
      <c r="F272" s="563"/>
      <c r="G272" s="563"/>
      <c r="H272" s="563"/>
      <c r="I272" s="564"/>
      <c r="J272" s="565"/>
      <c r="K272" s="574"/>
      <c r="L272" s="574"/>
      <c r="M272" s="574"/>
      <c r="N272" s="574"/>
      <c r="O272" s="574"/>
      <c r="P272" s="574"/>
      <c r="Q272" s="574"/>
      <c r="R272" s="574"/>
      <c r="S272" s="572"/>
      <c r="T272" s="572"/>
      <c r="U272" s="1110"/>
      <c r="V272" s="1088"/>
      <c r="W272" s="572"/>
      <c r="AA272" s="262">
        <f t="shared" si="152"/>
        <v>0</v>
      </c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</row>
    <row r="273" spans="1:42" ht="12.75" thickBot="1">
      <c r="A273" s="825">
        <f>+A269+1</f>
        <v>32</v>
      </c>
      <c r="B273" s="731" t="s">
        <v>1152</v>
      </c>
      <c r="C273" s="869">
        <f>+SUMIF('13.mell_ÖNKfeladatok2020'!$B$5:$B$159,'14.mell_Önk kiegészítés2020'!$A273,'13.mell_ÖNKfeladatok2020'!R$5:R$159)</f>
        <v>0</v>
      </c>
      <c r="D273" s="869">
        <f>+SUMIF('13.mell_ÖNKfeladatok2020'!$B$5:$B$159,'14.mell_Önk kiegészítés2020'!$A273,'13.mell_ÖNKfeladatok2020'!V$5:V$159)</f>
        <v>0</v>
      </c>
      <c r="E273" s="869">
        <f>+SUMIF('13.mell_ÖNKfeladatok2020'!$B$5:$B$159,'14.mell_Önk kiegészítés2020'!$A273,'13.mell_ÖNKfeladatok2020'!Z$5:Z$159)</f>
        <v>0</v>
      </c>
      <c r="F273" s="869">
        <f>+SUMIF('13.mell_ÖNKfeladatok2020'!$B$5:$B$159,'14.mell_Önk kiegészítés2020'!$A273,'13.mell_ÖNKfeladatok2020'!AD$5:AD$159)</f>
        <v>0</v>
      </c>
      <c r="G273" s="869">
        <f>+SUMIF('13.mell_ÖNKfeladatok2020'!$B$5:$B$159,'14.mell_Önk kiegészítés2020'!$A273,'13.mell_ÖNKfeladatok2020'!AL$5:AL$159)</f>
        <v>0</v>
      </c>
      <c r="H273" s="869">
        <f>+SUMIF('13.mell_ÖNKfeladatok2020'!$B$5:$B$159,'14.mell_Önk kiegészítés2020'!$A273,'13.mell_ÖNKfeladatok2020'!AP$5:AP$159)</f>
        <v>0</v>
      </c>
      <c r="I273" s="869">
        <f>+SUMIF('13.mell_ÖNKfeladatok2020'!$B$5:$B$159,'14.mell_Önk kiegészítés2020'!$A273,'13.mell_ÖNKfeladatok2020'!AT$5:AT$159)</f>
        <v>0</v>
      </c>
      <c r="J273" s="732">
        <f>SUM(C273:I273)</f>
        <v>0</v>
      </c>
      <c r="K273" s="869">
        <f>+SUMIF('13.mell_ÖNKfeladatok2020'!$B$167:$B$321,'14.mell_Önk kiegészítés2020'!$A273,'13.mell_ÖNKfeladatok2020'!R$167:R$321)</f>
        <v>76257</v>
      </c>
      <c r="L273" s="869">
        <f>+SUMIF('13.mell_ÖNKfeladatok2020'!$B$167:$B$321,'14.mell_Önk kiegészítés2020'!$A273,'13.mell_ÖNKfeladatok2020'!V$167:V$321)</f>
        <v>13251</v>
      </c>
      <c r="M273" s="869">
        <f>+SUMIF('13.mell_ÖNKfeladatok2020'!$B$167:$B$321,'14.mell_Önk kiegészítés2020'!$A273,'13.mell_ÖNKfeladatok2020'!Z$167:Z$321)</f>
        <v>11238</v>
      </c>
      <c r="N273" s="869">
        <f>+SUMIF('13.mell_ÖNKfeladatok2020'!$B$167:$B$321,'14.mell_Önk kiegészítés2020'!$A273,'13.mell_ÖNKfeladatok2020'!AD$167:AD$321)</f>
        <v>0</v>
      </c>
      <c r="O273" s="869">
        <f>+SUMIF('13.mell_ÖNKfeladatok2020'!$B$167:$B$321,'14.mell_Önk kiegészítés2020'!$A273,'13.mell_ÖNKfeladatok2020'!AH$167:AH$321)</f>
        <v>40</v>
      </c>
      <c r="P273" s="869">
        <f>+SUMIF('13.mell_ÖNKfeladatok2020'!$B$167:$B$321,'14.mell_Önk kiegészítés2020'!$A273,'13.mell_ÖNKfeladatok2020'!AP$167:AP$321)</f>
        <v>12598</v>
      </c>
      <c r="Q273" s="869">
        <f>+SUMIF('13.mell_ÖNKfeladatok2020'!$B$167:$B$321,'14.mell_Önk kiegészítés2020'!$A273,'13.mell_ÖNKfeladatok2020'!AT$167:AT$321)</f>
        <v>0</v>
      </c>
      <c r="R273" s="869">
        <f>+SUMIF('13.mell_ÖNKfeladatok2020'!$B$167:$B$321,'14.mell_Önk kiegészítés2020'!$A273,'13.mell_ÖNKfeladatok2020'!AX$167:AX$321)</f>
        <v>0</v>
      </c>
      <c r="S273" s="732">
        <f>SUM(K273:R273)</f>
        <v>113384</v>
      </c>
      <c r="T273" s="733">
        <f>S273-J273</f>
        <v>113384</v>
      </c>
      <c r="U273" s="1105">
        <f>+ROUND(SUMIF('10.mell_támogatások2020'!$B$6:$B$137,'14.mell_Önk kiegészítés2020'!$A273,'10.mell_támogatások2020'!G$6:G$137)/1000,0)</f>
        <v>96647</v>
      </c>
      <c r="V273" s="1083">
        <f>6630+162</f>
        <v>6792</v>
      </c>
      <c r="W273" s="733">
        <f>+T273-U273-V273</f>
        <v>9945</v>
      </c>
      <c r="AA273" s="262">
        <f t="shared" si="152"/>
        <v>0</v>
      </c>
      <c r="AE273" s="262">
        <v>6630</v>
      </c>
      <c r="AG273" s="262">
        <f>((77+13)+(31+5))+(31+5)</f>
        <v>162</v>
      </c>
    </row>
    <row r="274" spans="1:42" s="535" customFormat="1" ht="12.75" thickBot="1">
      <c r="A274" s="344" t="s">
        <v>1141</v>
      </c>
      <c r="B274" s="494" t="s">
        <v>1098</v>
      </c>
      <c r="C274" s="549">
        <f t="shared" ref="C274:W274" si="200">SUM(C273)</f>
        <v>0</v>
      </c>
      <c r="D274" s="549">
        <f t="shared" si="200"/>
        <v>0</v>
      </c>
      <c r="E274" s="549">
        <f t="shared" si="200"/>
        <v>0</v>
      </c>
      <c r="F274" s="549">
        <f t="shared" si="200"/>
        <v>0</v>
      </c>
      <c r="G274" s="549">
        <f t="shared" si="200"/>
        <v>0</v>
      </c>
      <c r="H274" s="549">
        <f t="shared" si="200"/>
        <v>0</v>
      </c>
      <c r="I274" s="549">
        <f t="shared" si="200"/>
        <v>0</v>
      </c>
      <c r="J274" s="552">
        <f t="shared" si="200"/>
        <v>0</v>
      </c>
      <c r="K274" s="549">
        <f t="shared" si="200"/>
        <v>76257</v>
      </c>
      <c r="L274" s="549">
        <f t="shared" si="200"/>
        <v>13251</v>
      </c>
      <c r="M274" s="549">
        <f t="shared" si="200"/>
        <v>11238</v>
      </c>
      <c r="N274" s="549">
        <f t="shared" si="200"/>
        <v>0</v>
      </c>
      <c r="O274" s="549">
        <f t="shared" si="200"/>
        <v>40</v>
      </c>
      <c r="P274" s="549">
        <f t="shared" si="200"/>
        <v>12598</v>
      </c>
      <c r="Q274" s="549">
        <f t="shared" si="200"/>
        <v>0</v>
      </c>
      <c r="R274" s="549">
        <f t="shared" si="200"/>
        <v>0</v>
      </c>
      <c r="S274" s="552">
        <f t="shared" si="200"/>
        <v>113384</v>
      </c>
      <c r="T274" s="552">
        <f t="shared" si="200"/>
        <v>113384</v>
      </c>
      <c r="U274" s="1102">
        <f t="shared" si="200"/>
        <v>96647</v>
      </c>
      <c r="V274" s="553">
        <f t="shared" ref="V274" si="201">SUM(V273)</f>
        <v>6792</v>
      </c>
      <c r="W274" s="552">
        <f t="shared" si="200"/>
        <v>9945</v>
      </c>
      <c r="AA274" s="262">
        <f t="shared" si="152"/>
        <v>0</v>
      </c>
      <c r="AB274" s="262"/>
      <c r="AC274" s="262"/>
      <c r="AD274" s="262"/>
      <c r="AE274" s="262"/>
      <c r="AF274" s="262"/>
      <c r="AG274" s="262"/>
      <c r="AH274" s="262"/>
      <c r="AI274" s="262"/>
      <c r="AJ274" s="262"/>
      <c r="AK274" s="262"/>
      <c r="AL274" s="262"/>
      <c r="AM274" s="262"/>
      <c r="AN274" s="262"/>
      <c r="AO274" s="262"/>
      <c r="AP274" s="262"/>
    </row>
    <row r="275" spans="1:42" ht="12.75" thickBot="1">
      <c r="A275" s="876">
        <f>+A273+1</f>
        <v>33</v>
      </c>
      <c r="B275" s="877" t="s">
        <v>1100</v>
      </c>
      <c r="C275" s="878">
        <f>+SUMIF('13.mell_ÖNKfeladatok2020'!$B$5:$B$159,'14.mell_Önk kiegészítés2020'!$A275,'13.mell_ÖNKfeladatok2020'!R$5:R$159)</f>
        <v>0</v>
      </c>
      <c r="D275" s="878">
        <f>+SUMIF('13.mell_ÖNKfeladatok2020'!$B$5:$B$159,'14.mell_Önk kiegészítés2020'!$A275,'13.mell_ÖNKfeladatok2020'!V$5:V$159)</f>
        <v>0</v>
      </c>
      <c r="E275" s="878">
        <f>+SUMIF('13.mell_ÖNKfeladatok2020'!$B$5:$B$159,'14.mell_Önk kiegészítés2020'!$A275,'13.mell_ÖNKfeladatok2020'!Z$5:Z$159)</f>
        <v>0</v>
      </c>
      <c r="F275" s="878">
        <f>+SUMIF('13.mell_ÖNKfeladatok2020'!$B$5:$B$159,'14.mell_Önk kiegészítés2020'!$A275,'13.mell_ÖNKfeladatok2020'!AD$5:AD$159)</f>
        <v>0</v>
      </c>
      <c r="G275" s="878">
        <f>+SUMIF('13.mell_ÖNKfeladatok2020'!$B$5:$B$159,'14.mell_Önk kiegészítés2020'!$A275,'13.mell_ÖNKfeladatok2020'!AL$5:AL$159)</f>
        <v>0</v>
      </c>
      <c r="H275" s="878">
        <f>+SUMIF('13.mell_ÖNKfeladatok2020'!$B$5:$B$159,'14.mell_Önk kiegészítés2020'!$A275,'13.mell_ÖNKfeladatok2020'!AP$5:AP$159)</f>
        <v>0</v>
      </c>
      <c r="I275" s="878">
        <f>+SUMIF('13.mell_ÖNKfeladatok2020'!$B$5:$B$159,'14.mell_Önk kiegészítés2020'!$A275,'13.mell_ÖNKfeladatok2020'!AT$5:AT$159)</f>
        <v>0</v>
      </c>
      <c r="J275" s="879">
        <f>SUM(C275:I275)</f>
        <v>0</v>
      </c>
      <c r="K275" s="878">
        <f>+SUMIF('13.mell_ÖNKfeladatok2020'!$B$167:$B$321,'14.mell_Önk kiegészítés2020'!$A275,'13.mell_ÖNKfeladatok2020'!R$167:R$321)</f>
        <v>0</v>
      </c>
      <c r="L275" s="878">
        <f>+SUMIF('13.mell_ÖNKfeladatok2020'!$B$167:$B$321,'14.mell_Önk kiegészítés2020'!$A275,'13.mell_ÖNKfeladatok2020'!V$167:V$321)</f>
        <v>0</v>
      </c>
      <c r="M275" s="878">
        <f>+SUMIF('13.mell_ÖNKfeladatok2020'!$B$167:$B$321,'14.mell_Önk kiegészítés2020'!$A275,'13.mell_ÖNKfeladatok2020'!Z$167:Z$321)</f>
        <v>0</v>
      </c>
      <c r="N275" s="878">
        <f>+SUMIF('13.mell_ÖNKfeladatok2020'!$B$167:$B$321,'14.mell_Önk kiegészítés2020'!$A275,'13.mell_ÖNKfeladatok2020'!AD$167:AD$321)</f>
        <v>0</v>
      </c>
      <c r="O275" s="878">
        <f>+SUMIF('13.mell_ÖNKfeladatok2020'!$B$167:$B$321,'14.mell_Önk kiegészítés2020'!$A275,'13.mell_ÖNKfeladatok2020'!AH$167:AH$321)</f>
        <v>0</v>
      </c>
      <c r="P275" s="878">
        <f>+SUMIF('13.mell_ÖNKfeladatok2020'!$B$167:$B$321,'14.mell_Önk kiegészítés2020'!$A275,'13.mell_ÖNKfeladatok2020'!AP$167:AP$321)</f>
        <v>0</v>
      </c>
      <c r="Q275" s="878">
        <f>+SUMIF('13.mell_ÖNKfeladatok2020'!$B$167:$B$321,'14.mell_Önk kiegészítés2020'!$A275,'13.mell_ÖNKfeladatok2020'!AT$167:AT$321)</f>
        <v>0</v>
      </c>
      <c r="R275" s="878">
        <f>+SUMIF('13.mell_ÖNKfeladatok2020'!$B$167:$B$321,'14.mell_Önk kiegészítés2020'!$A275,'13.mell_ÖNKfeladatok2020'!AX$167:AX$321)</f>
        <v>0</v>
      </c>
      <c r="S275" s="879">
        <f>SUM(K275:R275)</f>
        <v>0</v>
      </c>
      <c r="T275" s="552">
        <f>S275-J275</f>
        <v>0</v>
      </c>
      <c r="U275" s="1108">
        <f>+ROUND(SUMIF('10.mell_támogatások2020'!$B$6:$B$137,'14.mell_Önk kiegészítés2020'!$A275,'10.mell_támogatások2020'!G$6:G$137)/1000,0)</f>
        <v>0</v>
      </c>
      <c r="V275" s="1086"/>
      <c r="W275" s="552">
        <f>+T275-U275-V275</f>
        <v>0</v>
      </c>
      <c r="AA275" s="262">
        <f t="shared" si="152"/>
        <v>0</v>
      </c>
    </row>
    <row r="276" spans="1:42" s="535" customFormat="1" ht="12.75" thickBot="1">
      <c r="A276" s="504" t="s">
        <v>1142</v>
      </c>
      <c r="B276" s="505" t="s">
        <v>1099</v>
      </c>
      <c r="C276" s="549">
        <f t="shared" ref="C276:W276" si="202">SUM(C275)</f>
        <v>0</v>
      </c>
      <c r="D276" s="549">
        <f t="shared" si="202"/>
        <v>0</v>
      </c>
      <c r="E276" s="549">
        <f t="shared" si="202"/>
        <v>0</v>
      </c>
      <c r="F276" s="549">
        <f t="shared" si="202"/>
        <v>0</v>
      </c>
      <c r="G276" s="549">
        <f t="shared" si="202"/>
        <v>0</v>
      </c>
      <c r="H276" s="549">
        <f t="shared" si="202"/>
        <v>0</v>
      </c>
      <c r="I276" s="549">
        <f t="shared" si="202"/>
        <v>0</v>
      </c>
      <c r="J276" s="552">
        <f t="shared" si="202"/>
        <v>0</v>
      </c>
      <c r="K276" s="549">
        <f t="shared" si="202"/>
        <v>0</v>
      </c>
      <c r="L276" s="549">
        <f t="shared" si="202"/>
        <v>0</v>
      </c>
      <c r="M276" s="549">
        <f t="shared" si="202"/>
        <v>0</v>
      </c>
      <c r="N276" s="549">
        <f t="shared" si="202"/>
        <v>0</v>
      </c>
      <c r="O276" s="549">
        <f t="shared" si="202"/>
        <v>0</v>
      </c>
      <c r="P276" s="549">
        <f t="shared" si="202"/>
        <v>0</v>
      </c>
      <c r="Q276" s="549">
        <f t="shared" si="202"/>
        <v>0</v>
      </c>
      <c r="R276" s="549">
        <f t="shared" si="202"/>
        <v>0</v>
      </c>
      <c r="S276" s="552">
        <f t="shared" si="202"/>
        <v>0</v>
      </c>
      <c r="T276" s="552">
        <f t="shared" si="202"/>
        <v>0</v>
      </c>
      <c r="U276" s="1102">
        <f t="shared" si="202"/>
        <v>0</v>
      </c>
      <c r="V276" s="553">
        <f t="shared" ref="V276" si="203">SUM(V275)</f>
        <v>0</v>
      </c>
      <c r="W276" s="552">
        <f t="shared" si="202"/>
        <v>0</v>
      </c>
      <c r="AA276" s="262">
        <f t="shared" si="152"/>
        <v>0</v>
      </c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62"/>
      <c r="AL276" s="262"/>
      <c r="AM276" s="262"/>
      <c r="AN276" s="262"/>
      <c r="AO276" s="262"/>
      <c r="AP276" s="262"/>
    </row>
    <row r="277" spans="1:42" ht="12.75" thickBot="1">
      <c r="A277" s="876">
        <f>+A275+1</f>
        <v>34</v>
      </c>
      <c r="B277" s="877" t="s">
        <v>1100</v>
      </c>
      <c r="C277" s="878">
        <f>+SUMIF('13.mell_ÖNKfeladatok2020'!$B$5:$B$159,'14.mell_Önk kiegészítés2020'!$A277,'13.mell_ÖNKfeladatok2020'!R$5:R$159)</f>
        <v>0</v>
      </c>
      <c r="D277" s="878">
        <f>+SUMIF('13.mell_ÖNKfeladatok2020'!$B$5:$B$159,'14.mell_Önk kiegészítés2020'!$A277,'13.mell_ÖNKfeladatok2020'!V$5:V$159)</f>
        <v>0</v>
      </c>
      <c r="E277" s="878">
        <f>+SUMIF('13.mell_ÖNKfeladatok2020'!$B$5:$B$159,'14.mell_Önk kiegészítés2020'!$A277,'13.mell_ÖNKfeladatok2020'!Z$5:Z$159)</f>
        <v>0</v>
      </c>
      <c r="F277" s="878">
        <f>+SUMIF('13.mell_ÖNKfeladatok2020'!$B$5:$B$159,'14.mell_Önk kiegészítés2020'!$A277,'13.mell_ÖNKfeladatok2020'!AD$5:AD$159)</f>
        <v>0</v>
      </c>
      <c r="G277" s="878">
        <f>+SUMIF('13.mell_ÖNKfeladatok2020'!$B$5:$B$159,'14.mell_Önk kiegészítés2020'!$A277,'13.mell_ÖNKfeladatok2020'!AL$5:AL$159)</f>
        <v>0</v>
      </c>
      <c r="H277" s="878">
        <f>+SUMIF('13.mell_ÖNKfeladatok2020'!$B$5:$B$159,'14.mell_Önk kiegészítés2020'!$A277,'13.mell_ÖNKfeladatok2020'!AP$5:AP$159)</f>
        <v>0</v>
      </c>
      <c r="I277" s="878">
        <f>+SUMIF('13.mell_ÖNKfeladatok2020'!$B$5:$B$159,'14.mell_Önk kiegészítés2020'!$A277,'13.mell_ÖNKfeladatok2020'!AT$5:AT$159)</f>
        <v>0</v>
      </c>
      <c r="J277" s="879">
        <f>SUM(C277:I277)</f>
        <v>0</v>
      </c>
      <c r="K277" s="878">
        <f>+SUMIF('13.mell_ÖNKfeladatok2020'!$B$167:$B$321,'14.mell_Önk kiegészítés2020'!$A277,'13.mell_ÖNKfeladatok2020'!R$167:R$321)</f>
        <v>0</v>
      </c>
      <c r="L277" s="878">
        <f>+SUMIF('13.mell_ÖNKfeladatok2020'!$B$167:$B$321,'14.mell_Önk kiegészítés2020'!$A277,'13.mell_ÖNKfeladatok2020'!V$167:V$321)</f>
        <v>0</v>
      </c>
      <c r="M277" s="878">
        <f>+SUMIF('13.mell_ÖNKfeladatok2020'!$B$167:$B$321,'14.mell_Önk kiegészítés2020'!$A277,'13.mell_ÖNKfeladatok2020'!Z$167:Z$321)</f>
        <v>0</v>
      </c>
      <c r="N277" s="878">
        <f>+SUMIF('13.mell_ÖNKfeladatok2020'!$B$167:$B$321,'14.mell_Önk kiegészítés2020'!$A277,'13.mell_ÖNKfeladatok2020'!AD$167:AD$321)</f>
        <v>0</v>
      </c>
      <c r="O277" s="878">
        <f>+SUMIF('13.mell_ÖNKfeladatok2020'!$B$167:$B$321,'14.mell_Önk kiegészítés2020'!$A277,'13.mell_ÖNKfeladatok2020'!AH$167:AH$321)</f>
        <v>0</v>
      </c>
      <c r="P277" s="878">
        <f>+SUMIF('13.mell_ÖNKfeladatok2020'!$B$167:$B$321,'14.mell_Önk kiegészítés2020'!$A277,'13.mell_ÖNKfeladatok2020'!AP$167:AP$321)</f>
        <v>0</v>
      </c>
      <c r="Q277" s="878">
        <f>+SUMIF('13.mell_ÖNKfeladatok2020'!$B$167:$B$321,'14.mell_Önk kiegészítés2020'!$A277,'13.mell_ÖNKfeladatok2020'!AT$167:AT$321)</f>
        <v>0</v>
      </c>
      <c r="R277" s="878">
        <f>+SUMIF('13.mell_ÖNKfeladatok2020'!$B$167:$B$321,'14.mell_Önk kiegészítés2020'!$A277,'13.mell_ÖNKfeladatok2020'!AX$167:AX$321)</f>
        <v>0</v>
      </c>
      <c r="S277" s="879">
        <f>SUM(K277:R277)</f>
        <v>0</v>
      </c>
      <c r="T277" s="552">
        <f>S277-J277</f>
        <v>0</v>
      </c>
      <c r="U277" s="1108">
        <f>+ROUND(SUMIF('10.mell_támogatások2020'!$B$6:$B$137,'14.mell_Önk kiegészítés2020'!$A277,'10.mell_támogatások2020'!G$6:G$137)/1000,0)</f>
        <v>0</v>
      </c>
      <c r="V277" s="1086"/>
      <c r="W277" s="552">
        <f>+T277-U277-V277</f>
        <v>0</v>
      </c>
      <c r="AA277" s="262">
        <f t="shared" si="152"/>
        <v>0</v>
      </c>
    </row>
    <row r="278" spans="1:42" s="535" customFormat="1" ht="24.75" thickBot="1">
      <c r="A278" s="504" t="s">
        <v>1143</v>
      </c>
      <c r="B278" s="505" t="s">
        <v>1100</v>
      </c>
      <c r="C278" s="549">
        <f t="shared" ref="C278:W278" si="204">SUM(C277)</f>
        <v>0</v>
      </c>
      <c r="D278" s="549">
        <f t="shared" si="204"/>
        <v>0</v>
      </c>
      <c r="E278" s="549">
        <f t="shared" si="204"/>
        <v>0</v>
      </c>
      <c r="F278" s="549">
        <f t="shared" si="204"/>
        <v>0</v>
      </c>
      <c r="G278" s="549">
        <f t="shared" si="204"/>
        <v>0</v>
      </c>
      <c r="H278" s="549">
        <f t="shared" si="204"/>
        <v>0</v>
      </c>
      <c r="I278" s="549">
        <f t="shared" si="204"/>
        <v>0</v>
      </c>
      <c r="J278" s="552">
        <f t="shared" si="204"/>
        <v>0</v>
      </c>
      <c r="K278" s="549">
        <f t="shared" si="204"/>
        <v>0</v>
      </c>
      <c r="L278" s="549">
        <f t="shared" si="204"/>
        <v>0</v>
      </c>
      <c r="M278" s="549">
        <f t="shared" si="204"/>
        <v>0</v>
      </c>
      <c r="N278" s="549">
        <f t="shared" si="204"/>
        <v>0</v>
      </c>
      <c r="O278" s="549">
        <f t="shared" si="204"/>
        <v>0</v>
      </c>
      <c r="P278" s="549">
        <f t="shared" si="204"/>
        <v>0</v>
      </c>
      <c r="Q278" s="549">
        <f t="shared" si="204"/>
        <v>0</v>
      </c>
      <c r="R278" s="549">
        <f t="shared" si="204"/>
        <v>0</v>
      </c>
      <c r="S278" s="552">
        <f t="shared" si="204"/>
        <v>0</v>
      </c>
      <c r="T278" s="552">
        <f t="shared" si="204"/>
        <v>0</v>
      </c>
      <c r="U278" s="1102">
        <f t="shared" si="204"/>
        <v>0</v>
      </c>
      <c r="V278" s="553">
        <f t="shared" ref="V278" si="205">SUM(V277)</f>
        <v>0</v>
      </c>
      <c r="W278" s="552">
        <f t="shared" si="204"/>
        <v>0</v>
      </c>
      <c r="AA278" s="262">
        <f t="shared" si="152"/>
        <v>0</v>
      </c>
      <c r="AB278" s="262"/>
      <c r="AC278" s="262"/>
      <c r="AD278" s="262"/>
      <c r="AE278" s="262"/>
      <c r="AF278" s="262"/>
      <c r="AG278" s="262"/>
      <c r="AH278" s="262"/>
      <c r="AI278" s="262"/>
      <c r="AJ278" s="262"/>
      <c r="AK278" s="262"/>
      <c r="AL278" s="262"/>
      <c r="AM278" s="262"/>
      <c r="AN278" s="262"/>
      <c r="AO278" s="262"/>
      <c r="AP278" s="262"/>
    </row>
    <row r="279" spans="1:42" s="535" customFormat="1" ht="12.75" thickBot="1">
      <c r="A279" s="496" t="s">
        <v>42</v>
      </c>
      <c r="B279" s="508" t="s">
        <v>1101</v>
      </c>
      <c r="C279" s="558">
        <f t="shared" ref="C279:W279" si="206">+C274+C276+C278</f>
        <v>0</v>
      </c>
      <c r="D279" s="558">
        <f t="shared" si="206"/>
        <v>0</v>
      </c>
      <c r="E279" s="558">
        <f t="shared" si="206"/>
        <v>0</v>
      </c>
      <c r="F279" s="558">
        <f t="shared" si="206"/>
        <v>0</v>
      </c>
      <c r="G279" s="558">
        <f t="shared" si="206"/>
        <v>0</v>
      </c>
      <c r="H279" s="558">
        <f t="shared" si="206"/>
        <v>0</v>
      </c>
      <c r="I279" s="558">
        <f t="shared" si="206"/>
        <v>0</v>
      </c>
      <c r="J279" s="561">
        <f t="shared" si="206"/>
        <v>0</v>
      </c>
      <c r="K279" s="558">
        <f t="shared" si="206"/>
        <v>76257</v>
      </c>
      <c r="L279" s="558">
        <f t="shared" si="206"/>
        <v>13251</v>
      </c>
      <c r="M279" s="558">
        <f t="shared" si="206"/>
        <v>11238</v>
      </c>
      <c r="N279" s="558">
        <f t="shared" si="206"/>
        <v>0</v>
      </c>
      <c r="O279" s="558">
        <f t="shared" si="206"/>
        <v>40</v>
      </c>
      <c r="P279" s="558">
        <f t="shared" si="206"/>
        <v>12598</v>
      </c>
      <c r="Q279" s="558">
        <f t="shared" si="206"/>
        <v>0</v>
      </c>
      <c r="R279" s="558">
        <f t="shared" si="206"/>
        <v>0</v>
      </c>
      <c r="S279" s="561">
        <f t="shared" si="206"/>
        <v>113384</v>
      </c>
      <c r="T279" s="561">
        <f t="shared" si="206"/>
        <v>113384</v>
      </c>
      <c r="U279" s="1104">
        <f t="shared" si="206"/>
        <v>96647</v>
      </c>
      <c r="V279" s="560">
        <f t="shared" ref="V279" si="207">+V274+V276+V278</f>
        <v>6792</v>
      </c>
      <c r="W279" s="561">
        <f t="shared" si="206"/>
        <v>9945</v>
      </c>
      <c r="Y279" s="535">
        <f>+'13.mell_ÖNKfeladatok2020'!$J$157-J279</f>
        <v>0</v>
      </c>
      <c r="Z279" s="535">
        <f>+'13.mell_ÖNKfeladatok2020'!$J$319-S279</f>
        <v>0</v>
      </c>
      <c r="AA279" s="262">
        <f t="shared" si="152"/>
        <v>0</v>
      </c>
      <c r="AB279" s="262"/>
      <c r="AC279" s="262"/>
      <c r="AD279" s="262"/>
      <c r="AE279" s="262"/>
      <c r="AF279" s="262"/>
      <c r="AG279" s="262"/>
      <c r="AH279" s="262"/>
      <c r="AI279" s="262"/>
      <c r="AJ279" s="262"/>
      <c r="AK279" s="262"/>
      <c r="AL279" s="262"/>
      <c r="AM279" s="262"/>
      <c r="AN279" s="262"/>
      <c r="AO279" s="262"/>
      <c r="AP279" s="262"/>
    </row>
    <row r="280" spans="1:42" s="195" customFormat="1" ht="12.75" thickBot="1">
      <c r="A280" s="522"/>
      <c r="B280" s="573"/>
      <c r="C280" s="562"/>
      <c r="D280" s="563"/>
      <c r="E280" s="563"/>
      <c r="F280" s="563"/>
      <c r="G280" s="563"/>
      <c r="H280" s="563"/>
      <c r="I280" s="564"/>
      <c r="J280" s="565"/>
      <c r="K280" s="574"/>
      <c r="L280" s="574"/>
      <c r="M280" s="574"/>
      <c r="N280" s="574"/>
      <c r="O280" s="574"/>
      <c r="P280" s="574"/>
      <c r="Q280" s="574"/>
      <c r="R280" s="574"/>
      <c r="S280" s="572"/>
      <c r="T280" s="572"/>
      <c r="U280" s="1110"/>
      <c r="V280" s="1088"/>
      <c r="W280" s="572"/>
      <c r="AA280" s="262">
        <f t="shared" si="152"/>
        <v>0</v>
      </c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</row>
    <row r="281" spans="1:42" s="535" customFormat="1" ht="12.75" thickBot="1">
      <c r="A281" s="556" t="s">
        <v>41</v>
      </c>
      <c r="B281" s="557" t="s">
        <v>769</v>
      </c>
      <c r="C281" s="558">
        <f t="shared" ref="C281:W281" si="208">+C231+C243+C253+C263+C271+C279</f>
        <v>1205889</v>
      </c>
      <c r="D281" s="558">
        <f t="shared" si="208"/>
        <v>365505</v>
      </c>
      <c r="E281" s="558">
        <f t="shared" si="208"/>
        <v>186868</v>
      </c>
      <c r="F281" s="558">
        <f t="shared" si="208"/>
        <v>5490</v>
      </c>
      <c r="G281" s="558">
        <f t="shared" si="208"/>
        <v>32276</v>
      </c>
      <c r="H281" s="558">
        <f t="shared" si="208"/>
        <v>40350</v>
      </c>
      <c r="I281" s="558">
        <f t="shared" si="208"/>
        <v>1100</v>
      </c>
      <c r="J281" s="561">
        <f t="shared" si="208"/>
        <v>1837478</v>
      </c>
      <c r="K281" s="575">
        <f t="shared" si="208"/>
        <v>827403</v>
      </c>
      <c r="L281" s="575">
        <f t="shared" si="208"/>
        <v>143541</v>
      </c>
      <c r="M281" s="575">
        <f t="shared" si="208"/>
        <v>407707</v>
      </c>
      <c r="N281" s="575">
        <f t="shared" si="208"/>
        <v>52779</v>
      </c>
      <c r="O281" s="575">
        <f t="shared" si="208"/>
        <v>3178784</v>
      </c>
      <c r="P281" s="575">
        <f t="shared" si="208"/>
        <v>480260</v>
      </c>
      <c r="Q281" s="575">
        <f t="shared" si="208"/>
        <v>61258</v>
      </c>
      <c r="R281" s="575">
        <f t="shared" si="208"/>
        <v>19162</v>
      </c>
      <c r="S281" s="576">
        <f t="shared" si="208"/>
        <v>5170894</v>
      </c>
      <c r="T281" s="576">
        <f t="shared" si="208"/>
        <v>3333416</v>
      </c>
      <c r="U281" s="1111">
        <f t="shared" si="208"/>
        <v>0</v>
      </c>
      <c r="V281" s="1089">
        <f t="shared" ref="V281" si="209">+V231+V243+V253+V263+V271+V279</f>
        <v>2845803</v>
      </c>
      <c r="W281" s="576">
        <f t="shared" si="208"/>
        <v>487613</v>
      </c>
      <c r="AA281" s="262">
        <f t="shared" si="152"/>
        <v>0</v>
      </c>
      <c r="AB281" s="262"/>
      <c r="AC281" s="262"/>
      <c r="AD281" s="262"/>
      <c r="AE281" s="262"/>
      <c r="AF281" s="262"/>
      <c r="AG281" s="262"/>
      <c r="AH281" s="262"/>
      <c r="AI281" s="262"/>
      <c r="AJ281" s="262"/>
      <c r="AK281" s="262"/>
      <c r="AL281" s="262"/>
      <c r="AM281" s="262"/>
      <c r="AN281" s="262"/>
      <c r="AO281" s="262"/>
      <c r="AP281" s="262"/>
    </row>
    <row r="282" spans="1:42" s="535" customFormat="1" ht="12.75" thickBot="1">
      <c r="A282" s="586" t="s">
        <v>37</v>
      </c>
      <c r="B282" s="578" t="s">
        <v>770</v>
      </c>
      <c r="C282" s="579"/>
      <c r="D282" s="579"/>
      <c r="E282" s="579"/>
      <c r="F282" s="579">
        <f>+'1.mell._Össz_Mérleg2020'!$F$71</f>
        <v>709830</v>
      </c>
      <c r="G282" s="579"/>
      <c r="H282" s="579"/>
      <c r="I282" s="579">
        <f>+'1.mell._Össz_Mérleg2020'!$F$86</f>
        <v>2654032</v>
      </c>
      <c r="J282" s="585">
        <f>SUM(C282:I282)</f>
        <v>3363862</v>
      </c>
      <c r="K282" s="579"/>
      <c r="L282" s="579"/>
      <c r="M282" s="579"/>
      <c r="N282" s="579"/>
      <c r="O282" s="579">
        <f>+'1.mell._Össz_Mérleg2020'!$F$177</f>
        <v>30446</v>
      </c>
      <c r="P282" s="579"/>
      <c r="Q282" s="579"/>
      <c r="R282" s="579">
        <f>+'1.mell._Össz_Mérleg2020'!$F$192</f>
        <v>0</v>
      </c>
      <c r="S282" s="585">
        <f>SUM(K282:R282)</f>
        <v>30446</v>
      </c>
      <c r="T282" s="580">
        <f>S282-J282</f>
        <v>-3333416</v>
      </c>
      <c r="U282" s="1112"/>
      <c r="V282" s="1090">
        <v>-2845803</v>
      </c>
      <c r="W282" s="580">
        <f>+T282-U282-V282</f>
        <v>-487613</v>
      </c>
      <c r="AA282" s="262">
        <f t="shared" ref="AA282:AA283" si="210">+W142+W212-W282</f>
        <v>0</v>
      </c>
      <c r="AB282" s="262"/>
      <c r="AC282" s="262">
        <v>-2845803</v>
      </c>
      <c r="AD282" s="262"/>
      <c r="AE282" s="262"/>
      <c r="AF282" s="262"/>
      <c r="AG282" s="262"/>
      <c r="AH282" s="262"/>
      <c r="AI282" s="262"/>
      <c r="AJ282" s="262"/>
      <c r="AK282" s="262"/>
      <c r="AL282" s="262"/>
      <c r="AM282" s="262"/>
      <c r="AN282" s="262"/>
      <c r="AO282" s="262"/>
      <c r="AP282" s="262"/>
    </row>
    <row r="283" spans="1:42" s="195" customFormat="1" ht="12.75" thickBot="1">
      <c r="A283" s="556" t="s">
        <v>1146</v>
      </c>
      <c r="B283" s="557" t="s">
        <v>771</v>
      </c>
      <c r="C283" s="558">
        <f>+C281+C282</f>
        <v>1205889</v>
      </c>
      <c r="D283" s="558">
        <f t="shared" ref="D283:I283" si="211">+D281+D282</f>
        <v>365505</v>
      </c>
      <c r="E283" s="558">
        <f t="shared" si="211"/>
        <v>186868</v>
      </c>
      <c r="F283" s="558">
        <f t="shared" si="211"/>
        <v>715320</v>
      </c>
      <c r="G283" s="558">
        <f t="shared" si="211"/>
        <v>32276</v>
      </c>
      <c r="H283" s="558">
        <f t="shared" si="211"/>
        <v>40350</v>
      </c>
      <c r="I283" s="558">
        <f t="shared" si="211"/>
        <v>2655132</v>
      </c>
      <c r="J283" s="561">
        <f>+J281+J282</f>
        <v>5201340</v>
      </c>
      <c r="K283" s="558">
        <f t="shared" ref="K283:W283" si="212">+K281+K282</f>
        <v>827403</v>
      </c>
      <c r="L283" s="558">
        <f t="shared" si="212"/>
        <v>143541</v>
      </c>
      <c r="M283" s="558">
        <f t="shared" si="212"/>
        <v>407707</v>
      </c>
      <c r="N283" s="558">
        <f t="shared" si="212"/>
        <v>52779</v>
      </c>
      <c r="O283" s="558">
        <f t="shared" si="212"/>
        <v>3209230</v>
      </c>
      <c r="P283" s="558">
        <f t="shared" si="212"/>
        <v>480260</v>
      </c>
      <c r="Q283" s="558">
        <f t="shared" si="212"/>
        <v>61258</v>
      </c>
      <c r="R283" s="558">
        <f t="shared" si="212"/>
        <v>19162</v>
      </c>
      <c r="S283" s="561">
        <f t="shared" si="212"/>
        <v>5201340</v>
      </c>
      <c r="T283" s="561">
        <f t="shared" si="212"/>
        <v>0</v>
      </c>
      <c r="U283" s="1104">
        <f t="shared" si="212"/>
        <v>0</v>
      </c>
      <c r="V283" s="560">
        <f t="shared" ref="V283" si="213">+V281+V282</f>
        <v>0</v>
      </c>
      <c r="W283" s="561">
        <f t="shared" si="212"/>
        <v>0</v>
      </c>
      <c r="AA283" s="262">
        <f t="shared" si="210"/>
        <v>0</v>
      </c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</row>
    <row r="284" spans="1:42" s="535" customFormat="1" ht="11.25" customHeight="1">
      <c r="A284" s="587"/>
      <c r="B284" s="577"/>
      <c r="C284" s="577"/>
      <c r="D284" s="577"/>
      <c r="E284" s="577"/>
      <c r="F284" s="577"/>
      <c r="G284" s="577"/>
      <c r="H284" s="577"/>
      <c r="I284" s="577"/>
      <c r="J284" s="577"/>
      <c r="K284" s="577"/>
      <c r="L284" s="577"/>
      <c r="M284" s="577"/>
      <c r="N284" s="577"/>
      <c r="O284" s="577"/>
      <c r="P284" s="577"/>
      <c r="Q284" s="577"/>
      <c r="R284" s="577"/>
      <c r="S284" s="577"/>
      <c r="T284" s="577"/>
      <c r="U284" s="577"/>
      <c r="V284" s="577"/>
      <c r="W284" s="577"/>
      <c r="AB284" s="262"/>
      <c r="AC284" s="262"/>
      <c r="AD284" s="262"/>
      <c r="AE284" s="262"/>
      <c r="AF284" s="262"/>
      <c r="AG284" s="262"/>
      <c r="AH284" s="262"/>
      <c r="AI284" s="262"/>
      <c r="AJ284" s="262"/>
      <c r="AK284" s="262"/>
      <c r="AL284" s="262"/>
      <c r="AM284" s="262"/>
      <c r="AN284" s="262"/>
      <c r="AO284" s="262"/>
      <c r="AP284" s="262"/>
    </row>
    <row r="285" spans="1:42" hidden="1">
      <c r="J285" s="535">
        <f>+'1.mell._Össz_Mérleg2020'!F102</f>
        <v>5201340</v>
      </c>
      <c r="S285" s="535">
        <f>+'1.mell._Össz_Mérleg2020'!F208</f>
        <v>5201340</v>
      </c>
    </row>
    <row r="286" spans="1:42" hidden="1">
      <c r="J286" s="535">
        <f>+J283-J285</f>
        <v>0</v>
      </c>
      <c r="S286" s="535">
        <f>+S283-S285</f>
        <v>0</v>
      </c>
      <c r="U286" s="1091"/>
      <c r="V286" s="1091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0" fitToHeight="4" orientation="landscape" r:id="rId1"/>
  <headerFooter>
    <oddHeader xml:space="preserve">&amp;C 14. melléklet - &amp;P. oldal
</oddHeader>
  </headerFooter>
  <rowBreaks count="3" manualBreakCount="3">
    <brk id="74" max="22" man="1"/>
    <brk id="144" max="22" man="1"/>
    <brk id="214" max="2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ColWidth="9.140625" defaultRowHeight="12.75"/>
  <cols>
    <col min="1" max="1" width="4.7109375" style="607" customWidth="1"/>
    <col min="2" max="2" width="28.42578125" style="607" customWidth="1"/>
    <col min="3" max="8" width="10.140625" style="607" customWidth="1"/>
    <col min="9" max="16384" width="9.140625" style="607"/>
  </cols>
  <sheetData>
    <row r="1" spans="1:8" ht="15.75">
      <c r="A1" s="605"/>
      <c r="B1" s="606"/>
      <c r="C1" s="606"/>
      <c r="D1" s="606"/>
      <c r="E1" s="606"/>
      <c r="F1" s="606"/>
      <c r="G1" s="606"/>
      <c r="H1" s="189" t="s">
        <v>781</v>
      </c>
    </row>
    <row r="2" spans="1:8" ht="15.75">
      <c r="A2" s="605"/>
      <c r="B2" s="606"/>
      <c r="C2" s="606"/>
      <c r="D2" s="606"/>
      <c r="E2" s="606"/>
      <c r="F2" s="606"/>
      <c r="G2" s="606"/>
      <c r="H2" s="606"/>
    </row>
    <row r="3" spans="1:8" ht="15.75">
      <c r="A3" s="1580" t="s">
        <v>782</v>
      </c>
      <c r="B3" s="1580"/>
      <c r="C3" s="1580"/>
      <c r="D3" s="1580"/>
      <c r="E3" s="1580"/>
      <c r="F3" s="1580"/>
      <c r="G3" s="1580"/>
      <c r="H3" s="1580"/>
    </row>
    <row r="4" spans="1:8" ht="15.75">
      <c r="A4" s="1580"/>
      <c r="B4" s="1580"/>
      <c r="C4" s="1580"/>
      <c r="D4" s="1580"/>
      <c r="E4" s="1580"/>
      <c r="F4" s="1580"/>
      <c r="G4" s="1580"/>
      <c r="H4" s="1580"/>
    </row>
    <row r="6" spans="1:8" s="605" customFormat="1" ht="27" customHeight="1">
      <c r="A6" s="608" t="s">
        <v>783</v>
      </c>
      <c r="B6" s="609"/>
      <c r="C6" s="1581" t="s">
        <v>784</v>
      </c>
      <c r="D6" s="1581"/>
      <c r="E6" s="1581"/>
      <c r="F6" s="1581"/>
      <c r="G6" s="1581"/>
      <c r="H6" s="1581"/>
    </row>
    <row r="7" spans="1:8" s="605" customFormat="1" ht="15.75"/>
    <row r="8" spans="1:8" s="605" customFormat="1" ht="24.75" customHeight="1">
      <c r="A8" s="608" t="s">
        <v>785</v>
      </c>
      <c r="B8" s="609"/>
      <c r="C8" s="1581" t="s">
        <v>784</v>
      </c>
      <c r="D8" s="1581"/>
      <c r="E8" s="1581"/>
      <c r="F8" s="1581"/>
      <c r="G8" s="1581"/>
      <c r="H8" s="609"/>
    </row>
    <row r="9" spans="1:8" s="610" customFormat="1"/>
    <row r="10" spans="1:8" s="612" customFormat="1" ht="15" customHeight="1">
      <c r="A10" s="611" t="s">
        <v>786</v>
      </c>
    </row>
    <row r="11" spans="1:8" s="612" customFormat="1" ht="15" customHeight="1" thickBot="1">
      <c r="A11" s="611" t="s">
        <v>787</v>
      </c>
    </row>
    <row r="12" spans="1:8" s="616" customFormat="1" ht="42" customHeight="1" thickBot="1">
      <c r="A12" s="613" t="s">
        <v>17</v>
      </c>
      <c r="B12" s="614" t="s">
        <v>788</v>
      </c>
      <c r="C12" s="614" t="s">
        <v>789</v>
      </c>
      <c r="D12" s="614" t="s">
        <v>790</v>
      </c>
      <c r="E12" s="614" t="s">
        <v>791</v>
      </c>
      <c r="F12" s="614" t="s">
        <v>792</v>
      </c>
      <c r="G12" s="614" t="s">
        <v>793</v>
      </c>
      <c r="H12" s="615" t="s">
        <v>440</v>
      </c>
    </row>
    <row r="13" spans="1:8" ht="24" customHeight="1">
      <c r="A13" s="617" t="s">
        <v>4</v>
      </c>
      <c r="B13" s="618" t="s">
        <v>794</v>
      </c>
      <c r="C13" s="619"/>
      <c r="D13" s="619"/>
      <c r="E13" s="619"/>
      <c r="F13" s="619"/>
      <c r="G13" s="619"/>
      <c r="H13" s="620">
        <f>SUM(C13:G13)</f>
        <v>0</v>
      </c>
    </row>
    <row r="14" spans="1:8" ht="24" customHeight="1">
      <c r="A14" s="621" t="s">
        <v>5</v>
      </c>
      <c r="B14" s="622" t="s">
        <v>795</v>
      </c>
      <c r="C14" s="623"/>
      <c r="D14" s="623"/>
      <c r="E14" s="623"/>
      <c r="F14" s="623"/>
      <c r="G14" s="623"/>
      <c r="H14" s="624">
        <f t="shared" ref="H14:H19" si="0">SUM(C14:G14)</f>
        <v>0</v>
      </c>
    </row>
    <row r="15" spans="1:8" ht="24" customHeight="1">
      <c r="A15" s="621" t="s">
        <v>6</v>
      </c>
      <c r="B15" s="622" t="s">
        <v>796</v>
      </c>
      <c r="C15" s="623"/>
      <c r="D15" s="623"/>
      <c r="E15" s="623"/>
      <c r="F15" s="623"/>
      <c r="G15" s="623"/>
      <c r="H15" s="624">
        <f t="shared" si="0"/>
        <v>0</v>
      </c>
    </row>
    <row r="16" spans="1:8" ht="24" customHeight="1">
      <c r="A16" s="621" t="s">
        <v>3</v>
      </c>
      <c r="B16" s="622" t="s">
        <v>797</v>
      </c>
      <c r="C16" s="623"/>
      <c r="D16" s="623"/>
      <c r="E16" s="623"/>
      <c r="F16" s="623"/>
      <c r="G16" s="623"/>
      <c r="H16" s="624">
        <f t="shared" si="0"/>
        <v>0</v>
      </c>
    </row>
    <row r="17" spans="1:8" ht="24" customHeight="1">
      <c r="A17" s="621" t="s">
        <v>16</v>
      </c>
      <c r="B17" s="622" t="s">
        <v>798</v>
      </c>
      <c r="C17" s="623"/>
      <c r="D17" s="623"/>
      <c r="E17" s="623"/>
      <c r="F17" s="623"/>
      <c r="G17" s="623"/>
      <c r="H17" s="624">
        <f t="shared" si="0"/>
        <v>0</v>
      </c>
    </row>
    <row r="18" spans="1:8" ht="24" customHeight="1" thickBot="1">
      <c r="A18" s="625" t="s">
        <v>15</v>
      </c>
      <c r="B18" s="626" t="s">
        <v>799</v>
      </c>
      <c r="C18" s="627"/>
      <c r="D18" s="627"/>
      <c r="E18" s="627"/>
      <c r="F18" s="627"/>
      <c r="G18" s="627"/>
      <c r="H18" s="628">
        <f t="shared" si="0"/>
        <v>0</v>
      </c>
    </row>
    <row r="19" spans="1:8" s="632" customFormat="1" ht="24" customHeight="1" thickBot="1">
      <c r="A19" s="629" t="s">
        <v>14</v>
      </c>
      <c r="B19" s="356" t="s">
        <v>440</v>
      </c>
      <c r="C19" s="630">
        <f>SUM(C13:C18)</f>
        <v>0</v>
      </c>
      <c r="D19" s="630">
        <f>SUM(D13:D18)</f>
        <v>0</v>
      </c>
      <c r="E19" s="630">
        <f>SUM(E13:E18)</f>
        <v>0</v>
      </c>
      <c r="F19" s="630">
        <f>SUM(F13:F18)</f>
        <v>0</v>
      </c>
      <c r="G19" s="630">
        <f>SUM(G13:G18)</f>
        <v>0</v>
      </c>
      <c r="H19" s="631">
        <f t="shared" si="0"/>
        <v>0</v>
      </c>
    </row>
    <row r="20" spans="1:8" s="610" customFormat="1"/>
    <row r="21" spans="1:8" s="610" customFormat="1"/>
    <row r="22" spans="1:8" s="610" customFormat="1"/>
    <row r="23" spans="1:8" s="610" customFormat="1" ht="15.75">
      <c r="A23" s="605" t="s">
        <v>1497</v>
      </c>
    </row>
    <row r="24" spans="1:8" s="610" customFormat="1"/>
    <row r="26" spans="1:8">
      <c r="C26" s="633"/>
      <c r="D26" s="633"/>
      <c r="E26" s="633"/>
      <c r="F26" s="633"/>
      <c r="G26" s="633"/>
    </row>
    <row r="27" spans="1:8" ht="13.5">
      <c r="C27" s="634"/>
      <c r="D27" s="635" t="s">
        <v>800</v>
      </c>
      <c r="E27" s="635"/>
      <c r="F27" s="635"/>
      <c r="G27" s="634"/>
    </row>
    <row r="28" spans="1:8" ht="13.5">
      <c r="C28" s="636"/>
      <c r="D28" s="637"/>
      <c r="E28" s="637"/>
      <c r="F28" s="637"/>
      <c r="G28" s="636"/>
    </row>
    <row r="29" spans="1:8" ht="13.5">
      <c r="C29" s="636"/>
      <c r="D29" s="637"/>
      <c r="E29" s="637"/>
      <c r="F29" s="637"/>
      <c r="G29" s="636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P25"/>
  <sheetViews>
    <sheetView zoomScaleNormal="100" workbookViewId="0"/>
  </sheetViews>
  <sheetFormatPr defaultColWidth="9.140625" defaultRowHeight="12.75"/>
  <cols>
    <col min="1" max="1" width="16" style="638" bestFit="1" customWidth="1"/>
    <col min="2" max="2" width="35.42578125" style="638" customWidth="1"/>
    <col min="3" max="6" width="14.7109375" style="638" customWidth="1"/>
    <col min="7" max="7" width="9.140625" style="638"/>
    <col min="8" max="17" width="0" style="638" hidden="1" customWidth="1"/>
    <col min="18" max="16384" width="9.140625" style="638"/>
  </cols>
  <sheetData>
    <row r="1" spans="1:16" ht="15.75">
      <c r="F1" s="189" t="s">
        <v>839</v>
      </c>
    </row>
    <row r="3" spans="1:16" ht="14.25">
      <c r="A3" s="1606" t="s">
        <v>1424</v>
      </c>
      <c r="B3" s="1606"/>
      <c r="C3" s="1606"/>
      <c r="D3" s="1606"/>
      <c r="E3" s="1606"/>
      <c r="F3" s="1606"/>
    </row>
    <row r="4" spans="1:16" ht="14.25">
      <c r="A4" s="1092"/>
      <c r="B4" s="1092"/>
      <c r="C4" s="1092"/>
      <c r="D4" s="1092"/>
      <c r="E4" s="1092"/>
      <c r="F4" s="1092"/>
    </row>
    <row r="5" spans="1:16" ht="12.75" customHeight="1" thickBot="1">
      <c r="A5" s="1093"/>
      <c r="B5" s="1093"/>
      <c r="C5" s="1093"/>
      <c r="D5" s="1093"/>
      <c r="E5" s="1094"/>
      <c r="F5" s="1095" t="s">
        <v>977</v>
      </c>
    </row>
    <row r="6" spans="1:16" ht="14.25">
      <c r="A6" s="1598" t="s">
        <v>801</v>
      </c>
      <c r="B6" s="1599"/>
      <c r="C6" s="1602" t="s">
        <v>802</v>
      </c>
      <c r="D6" s="1603"/>
      <c r="E6" s="1602" t="s">
        <v>818</v>
      </c>
      <c r="F6" s="1603"/>
    </row>
    <row r="7" spans="1:16" ht="15.75" thickBot="1">
      <c r="A7" s="1600"/>
      <c r="B7" s="1601"/>
      <c r="C7" s="725" t="s">
        <v>803</v>
      </c>
      <c r="D7" s="726" t="s">
        <v>804</v>
      </c>
      <c r="E7" s="727">
        <v>1</v>
      </c>
      <c r="F7" s="728">
        <v>0.5</v>
      </c>
    </row>
    <row r="8" spans="1:16" ht="15">
      <c r="A8" s="1604" t="s">
        <v>805</v>
      </c>
      <c r="B8" s="1605"/>
      <c r="C8" s="693">
        <v>30</v>
      </c>
      <c r="D8" s="957">
        <f>+ROUND(C8*1.27,0)</f>
        <v>38</v>
      </c>
      <c r="E8" s="693">
        <f>+D8</f>
        <v>38</v>
      </c>
      <c r="F8" s="958">
        <f>+ROUND(E8*0.5,0)</f>
        <v>19</v>
      </c>
      <c r="I8" s="638">
        <v>27</v>
      </c>
      <c r="J8" s="638">
        <f>34+1</f>
        <v>35</v>
      </c>
      <c r="K8" s="638">
        <f>+I8*1.27</f>
        <v>34.29</v>
      </c>
      <c r="L8" s="638">
        <f>+O8*1.1</f>
        <v>29.700000000000003</v>
      </c>
      <c r="M8" s="638">
        <f>+P8*1.1</f>
        <v>38.5</v>
      </c>
      <c r="O8" s="638">
        <v>27</v>
      </c>
      <c r="P8" s="638">
        <v>35</v>
      </c>
    </row>
    <row r="9" spans="1:16" ht="15">
      <c r="A9" s="1584" t="s">
        <v>806</v>
      </c>
      <c r="B9" s="1585"/>
      <c r="C9" s="694">
        <v>54</v>
      </c>
      <c r="D9" s="701">
        <f>+ROUND(C9*1.27,0)</f>
        <v>69</v>
      </c>
      <c r="E9" s="694">
        <f>+D9</f>
        <v>69</v>
      </c>
      <c r="F9" s="695">
        <f>+ROUND(E9*0.5,0)</f>
        <v>35</v>
      </c>
      <c r="I9" s="638">
        <v>49</v>
      </c>
      <c r="J9" s="638">
        <v>62</v>
      </c>
      <c r="K9" s="638">
        <f>+I9*1.27</f>
        <v>62.230000000000004</v>
      </c>
      <c r="L9" s="638">
        <f t="shared" ref="L9:L20" si="0">+O9*1.1</f>
        <v>53.900000000000006</v>
      </c>
      <c r="M9" s="638">
        <f t="shared" ref="M9:M20" si="1">+P9*1.1</f>
        <v>68.2</v>
      </c>
      <c r="O9" s="638">
        <v>49</v>
      </c>
      <c r="P9" s="638">
        <v>62</v>
      </c>
    </row>
    <row r="10" spans="1:16" ht="15">
      <c r="A10" s="1584" t="s">
        <v>807</v>
      </c>
      <c r="B10" s="1585"/>
      <c r="C10" s="694">
        <v>158</v>
      </c>
      <c r="D10" s="701">
        <f>+ROUND(C10*1.27,0)-1</f>
        <v>200</v>
      </c>
      <c r="E10" s="694">
        <f>+D10</f>
        <v>200</v>
      </c>
      <c r="F10" s="695">
        <f>+ROUND(E10*0.5,0)</f>
        <v>100</v>
      </c>
      <c r="I10" s="638">
        <v>144</v>
      </c>
      <c r="J10" s="638">
        <v>183</v>
      </c>
      <c r="K10" s="638">
        <f>+I10*1.27</f>
        <v>182.88</v>
      </c>
      <c r="L10" s="638">
        <f t="shared" si="0"/>
        <v>158.4</v>
      </c>
      <c r="M10" s="638">
        <f t="shared" si="1"/>
        <v>201.3</v>
      </c>
      <c r="O10" s="638">
        <v>144</v>
      </c>
      <c r="P10" s="638">
        <v>183</v>
      </c>
    </row>
    <row r="11" spans="1:16" ht="15.75" thickBot="1">
      <c r="A11" s="1584" t="s">
        <v>808</v>
      </c>
      <c r="B11" s="1585"/>
      <c r="C11" s="694">
        <v>54</v>
      </c>
      <c r="D11" s="729">
        <f>+ROUND(C11*1.27,0)</f>
        <v>69</v>
      </c>
      <c r="E11" s="694">
        <f>+D11</f>
        <v>69</v>
      </c>
      <c r="F11" s="695">
        <f>+ROUND(E11*0.5,0)-1</f>
        <v>34</v>
      </c>
      <c r="I11" s="638">
        <v>49</v>
      </c>
      <c r="J11" s="638">
        <v>62</v>
      </c>
      <c r="K11" s="638">
        <f>+I11*1.27</f>
        <v>62.230000000000004</v>
      </c>
      <c r="L11" s="638">
        <f t="shared" si="0"/>
        <v>53.900000000000006</v>
      </c>
      <c r="M11" s="638">
        <f t="shared" si="1"/>
        <v>68.2</v>
      </c>
      <c r="O11" s="638">
        <v>49</v>
      </c>
      <c r="P11" s="638">
        <v>62</v>
      </c>
    </row>
    <row r="12" spans="1:16" ht="15" thickBot="1">
      <c r="A12" s="1592" t="s">
        <v>817</v>
      </c>
      <c r="B12" s="1593"/>
      <c r="C12" s="696">
        <f>SUM(C8:C11)</f>
        <v>296</v>
      </c>
      <c r="D12" s="697">
        <f>SUM(D8:D11)</f>
        <v>376</v>
      </c>
      <c r="E12" s="696">
        <f>SUM(E8:E11)</f>
        <v>376</v>
      </c>
      <c r="F12" s="697">
        <f>SUM(F8:F11)</f>
        <v>188</v>
      </c>
      <c r="I12" s="638">
        <f>SUM(I8:I11)</f>
        <v>269</v>
      </c>
      <c r="J12" s="638">
        <f>SUM(J8:J11)</f>
        <v>342</v>
      </c>
      <c r="K12" s="638">
        <f>+I12*1.27</f>
        <v>341.63</v>
      </c>
      <c r="L12" s="638">
        <f t="shared" si="0"/>
        <v>295.90000000000003</v>
      </c>
      <c r="M12" s="638">
        <f t="shared" si="1"/>
        <v>376.20000000000005</v>
      </c>
      <c r="O12" s="638">
        <v>269</v>
      </c>
      <c r="P12" s="638">
        <v>342</v>
      </c>
    </row>
    <row r="13" spans="1:16" ht="15">
      <c r="A13" s="1584" t="s">
        <v>806</v>
      </c>
      <c r="B13" s="1585"/>
      <c r="C13" s="698">
        <v>54</v>
      </c>
      <c r="D13" s="699">
        <f>+ROUND(C13*1.27,0)</f>
        <v>69</v>
      </c>
      <c r="E13" s="698">
        <f>+D13</f>
        <v>69</v>
      </c>
      <c r="F13" s="699">
        <f>+ROUND(E13*0.5,0)</f>
        <v>35</v>
      </c>
      <c r="I13" s="638">
        <v>49</v>
      </c>
      <c r="J13" s="638">
        <v>62</v>
      </c>
      <c r="K13" s="638">
        <f t="shared" ref="K13:K19" si="2">+I13*1.27</f>
        <v>62.230000000000004</v>
      </c>
      <c r="L13" s="638">
        <f t="shared" si="0"/>
        <v>53.900000000000006</v>
      </c>
      <c r="M13" s="638">
        <f t="shared" si="1"/>
        <v>68.2</v>
      </c>
      <c r="O13" s="638">
        <v>49</v>
      </c>
      <c r="P13" s="638">
        <v>62</v>
      </c>
    </row>
    <row r="14" spans="1:16" ht="15">
      <c r="A14" s="1584" t="s">
        <v>807</v>
      </c>
      <c r="B14" s="1585"/>
      <c r="C14" s="700">
        <v>158</v>
      </c>
      <c r="D14" s="701">
        <f>+ROUND(C14*1.27,0)-1</f>
        <v>200</v>
      </c>
      <c r="E14" s="700">
        <f>+D14</f>
        <v>200</v>
      </c>
      <c r="F14" s="701">
        <f>+ROUND(E14*0.5,0)</f>
        <v>100</v>
      </c>
      <c r="I14" s="638">
        <v>144</v>
      </c>
      <c r="J14" s="638">
        <v>183</v>
      </c>
      <c r="K14" s="638">
        <f t="shared" si="2"/>
        <v>182.88</v>
      </c>
      <c r="L14" s="638">
        <f t="shared" si="0"/>
        <v>158.4</v>
      </c>
      <c r="M14" s="638">
        <f t="shared" si="1"/>
        <v>201.3</v>
      </c>
      <c r="O14" s="638">
        <v>144</v>
      </c>
      <c r="P14" s="638">
        <v>183</v>
      </c>
    </row>
    <row r="15" spans="1:16" ht="15.75" thickBot="1">
      <c r="A15" s="1584" t="s">
        <v>808</v>
      </c>
      <c r="B15" s="1585"/>
      <c r="C15" s="694">
        <v>54</v>
      </c>
      <c r="D15" s="702">
        <f>+ROUND(C15*1.27,0)</f>
        <v>69</v>
      </c>
      <c r="E15" s="694">
        <f>+D15</f>
        <v>69</v>
      </c>
      <c r="F15" s="695">
        <f>+ROUND(E15*0.5,0)-1</f>
        <v>34</v>
      </c>
      <c r="I15" s="638">
        <v>49</v>
      </c>
      <c r="J15" s="638">
        <v>62</v>
      </c>
      <c r="K15" s="638">
        <f t="shared" si="2"/>
        <v>62.230000000000004</v>
      </c>
      <c r="L15" s="638">
        <f t="shared" si="0"/>
        <v>53.900000000000006</v>
      </c>
      <c r="M15" s="638">
        <f t="shared" si="1"/>
        <v>68.2</v>
      </c>
      <c r="O15" s="638">
        <v>49</v>
      </c>
      <c r="P15" s="638">
        <v>62</v>
      </c>
    </row>
    <row r="16" spans="1:16" ht="15.75" thickBot="1">
      <c r="A16" s="1586" t="s">
        <v>816</v>
      </c>
      <c r="B16" s="1587"/>
      <c r="C16" s="696">
        <f>SUM(C13:C15)</f>
        <v>266</v>
      </c>
      <c r="D16" s="697">
        <f>SUM(D13:D15)</f>
        <v>338</v>
      </c>
      <c r="E16" s="696">
        <f>SUM(E13:E15)</f>
        <v>338</v>
      </c>
      <c r="F16" s="697">
        <f>SUM(F13:F15)</f>
        <v>169</v>
      </c>
      <c r="I16" s="638">
        <f>SUM(I13:I15)</f>
        <v>242</v>
      </c>
      <c r="J16" s="638">
        <f>SUM(J13:J15)</f>
        <v>307</v>
      </c>
      <c r="K16" s="638">
        <f>SUM(K13:K15)</f>
        <v>307.34000000000003</v>
      </c>
      <c r="L16" s="638">
        <f t="shared" si="0"/>
        <v>266.20000000000005</v>
      </c>
      <c r="M16" s="638">
        <f t="shared" si="1"/>
        <v>337.70000000000005</v>
      </c>
      <c r="O16" s="638">
        <v>242</v>
      </c>
      <c r="P16" s="638">
        <v>307</v>
      </c>
    </row>
    <row r="17" spans="1:16" ht="15">
      <c r="A17" s="1588" t="s">
        <v>806</v>
      </c>
      <c r="B17" s="1589"/>
      <c r="C17" s="700">
        <v>62</v>
      </c>
      <c r="D17" s="701">
        <f>+ROUND(C17*1.27,0)</f>
        <v>79</v>
      </c>
      <c r="E17" s="700">
        <f>+D17</f>
        <v>79</v>
      </c>
      <c r="F17" s="701">
        <f>+ROUND(E17*0.5,0)-1</f>
        <v>39</v>
      </c>
      <c r="I17" s="638">
        <v>56</v>
      </c>
      <c r="J17" s="638">
        <v>71</v>
      </c>
      <c r="K17" s="638">
        <f t="shared" si="2"/>
        <v>71.12</v>
      </c>
      <c r="L17" s="638">
        <f t="shared" si="0"/>
        <v>61.600000000000009</v>
      </c>
      <c r="M17" s="638">
        <f t="shared" si="1"/>
        <v>78.100000000000009</v>
      </c>
      <c r="O17" s="638">
        <v>56</v>
      </c>
      <c r="P17" s="638">
        <v>71</v>
      </c>
    </row>
    <row r="18" spans="1:16" ht="15">
      <c r="A18" s="1588" t="s">
        <v>807</v>
      </c>
      <c r="B18" s="1589"/>
      <c r="C18" s="700">
        <v>185</v>
      </c>
      <c r="D18" s="701">
        <f>+ROUND(C18*1.27,0)</f>
        <v>235</v>
      </c>
      <c r="E18" s="700">
        <f>+D18</f>
        <v>235</v>
      </c>
      <c r="F18" s="701">
        <f>+ROUND(E18*0.5,0)</f>
        <v>118</v>
      </c>
      <c r="I18" s="638">
        <v>168</v>
      </c>
      <c r="J18" s="638">
        <f>214-1</f>
        <v>213</v>
      </c>
      <c r="K18" s="638">
        <f t="shared" si="2"/>
        <v>213.36</v>
      </c>
      <c r="L18" s="638">
        <f t="shared" si="0"/>
        <v>184.8</v>
      </c>
      <c r="M18" s="638">
        <f t="shared" si="1"/>
        <v>234.3</v>
      </c>
      <c r="O18" s="638">
        <v>168</v>
      </c>
      <c r="P18" s="638">
        <v>213</v>
      </c>
    </row>
    <row r="19" spans="1:16" ht="15.75" thickBot="1">
      <c r="A19" s="1590" t="s">
        <v>808</v>
      </c>
      <c r="B19" s="1591"/>
      <c r="C19" s="703">
        <v>62</v>
      </c>
      <c r="D19" s="701">
        <f>+ROUND(C19*1.27,0)-1</f>
        <v>78</v>
      </c>
      <c r="E19" s="703">
        <f>+D19</f>
        <v>78</v>
      </c>
      <c r="F19" s="704">
        <f>+ROUND(E19*0.5,0)</f>
        <v>39</v>
      </c>
      <c r="I19" s="638">
        <v>56</v>
      </c>
      <c r="J19" s="638">
        <f>71+1</f>
        <v>72</v>
      </c>
      <c r="K19" s="638">
        <f t="shared" si="2"/>
        <v>71.12</v>
      </c>
      <c r="L19" s="638">
        <f t="shared" si="0"/>
        <v>61.600000000000009</v>
      </c>
      <c r="M19" s="638">
        <f t="shared" si="1"/>
        <v>79.2</v>
      </c>
      <c r="O19" s="638">
        <v>56</v>
      </c>
      <c r="P19" s="638">
        <v>72</v>
      </c>
    </row>
    <row r="20" spans="1:16" ht="15" thickBot="1">
      <c r="A20" s="1592" t="s">
        <v>815</v>
      </c>
      <c r="B20" s="1593"/>
      <c r="C20" s="696">
        <f>SUM(C17:C19)</f>
        <v>309</v>
      </c>
      <c r="D20" s="697">
        <f>SUM(D17:D19)</f>
        <v>392</v>
      </c>
      <c r="E20" s="696">
        <f>SUM(E17:E19)</f>
        <v>392</v>
      </c>
      <c r="F20" s="697">
        <f>SUM(F17:F19)</f>
        <v>196</v>
      </c>
      <c r="I20" s="638">
        <f>SUM(I17:I19)</f>
        <v>280</v>
      </c>
      <c r="J20" s="638">
        <f>SUM(J17:J19)</f>
        <v>356</v>
      </c>
      <c r="K20" s="638">
        <f>SUM(K17:K19)</f>
        <v>355.6</v>
      </c>
      <c r="L20" s="638">
        <f t="shared" si="0"/>
        <v>308</v>
      </c>
      <c r="M20" s="638">
        <f t="shared" si="1"/>
        <v>391.6</v>
      </c>
      <c r="O20" s="638">
        <v>280</v>
      </c>
      <c r="P20" s="638">
        <v>356</v>
      </c>
    </row>
    <row r="21" spans="1:16" ht="15" customHeight="1" thickBot="1">
      <c r="A21" s="1596" t="s">
        <v>1156</v>
      </c>
      <c r="B21" s="1597"/>
      <c r="C21" s="696">
        <v>340</v>
      </c>
      <c r="D21" s="697">
        <f>+ROUND(C21*1.27,0)</f>
        <v>432</v>
      </c>
      <c r="E21" s="696">
        <v>664</v>
      </c>
      <c r="F21" s="889" t="s">
        <v>19</v>
      </c>
      <c r="L21" s="638">
        <f t="shared" ref="L21" si="3">+O21*1.1</f>
        <v>308</v>
      </c>
      <c r="M21" s="638">
        <f t="shared" ref="M21" si="4">+P21*1.1</f>
        <v>391.6</v>
      </c>
      <c r="O21" s="638">
        <v>280</v>
      </c>
      <c r="P21" s="638">
        <v>356</v>
      </c>
    </row>
    <row r="22" spans="1:16" ht="15" thickBot="1">
      <c r="A22" s="1594"/>
      <c r="B22" s="1595"/>
      <c r="C22" s="696"/>
      <c r="D22" s="697"/>
      <c r="E22" s="696"/>
      <c r="F22" s="697"/>
    </row>
    <row r="23" spans="1:16" ht="15" customHeight="1" thickBot="1">
      <c r="A23" s="1582" t="s">
        <v>1498</v>
      </c>
      <c r="B23" s="1583"/>
      <c r="C23" s="705">
        <v>329</v>
      </c>
      <c r="D23" s="730">
        <f>+ROUND(C23*1.27,0)</f>
        <v>418</v>
      </c>
      <c r="E23" s="705">
        <v>800</v>
      </c>
      <c r="F23" s="889" t="s">
        <v>19</v>
      </c>
    </row>
    <row r="25" spans="1:16">
      <c r="A25" s="638" t="s">
        <v>1499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S126"/>
  <sheetViews>
    <sheetView topLeftCell="A16" zoomScaleNormal="100" workbookViewId="0">
      <selection activeCell="G109" sqref="G109"/>
    </sheetView>
  </sheetViews>
  <sheetFormatPr defaultColWidth="9.140625" defaultRowHeight="12"/>
  <cols>
    <col min="1" max="1" width="6" style="649" customWidth="1"/>
    <col min="2" max="2" width="10.5703125" style="640" customWidth="1"/>
    <col min="3" max="3" width="13.28515625" style="640" customWidth="1"/>
    <col min="4" max="4" width="10.5703125" style="640" customWidth="1"/>
    <col min="5" max="5" width="52.5703125" style="640" customWidth="1"/>
    <col min="6" max="8" width="8.28515625" style="641" customWidth="1"/>
    <col min="9" max="9" width="8.28515625" style="817" customWidth="1"/>
    <col min="10" max="11" width="9.140625" style="641" customWidth="1"/>
    <col min="12" max="20" width="9.140625" style="640" customWidth="1"/>
    <col min="21" max="16384" width="9.140625" style="640"/>
  </cols>
  <sheetData>
    <row r="1" spans="1:13" s="645" customFormat="1" ht="15.75">
      <c r="A1" s="646"/>
      <c r="F1" s="639"/>
      <c r="G1" s="639"/>
      <c r="H1" s="639" t="s">
        <v>809</v>
      </c>
      <c r="I1" s="639"/>
      <c r="J1" s="850"/>
      <c r="K1" s="850"/>
    </row>
    <row r="2" spans="1:13" s="645" customFormat="1" ht="15.75">
      <c r="A2" s="646"/>
      <c r="F2" s="639"/>
      <c r="G2" s="639"/>
      <c r="H2" s="639"/>
      <c r="I2" s="639"/>
      <c r="J2" s="850"/>
      <c r="K2" s="850"/>
    </row>
    <row r="3" spans="1:13" s="645" customFormat="1" ht="15.75">
      <c r="A3" s="1613" t="s">
        <v>1519</v>
      </c>
      <c r="B3" s="1613"/>
      <c r="C3" s="1613"/>
      <c r="D3" s="1613"/>
      <c r="E3" s="1613"/>
      <c r="F3" s="1613"/>
      <c r="G3" s="1613"/>
      <c r="H3" s="1613"/>
      <c r="I3" s="813"/>
      <c r="J3" s="850"/>
      <c r="K3" s="850"/>
    </row>
    <row r="4" spans="1:13" ht="12.75" thickBot="1">
      <c r="A4" s="648"/>
      <c r="B4" s="980"/>
      <c r="C4" s="980"/>
      <c r="D4" s="980"/>
      <c r="E4" s="980"/>
      <c r="F4" s="642"/>
      <c r="G4" s="642"/>
      <c r="H4" s="642" t="s">
        <v>457</v>
      </c>
      <c r="I4" s="642"/>
    </row>
    <row r="5" spans="1:13" s="644" customFormat="1" ht="12.75" thickBot="1">
      <c r="A5" s="647" t="s">
        <v>4</v>
      </c>
      <c r="B5" s="644" t="s">
        <v>80</v>
      </c>
      <c r="D5" s="752"/>
      <c r="E5" s="752"/>
      <c r="F5" s="1430">
        <f>+F7+F30+F35+F38+F41+F50+F55+F63</f>
        <v>173051</v>
      </c>
      <c r="G5" s="1431">
        <f>+G7+G30+G35+G38+G41+G50+G55+G63</f>
        <v>-2500</v>
      </c>
      <c r="H5" s="1432">
        <f>+H7+H30+H35+H38+H41+H50+H55+H63</f>
        <v>170551</v>
      </c>
      <c r="I5" s="754"/>
      <c r="J5" s="851"/>
      <c r="K5" s="851"/>
      <c r="L5" s="640"/>
    </row>
    <row r="6" spans="1:13">
      <c r="A6" s="648"/>
      <c r="B6" s="980"/>
      <c r="C6" s="980"/>
      <c r="D6" s="980"/>
      <c r="E6" s="980"/>
      <c r="F6" s="643"/>
      <c r="G6" s="643"/>
      <c r="H6" s="643"/>
      <c r="I6" s="814"/>
    </row>
    <row r="7" spans="1:13" s="644" customFormat="1">
      <c r="A7" s="751" t="s">
        <v>81</v>
      </c>
      <c r="B7" s="707" t="s">
        <v>812</v>
      </c>
      <c r="C7" s="752"/>
      <c r="D7" s="752"/>
      <c r="E7" s="752"/>
      <c r="F7" s="706">
        <f>+F10+F12+F14+F16+F18+F20+F22+F24+F26+F28</f>
        <v>74158</v>
      </c>
      <c r="G7" s="706">
        <f>+G10+G12+G14+G16+G18+G20+G22+G24+G26+G28</f>
        <v>-1000</v>
      </c>
      <c r="H7" s="706">
        <f>+H10+H12+H14+H16+H18+H20+H22+H24+H26+H28</f>
        <v>73158</v>
      </c>
      <c r="I7" s="754"/>
      <c r="J7" s="851"/>
      <c r="K7" s="851"/>
      <c r="L7" s="640"/>
    </row>
    <row r="8" spans="1:13" ht="24.75" customHeight="1">
      <c r="A8" s="648"/>
      <c r="B8" s="1614" t="s">
        <v>1314</v>
      </c>
      <c r="C8" s="1614"/>
      <c r="D8" s="1614"/>
      <c r="E8" s="1614"/>
      <c r="F8" s="643"/>
      <c r="G8" s="643"/>
      <c r="H8" s="643"/>
      <c r="I8" s="814"/>
    </row>
    <row r="9" spans="1:13">
      <c r="A9" s="648"/>
      <c r="B9" s="978"/>
      <c r="C9" s="978"/>
      <c r="D9" s="978"/>
      <c r="E9" s="978"/>
      <c r="F9" s="643"/>
      <c r="G9" s="643"/>
      <c r="H9" s="643"/>
      <c r="I9" s="814"/>
    </row>
    <row r="10" spans="1:13" ht="36.75" customHeight="1">
      <c r="A10" s="648"/>
      <c r="B10" s="1610" t="s">
        <v>1520</v>
      </c>
      <c r="C10" s="1610"/>
      <c r="D10" s="1610"/>
      <c r="E10" s="1610"/>
      <c r="F10" s="643">
        <v>5000</v>
      </c>
      <c r="G10" s="643"/>
      <c r="H10" s="643">
        <f>+F10+G10</f>
        <v>5000</v>
      </c>
      <c r="I10" s="814"/>
      <c r="J10" s="641">
        <f>+ROUND(H10/1.27,0)</f>
        <v>3937</v>
      </c>
      <c r="K10" s="641">
        <f>+H10-J10</f>
        <v>1063</v>
      </c>
      <c r="L10" s="640" t="s">
        <v>1047</v>
      </c>
    </row>
    <row r="11" spans="1:13">
      <c r="A11" s="648"/>
      <c r="B11" s="978"/>
      <c r="C11" s="978"/>
      <c r="D11" s="978"/>
      <c r="E11" s="978"/>
      <c r="F11" s="643"/>
      <c r="G11" s="643"/>
      <c r="H11" s="643"/>
      <c r="I11" s="814"/>
    </row>
    <row r="12" spans="1:13" ht="38.25" customHeight="1">
      <c r="A12" s="648"/>
      <c r="B12" s="1615" t="s">
        <v>1521</v>
      </c>
      <c r="C12" s="1615"/>
      <c r="D12" s="1615"/>
      <c r="E12" s="1615"/>
      <c r="F12" s="814">
        <v>41258</v>
      </c>
      <c r="G12" s="814"/>
      <c r="H12" s="814">
        <f>+F12+G12</f>
        <v>41258</v>
      </c>
      <c r="I12" s="814"/>
      <c r="J12" s="641">
        <f>+ROUND(H12/1.27,0)</f>
        <v>32487</v>
      </c>
      <c r="K12" s="641">
        <f>+H12-J12</f>
        <v>8771</v>
      </c>
      <c r="L12" s="640" t="s">
        <v>1047</v>
      </c>
      <c r="M12" s="640" t="s">
        <v>1063</v>
      </c>
    </row>
    <row r="13" spans="1:13">
      <c r="A13" s="648"/>
      <c r="B13" s="981"/>
      <c r="C13" s="981"/>
      <c r="D13" s="981"/>
      <c r="E13" s="981"/>
      <c r="F13" s="643"/>
      <c r="G13" s="643"/>
      <c r="H13" s="643"/>
      <c r="I13" s="814"/>
    </row>
    <row r="14" spans="1:13">
      <c r="A14" s="648"/>
      <c r="B14" s="1619" t="s">
        <v>1525</v>
      </c>
      <c r="C14" s="1617"/>
      <c r="D14" s="1617"/>
      <c r="E14" s="1617"/>
      <c r="F14" s="643">
        <v>20000</v>
      </c>
      <c r="G14" s="643"/>
      <c r="H14" s="643">
        <f>+F14+G14</f>
        <v>20000</v>
      </c>
      <c r="I14" s="814"/>
      <c r="J14" s="641">
        <f>+ROUND(H14/1.27,0)</f>
        <v>15748</v>
      </c>
      <c r="K14" s="641">
        <f>+H14-J14</f>
        <v>4252</v>
      </c>
      <c r="L14" s="640" t="s">
        <v>1047</v>
      </c>
      <c r="M14" s="640" t="s">
        <v>1063</v>
      </c>
    </row>
    <row r="15" spans="1:13">
      <c r="A15" s="648"/>
      <c r="B15" s="981"/>
      <c r="C15" s="981"/>
      <c r="D15" s="981"/>
      <c r="E15" s="981"/>
      <c r="F15" s="643"/>
      <c r="G15" s="643"/>
      <c r="H15" s="643"/>
      <c r="I15" s="814"/>
    </row>
    <row r="16" spans="1:13" ht="25.5" customHeight="1">
      <c r="A16" s="648"/>
      <c r="B16" s="1616" t="s">
        <v>1522</v>
      </c>
      <c r="C16" s="1617"/>
      <c r="D16" s="1617"/>
      <c r="E16" s="1617"/>
      <c r="F16" s="814">
        <f>1000-1000</f>
        <v>0</v>
      </c>
      <c r="G16" s="814"/>
      <c r="H16" s="814">
        <f>+F16+G16</f>
        <v>0</v>
      </c>
      <c r="I16" s="814"/>
      <c r="J16" s="641">
        <f>+ROUND(H16/1.27,0)</f>
        <v>0</v>
      </c>
      <c r="K16" s="641">
        <f>+H16-J16</f>
        <v>0</v>
      </c>
      <c r="L16" s="640" t="s">
        <v>1047</v>
      </c>
    </row>
    <row r="17" spans="1:19">
      <c r="A17" s="648"/>
      <c r="B17" s="981"/>
      <c r="C17" s="981"/>
      <c r="D17" s="981"/>
      <c r="E17" s="981"/>
      <c r="F17" s="814"/>
      <c r="G17" s="814"/>
      <c r="H17" s="814"/>
      <c r="I17" s="814"/>
    </row>
    <row r="18" spans="1:19" ht="28.5" customHeight="1">
      <c r="A18" s="648"/>
      <c r="B18" s="1615" t="s">
        <v>1327</v>
      </c>
      <c r="C18" s="1615"/>
      <c r="D18" s="1615"/>
      <c r="E18" s="1615"/>
      <c r="F18" s="814">
        <f>2000-1000</f>
        <v>1000</v>
      </c>
      <c r="G18" s="814">
        <v>-1000</v>
      </c>
      <c r="H18" s="814">
        <f>+F18+G18</f>
        <v>0</v>
      </c>
      <c r="I18" s="814"/>
      <c r="J18" s="641">
        <f>+ROUND(H18/1.27,0)</f>
        <v>0</v>
      </c>
      <c r="K18" s="641">
        <f>+H18-J18</f>
        <v>0</v>
      </c>
      <c r="L18" s="640" t="s">
        <v>1047</v>
      </c>
    </row>
    <row r="19" spans="1:19">
      <c r="A19" s="648"/>
      <c r="B19" s="981"/>
      <c r="C19" s="981"/>
      <c r="D19" s="981"/>
      <c r="E19" s="981"/>
      <c r="F19" s="814"/>
      <c r="G19" s="814"/>
      <c r="H19" s="814"/>
      <c r="I19" s="814"/>
    </row>
    <row r="20" spans="1:19">
      <c r="A20" s="648"/>
      <c r="B20" s="1615" t="s">
        <v>1328</v>
      </c>
      <c r="C20" s="1615"/>
      <c r="D20" s="1615"/>
      <c r="E20" s="1615"/>
      <c r="F20" s="814">
        <f>700-300</f>
        <v>400</v>
      </c>
      <c r="G20" s="814"/>
      <c r="H20" s="814">
        <f>+F20+G20</f>
        <v>400</v>
      </c>
      <c r="I20" s="814"/>
      <c r="J20" s="641">
        <f>+ROUND(H20/1.27,0)</f>
        <v>315</v>
      </c>
      <c r="K20" s="641">
        <f>+H20-J20</f>
        <v>85</v>
      </c>
      <c r="L20" s="640" t="s">
        <v>1047</v>
      </c>
    </row>
    <row r="21" spans="1:19">
      <c r="A21" s="648"/>
      <c r="B21" s="981"/>
      <c r="C21" s="981"/>
      <c r="D21" s="981"/>
      <c r="E21" s="981"/>
      <c r="F21" s="814"/>
      <c r="G21" s="814"/>
      <c r="H21" s="814"/>
      <c r="I21" s="814"/>
    </row>
    <row r="22" spans="1:19" ht="25.5" customHeight="1">
      <c r="A22" s="648"/>
      <c r="B22" s="1618" t="s">
        <v>1523</v>
      </c>
      <c r="C22" s="1618"/>
      <c r="D22" s="1618"/>
      <c r="E22" s="1618"/>
      <c r="F22" s="814">
        <v>0</v>
      </c>
      <c r="G22" s="814"/>
      <c r="H22" s="814">
        <f>+F22+G22</f>
        <v>0</v>
      </c>
      <c r="I22" s="814"/>
      <c r="J22" s="641">
        <f>+ROUND(H22/1.27,0)</f>
        <v>0</v>
      </c>
      <c r="K22" s="641">
        <f>+H22-J22</f>
        <v>0</v>
      </c>
      <c r="L22" s="640" t="s">
        <v>1047</v>
      </c>
    </row>
    <row r="23" spans="1:19">
      <c r="A23" s="648"/>
      <c r="B23" s="981"/>
      <c r="C23" s="981"/>
      <c r="D23" s="981"/>
      <c r="E23" s="981"/>
      <c r="F23" s="814"/>
      <c r="G23" s="814"/>
      <c r="H23" s="814"/>
      <c r="I23" s="814"/>
    </row>
    <row r="24" spans="1:19">
      <c r="A24" s="648"/>
      <c r="B24" s="1616" t="s">
        <v>1315</v>
      </c>
      <c r="C24" s="1617"/>
      <c r="D24" s="1617"/>
      <c r="E24" s="1617"/>
      <c r="F24" s="814">
        <f>2000-1000-500</f>
        <v>500</v>
      </c>
      <c r="G24" s="814"/>
      <c r="H24" s="814">
        <f>+F24+G24</f>
        <v>500</v>
      </c>
      <c r="I24" s="814"/>
      <c r="J24" s="641">
        <f>+ROUND(H24/1.27,0)</f>
        <v>394</v>
      </c>
      <c r="K24" s="641">
        <f>+H24-J24</f>
        <v>106</v>
      </c>
      <c r="L24" s="640" t="s">
        <v>1047</v>
      </c>
    </row>
    <row r="25" spans="1:19" s="644" customFormat="1">
      <c r="A25" s="648"/>
      <c r="B25" s="981"/>
      <c r="C25" s="981"/>
      <c r="D25" s="981"/>
      <c r="E25" s="981"/>
      <c r="F25" s="814"/>
      <c r="G25" s="814"/>
      <c r="H25" s="814"/>
      <c r="I25" s="814"/>
      <c r="J25" s="641"/>
      <c r="K25" s="641"/>
      <c r="L25" s="640"/>
      <c r="M25" s="640"/>
      <c r="N25" s="640"/>
      <c r="O25" s="640"/>
      <c r="P25" s="640"/>
      <c r="Q25" s="640"/>
      <c r="R25" s="640"/>
      <c r="S25" s="640"/>
    </row>
    <row r="26" spans="1:19" ht="37.5" customHeight="1">
      <c r="A26" s="648"/>
      <c r="B26" s="1618" t="s">
        <v>1524</v>
      </c>
      <c r="C26" s="1618"/>
      <c r="D26" s="1618"/>
      <c r="E26" s="1618"/>
      <c r="F26" s="814">
        <f>4000-4000</f>
        <v>0</v>
      </c>
      <c r="G26" s="814"/>
      <c r="H26" s="814">
        <f>+F26+G26</f>
        <v>0</v>
      </c>
      <c r="I26" s="814"/>
      <c r="J26" s="641">
        <f>+ROUND(H26/1.27,0)</f>
        <v>0</v>
      </c>
      <c r="K26" s="641">
        <f>+H26-J26</f>
        <v>0</v>
      </c>
      <c r="L26" s="640" t="s">
        <v>1047</v>
      </c>
      <c r="M26" s="640" t="s">
        <v>1063</v>
      </c>
    </row>
    <row r="27" spans="1:19">
      <c r="A27" s="648"/>
      <c r="B27" s="981"/>
      <c r="C27" s="981"/>
      <c r="D27" s="981"/>
      <c r="E27" s="981"/>
      <c r="F27" s="643"/>
      <c r="G27" s="643"/>
      <c r="H27" s="643"/>
      <c r="I27" s="814"/>
    </row>
    <row r="28" spans="1:19">
      <c r="A28" s="648"/>
      <c r="B28" s="1615" t="s">
        <v>1316</v>
      </c>
      <c r="C28" s="1615"/>
      <c r="D28" s="1615"/>
      <c r="E28" s="1615"/>
      <c r="F28" s="643">
        <v>6000</v>
      </c>
      <c r="G28" s="643"/>
      <c r="H28" s="643">
        <f>+F28+G28</f>
        <v>6000</v>
      </c>
      <c r="I28" s="814"/>
      <c r="J28" s="641">
        <f>+ROUND(H28/1.27,0)</f>
        <v>4724</v>
      </c>
      <c r="K28" s="641">
        <f>+H28-J28</f>
        <v>1276</v>
      </c>
      <c r="L28" s="640" t="s">
        <v>1047</v>
      </c>
      <c r="P28" s="640" t="s">
        <v>1317</v>
      </c>
    </row>
    <row r="29" spans="1:19">
      <c r="A29" s="648"/>
      <c r="B29" s="980"/>
      <c r="C29" s="980"/>
      <c r="D29" s="980"/>
      <c r="E29" s="980"/>
      <c r="F29" s="643"/>
      <c r="G29" s="643"/>
      <c r="H29" s="643"/>
      <c r="I29" s="814"/>
    </row>
    <row r="30" spans="1:19" s="644" customFormat="1">
      <c r="A30" s="751" t="s">
        <v>82</v>
      </c>
      <c r="B30" s="707" t="s">
        <v>644</v>
      </c>
      <c r="C30" s="752"/>
      <c r="D30" s="752"/>
      <c r="E30" s="752"/>
      <c r="F30" s="706">
        <f>+F31+F33</f>
        <v>26500</v>
      </c>
      <c r="G30" s="706">
        <f>+G31+G33</f>
        <v>-1500</v>
      </c>
      <c r="H30" s="706">
        <f>+H31+H33</f>
        <v>25000</v>
      </c>
      <c r="I30" s="754"/>
      <c r="J30" s="641"/>
      <c r="K30" s="641"/>
      <c r="L30" s="640"/>
    </row>
    <row r="31" spans="1:19">
      <c r="A31" s="648"/>
      <c r="B31" s="1610" t="s">
        <v>1318</v>
      </c>
      <c r="C31" s="1610"/>
      <c r="D31" s="1610"/>
      <c r="E31" s="1610"/>
      <c r="F31" s="643">
        <v>25000</v>
      </c>
      <c r="G31" s="643"/>
      <c r="H31" s="643">
        <f>+F31+G31</f>
        <v>25000</v>
      </c>
      <c r="I31" s="814"/>
      <c r="J31" s="641">
        <f>+ROUND(H31/1.27,0)</f>
        <v>19685</v>
      </c>
      <c r="K31" s="641">
        <f>+H31-J31</f>
        <v>5315</v>
      </c>
      <c r="L31" s="640" t="s">
        <v>1048</v>
      </c>
    </row>
    <row r="32" spans="1:19">
      <c r="A32" s="648"/>
      <c r="B32" s="978"/>
      <c r="C32" s="978"/>
      <c r="D32" s="978"/>
      <c r="E32" s="978"/>
      <c r="F32" s="643"/>
      <c r="G32" s="643"/>
      <c r="H32" s="643"/>
      <c r="I32" s="814"/>
    </row>
    <row r="33" spans="1:19" s="644" customFormat="1" ht="36.75" customHeight="1">
      <c r="A33" s="648"/>
      <c r="B33" s="1607" t="s">
        <v>1526</v>
      </c>
      <c r="C33" s="1607"/>
      <c r="D33" s="1607"/>
      <c r="E33" s="1607"/>
      <c r="F33" s="814">
        <f>2000-500</f>
        <v>1500</v>
      </c>
      <c r="G33" s="814">
        <v>-1500</v>
      </c>
      <c r="H33" s="814">
        <f>+F33+G33</f>
        <v>0</v>
      </c>
      <c r="I33" s="814"/>
      <c r="J33" s="641">
        <f>+ROUND(H33/1.27,0)</f>
        <v>0</v>
      </c>
      <c r="K33" s="641">
        <f>+H33-J33</f>
        <v>0</v>
      </c>
      <c r="L33" s="640" t="s">
        <v>1048</v>
      </c>
      <c r="M33" s="640" t="s">
        <v>1062</v>
      </c>
      <c r="N33" s="640"/>
      <c r="O33" s="640"/>
      <c r="P33" s="640"/>
      <c r="Q33" s="640"/>
      <c r="R33" s="640"/>
      <c r="S33" s="640"/>
    </row>
    <row r="34" spans="1:19" s="644" customFormat="1">
      <c r="A34" s="648"/>
      <c r="B34" s="1611"/>
      <c r="C34" s="1611"/>
      <c r="D34" s="1611"/>
      <c r="E34" s="1611"/>
      <c r="F34" s="643"/>
      <c r="G34" s="643"/>
      <c r="H34" s="643"/>
      <c r="I34" s="814"/>
      <c r="J34" s="641"/>
      <c r="K34" s="641"/>
      <c r="L34" s="640"/>
      <c r="M34" s="640"/>
      <c r="N34" s="640"/>
      <c r="O34" s="640"/>
      <c r="P34" s="640"/>
      <c r="Q34" s="640"/>
      <c r="R34" s="640"/>
      <c r="S34" s="640"/>
    </row>
    <row r="35" spans="1:19">
      <c r="A35" s="751" t="s">
        <v>820</v>
      </c>
      <c r="B35" s="707" t="s">
        <v>1330</v>
      </c>
      <c r="C35" s="752"/>
      <c r="D35" s="752"/>
      <c r="E35" s="752"/>
      <c r="F35" s="706">
        <v>2500</v>
      </c>
      <c r="G35" s="706"/>
      <c r="H35" s="706">
        <f>+F35+G35</f>
        <v>2500</v>
      </c>
      <c r="I35" s="754"/>
      <c r="J35" s="641">
        <f>+ROUND(H35/1.27,0)</f>
        <v>1969</v>
      </c>
      <c r="K35" s="641">
        <f>+H35-J35</f>
        <v>531</v>
      </c>
      <c r="L35" s="640" t="s">
        <v>1049</v>
      </c>
      <c r="M35" s="644"/>
      <c r="N35" s="644"/>
      <c r="O35" s="644"/>
      <c r="P35" s="644"/>
      <c r="Q35" s="644"/>
      <c r="R35" s="644"/>
      <c r="S35" s="644"/>
    </row>
    <row r="36" spans="1:19" ht="24" customHeight="1">
      <c r="A36" s="648"/>
      <c r="B36" s="1610" t="s">
        <v>1527</v>
      </c>
      <c r="C36" s="1610"/>
      <c r="D36" s="1610"/>
      <c r="E36" s="1610"/>
      <c r="F36" s="643"/>
      <c r="G36" s="643"/>
      <c r="H36" s="643"/>
      <c r="I36" s="814"/>
    </row>
    <row r="37" spans="1:19">
      <c r="A37" s="648"/>
      <c r="B37" s="980"/>
      <c r="C37" s="980"/>
      <c r="D37" s="980"/>
      <c r="E37" s="980"/>
      <c r="F37" s="643"/>
      <c r="G37" s="643"/>
      <c r="H37" s="643"/>
      <c r="I37" s="814"/>
    </row>
    <row r="38" spans="1:19">
      <c r="A38" s="751" t="s">
        <v>821</v>
      </c>
      <c r="B38" s="707" t="s">
        <v>1331</v>
      </c>
      <c r="C38" s="752"/>
      <c r="D38" s="752"/>
      <c r="E38" s="752"/>
      <c r="F38" s="1096">
        <f>7000-5000</f>
        <v>2000</v>
      </c>
      <c r="G38" s="1096"/>
      <c r="H38" s="1096">
        <f>+F38+G38</f>
        <v>2000</v>
      </c>
      <c r="I38" s="754"/>
      <c r="J38" s="641">
        <f>+ROUND(H38/1.27,0)</f>
        <v>1575</v>
      </c>
      <c r="K38" s="641">
        <f>+H38-J38</f>
        <v>425</v>
      </c>
      <c r="L38" s="640" t="s">
        <v>1050</v>
      </c>
      <c r="M38" s="644"/>
      <c r="N38" s="640" t="s">
        <v>1329</v>
      </c>
      <c r="O38" s="644"/>
      <c r="P38" s="640" t="s">
        <v>1317</v>
      </c>
      <c r="S38" s="644"/>
    </row>
    <row r="39" spans="1:19" ht="28.5" customHeight="1">
      <c r="A39" s="648"/>
      <c r="B39" s="1610" t="s">
        <v>1528</v>
      </c>
      <c r="C39" s="1610"/>
      <c r="D39" s="1610"/>
      <c r="E39" s="1610"/>
      <c r="F39" s="643"/>
      <c r="G39" s="643"/>
      <c r="H39" s="643"/>
      <c r="I39" s="814"/>
    </row>
    <row r="40" spans="1:19">
      <c r="A40" s="648"/>
      <c r="B40" s="980"/>
      <c r="C40" s="980"/>
      <c r="D40" s="980"/>
      <c r="E40" s="980"/>
      <c r="F40" s="643"/>
      <c r="G40" s="643"/>
      <c r="H40" s="643"/>
      <c r="I40" s="814"/>
    </row>
    <row r="41" spans="1:19" s="644" customFormat="1">
      <c r="A41" s="751" t="s">
        <v>822</v>
      </c>
      <c r="B41" s="707" t="s">
        <v>1332</v>
      </c>
      <c r="C41" s="752"/>
      <c r="D41" s="752"/>
      <c r="E41" s="752"/>
      <c r="F41" s="706">
        <f>+F43+F44+F45+F46+F47+F48</f>
        <v>7700</v>
      </c>
      <c r="G41" s="706">
        <f>+G43+G44+G45+G46+G47+G48</f>
        <v>0</v>
      </c>
      <c r="H41" s="706">
        <f>+H43+H44+H45+H46+H47+H48</f>
        <v>7700</v>
      </c>
      <c r="I41" s="754"/>
      <c r="J41" s="851"/>
      <c r="K41" s="851"/>
      <c r="L41" s="640"/>
      <c r="P41" s="640" t="s">
        <v>1317</v>
      </c>
      <c r="Q41" s="640"/>
      <c r="R41" s="640"/>
    </row>
    <row r="42" spans="1:19" ht="25.5" customHeight="1">
      <c r="A42" s="648"/>
      <c r="B42" s="1610" t="s">
        <v>1165</v>
      </c>
      <c r="C42" s="1610"/>
      <c r="D42" s="1610"/>
      <c r="E42" s="1610"/>
      <c r="F42" s="643"/>
      <c r="G42" s="643"/>
      <c r="H42" s="643"/>
      <c r="I42" s="814"/>
    </row>
    <row r="43" spans="1:19">
      <c r="A43" s="648"/>
      <c r="B43" s="1607" t="s">
        <v>1044</v>
      </c>
      <c r="C43" s="1607"/>
      <c r="D43" s="1607"/>
      <c r="E43" s="1607"/>
      <c r="F43" s="643">
        <v>500</v>
      </c>
      <c r="G43" s="643"/>
      <c r="H43" s="643">
        <f t="shared" ref="H43:H48" si="0">+F43+G43</f>
        <v>500</v>
      </c>
      <c r="I43" s="814"/>
      <c r="J43" s="641">
        <f t="shared" ref="J43:J48" si="1">+ROUND(H43/1.27,0)</f>
        <v>394</v>
      </c>
      <c r="K43" s="641">
        <f t="shared" ref="K43:K48" si="2">+H43-J43</f>
        <v>106</v>
      </c>
      <c r="L43" s="640" t="s">
        <v>1051</v>
      </c>
      <c r="P43" s="640" t="s">
        <v>1317</v>
      </c>
    </row>
    <row r="44" spans="1:19">
      <c r="A44" s="648"/>
      <c r="B44" s="1620" t="s">
        <v>1319</v>
      </c>
      <c r="C44" s="1620"/>
      <c r="D44" s="1620"/>
      <c r="E44" s="1620"/>
      <c r="F44" s="643">
        <v>500</v>
      </c>
      <c r="G44" s="643"/>
      <c r="H44" s="643">
        <f t="shared" si="0"/>
        <v>500</v>
      </c>
      <c r="I44" s="814"/>
      <c r="J44" s="641">
        <f t="shared" si="1"/>
        <v>394</v>
      </c>
      <c r="K44" s="641">
        <f t="shared" si="2"/>
        <v>106</v>
      </c>
      <c r="L44" s="640" t="s">
        <v>1051</v>
      </c>
      <c r="P44" s="640" t="s">
        <v>1317</v>
      </c>
    </row>
    <row r="45" spans="1:19">
      <c r="A45" s="648"/>
      <c r="B45" s="1620" t="s">
        <v>1320</v>
      </c>
      <c r="C45" s="1620"/>
      <c r="D45" s="1620"/>
      <c r="E45" s="1620"/>
      <c r="F45" s="643">
        <v>3000</v>
      </c>
      <c r="G45" s="643"/>
      <c r="H45" s="643">
        <f t="shared" si="0"/>
        <v>3000</v>
      </c>
      <c r="I45" s="814"/>
      <c r="J45" s="641">
        <f t="shared" si="1"/>
        <v>2362</v>
      </c>
      <c r="K45" s="641">
        <f t="shared" si="2"/>
        <v>638</v>
      </c>
      <c r="L45" s="640" t="s">
        <v>1051</v>
      </c>
      <c r="P45" s="640" t="s">
        <v>1317</v>
      </c>
    </row>
    <row r="46" spans="1:19" s="644" customFormat="1">
      <c r="A46" s="648"/>
      <c r="B46" s="1612" t="s">
        <v>813</v>
      </c>
      <c r="C46" s="1612"/>
      <c r="D46" s="1612"/>
      <c r="E46" s="1612"/>
      <c r="F46" s="643">
        <v>1000</v>
      </c>
      <c r="G46" s="643"/>
      <c r="H46" s="643">
        <f t="shared" si="0"/>
        <v>1000</v>
      </c>
      <c r="I46" s="814"/>
      <c r="J46" s="641">
        <f>+ROUND(H46/1.27,0)</f>
        <v>787</v>
      </c>
      <c r="K46" s="641">
        <f>+H46-J46</f>
        <v>213</v>
      </c>
      <c r="L46" s="640" t="s">
        <v>1051</v>
      </c>
      <c r="M46" s="640"/>
      <c r="N46" s="640"/>
      <c r="O46" s="640"/>
      <c r="P46" s="640" t="s">
        <v>1317</v>
      </c>
      <c r="Q46" s="640"/>
      <c r="R46" s="640"/>
      <c r="S46" s="640"/>
    </row>
    <row r="47" spans="1:19">
      <c r="A47" s="648"/>
      <c r="B47" s="1612" t="s">
        <v>1045</v>
      </c>
      <c r="C47" s="1612"/>
      <c r="D47" s="1612"/>
      <c r="E47" s="1612"/>
      <c r="F47" s="643">
        <v>1200</v>
      </c>
      <c r="G47" s="643"/>
      <c r="H47" s="643">
        <f t="shared" si="0"/>
        <v>1200</v>
      </c>
      <c r="I47" s="814"/>
      <c r="J47" s="641">
        <f t="shared" si="1"/>
        <v>945</v>
      </c>
      <c r="K47" s="641">
        <f t="shared" si="2"/>
        <v>255</v>
      </c>
      <c r="L47" s="640" t="s">
        <v>1051</v>
      </c>
      <c r="P47" s="640" t="s">
        <v>1317</v>
      </c>
    </row>
    <row r="48" spans="1:19">
      <c r="A48" s="648"/>
      <c r="B48" s="1612" t="s">
        <v>1321</v>
      </c>
      <c r="C48" s="1612"/>
      <c r="D48" s="1612"/>
      <c r="E48" s="1612"/>
      <c r="F48" s="643">
        <v>1500</v>
      </c>
      <c r="G48" s="643"/>
      <c r="H48" s="643">
        <f t="shared" si="0"/>
        <v>1500</v>
      </c>
      <c r="I48" s="814"/>
      <c r="J48" s="641">
        <f t="shared" si="1"/>
        <v>1181</v>
      </c>
      <c r="K48" s="641">
        <f t="shared" si="2"/>
        <v>319</v>
      </c>
      <c r="L48" s="640" t="s">
        <v>1051</v>
      </c>
    </row>
    <row r="49" spans="1:19">
      <c r="A49" s="648"/>
      <c r="B49" s="980"/>
      <c r="C49" s="980"/>
      <c r="D49" s="980"/>
      <c r="E49" s="980"/>
      <c r="F49" s="643"/>
      <c r="G49" s="643"/>
      <c r="H49" s="643"/>
      <c r="I49" s="814"/>
    </row>
    <row r="50" spans="1:19">
      <c r="A50" s="751" t="s">
        <v>823</v>
      </c>
      <c r="B50" s="707" t="s">
        <v>1333</v>
      </c>
      <c r="C50" s="752"/>
      <c r="D50" s="752"/>
      <c r="E50" s="752"/>
      <c r="F50" s="706">
        <f>+F51+F53</f>
        <v>3500</v>
      </c>
      <c r="G50" s="706">
        <f>+G51+G53</f>
        <v>0</v>
      </c>
      <c r="H50" s="706">
        <f>+H51+H53</f>
        <v>3500</v>
      </c>
      <c r="I50" s="754"/>
      <c r="M50" s="644"/>
      <c r="N50" s="644"/>
      <c r="O50" s="644"/>
      <c r="P50" s="644"/>
      <c r="Q50" s="644"/>
      <c r="R50" s="644"/>
      <c r="S50" s="644"/>
    </row>
    <row r="51" spans="1:19">
      <c r="A51" s="648"/>
      <c r="B51" s="1610" t="s">
        <v>1334</v>
      </c>
      <c r="C51" s="1610"/>
      <c r="D51" s="1610"/>
      <c r="E51" s="1610"/>
      <c r="F51" s="643">
        <v>3000</v>
      </c>
      <c r="G51" s="643"/>
      <c r="H51" s="643">
        <f>+F51+G51</f>
        <v>3000</v>
      </c>
      <c r="I51" s="814"/>
      <c r="J51" s="641">
        <f>+ROUND(H51/1.27,0)</f>
        <v>2362</v>
      </c>
      <c r="K51" s="641">
        <f>+H51-J51</f>
        <v>638</v>
      </c>
      <c r="L51" s="640" t="s">
        <v>1052</v>
      </c>
    </row>
    <row r="52" spans="1:19" s="644" customFormat="1">
      <c r="A52" s="648"/>
      <c r="B52" s="978"/>
      <c r="C52" s="978"/>
      <c r="D52" s="978"/>
      <c r="E52" s="978"/>
      <c r="F52" s="643"/>
      <c r="G52" s="643"/>
      <c r="H52" s="643"/>
      <c r="I52" s="814"/>
      <c r="J52" s="641"/>
      <c r="K52" s="641"/>
      <c r="L52" s="640"/>
      <c r="M52" s="640"/>
      <c r="N52" s="640"/>
      <c r="O52" s="640"/>
      <c r="P52" s="640"/>
      <c r="Q52" s="640"/>
      <c r="R52" s="640"/>
      <c r="S52" s="640"/>
    </row>
    <row r="53" spans="1:19">
      <c r="A53" s="648"/>
      <c r="B53" s="1607" t="s">
        <v>1529</v>
      </c>
      <c r="C53" s="1607"/>
      <c r="D53" s="1607"/>
      <c r="E53" s="1607"/>
      <c r="F53" s="643">
        <v>500</v>
      </c>
      <c r="G53" s="643"/>
      <c r="H53" s="643">
        <f>+F53+G53</f>
        <v>500</v>
      </c>
      <c r="I53" s="814"/>
      <c r="J53" s="641">
        <f>+ROUND(H53/1.27,0)</f>
        <v>394</v>
      </c>
      <c r="K53" s="641">
        <f>+H53-J53</f>
        <v>106</v>
      </c>
      <c r="L53" s="640" t="s">
        <v>1052</v>
      </c>
    </row>
    <row r="54" spans="1:19">
      <c r="A54" s="648"/>
      <c r="B54" s="980"/>
      <c r="C54" s="980"/>
      <c r="D54" s="980"/>
      <c r="E54" s="980"/>
      <c r="F54" s="643"/>
      <c r="G54" s="643"/>
      <c r="H54" s="643"/>
      <c r="I54" s="814"/>
    </row>
    <row r="55" spans="1:19">
      <c r="A55" s="751" t="s">
        <v>824</v>
      </c>
      <c r="B55" s="707" t="s">
        <v>1342</v>
      </c>
      <c r="C55" s="752"/>
      <c r="D55" s="752"/>
      <c r="E55" s="752"/>
      <c r="F55" s="706">
        <f>+F57+F59+F61</f>
        <v>10000</v>
      </c>
      <c r="G55" s="706">
        <f>+G57+G59+G61</f>
        <v>0</v>
      </c>
      <c r="H55" s="706">
        <f>+H57+H59+H61</f>
        <v>10000</v>
      </c>
      <c r="I55" s="754"/>
      <c r="J55" s="851"/>
      <c r="K55" s="851"/>
      <c r="M55" s="644"/>
      <c r="N55" s="644"/>
      <c r="O55" s="644"/>
      <c r="P55" s="644"/>
      <c r="Q55" s="644"/>
      <c r="R55" s="644"/>
      <c r="S55" s="644"/>
    </row>
    <row r="56" spans="1:19">
      <c r="A56" s="648"/>
      <c r="B56" s="978"/>
      <c r="C56" s="978"/>
      <c r="D56" s="978"/>
      <c r="E56" s="978"/>
      <c r="F56" s="643"/>
      <c r="G56" s="643"/>
      <c r="H56" s="643"/>
      <c r="I56" s="814"/>
    </row>
    <row r="57" spans="1:19">
      <c r="A57" s="648"/>
      <c r="B57" s="1610" t="s">
        <v>1336</v>
      </c>
      <c r="C57" s="1610"/>
      <c r="D57" s="1610"/>
      <c r="E57" s="1610"/>
      <c r="F57" s="814">
        <v>6000</v>
      </c>
      <c r="G57" s="814"/>
      <c r="H57" s="814">
        <f>+F57+G57</f>
        <v>6000</v>
      </c>
      <c r="I57" s="814"/>
      <c r="J57" s="641">
        <f>+ROUND(H57/1.27,0)</f>
        <v>4724</v>
      </c>
      <c r="K57" s="641">
        <f>+H57-J57</f>
        <v>1276</v>
      </c>
      <c r="L57" s="640" t="s">
        <v>974</v>
      </c>
    </row>
    <row r="58" spans="1:19">
      <c r="A58" s="648"/>
      <c r="B58" s="978"/>
      <c r="C58" s="978"/>
      <c r="D58" s="978"/>
      <c r="E58" s="978"/>
      <c r="F58" s="814"/>
      <c r="G58" s="814"/>
      <c r="H58" s="814"/>
      <c r="I58" s="814"/>
    </row>
    <row r="59" spans="1:19" ht="36" customHeight="1">
      <c r="A59" s="648"/>
      <c r="B59" s="1610" t="s">
        <v>1335</v>
      </c>
      <c r="C59" s="1610"/>
      <c r="D59" s="1610"/>
      <c r="E59" s="1610"/>
      <c r="F59" s="814">
        <f>6000-2000</f>
        <v>4000</v>
      </c>
      <c r="G59" s="814"/>
      <c r="H59" s="814">
        <f>+F59+G59</f>
        <v>4000</v>
      </c>
      <c r="I59" s="814"/>
      <c r="J59" s="641">
        <f>+ROUND(H59/1.27,0)</f>
        <v>3150</v>
      </c>
      <c r="K59" s="641">
        <f>+H59-J59</f>
        <v>850</v>
      </c>
      <c r="L59" s="640" t="s">
        <v>974</v>
      </c>
    </row>
    <row r="60" spans="1:19">
      <c r="A60" s="648"/>
      <c r="B60" s="978"/>
      <c r="C60" s="978"/>
      <c r="D60" s="978"/>
      <c r="E60" s="978"/>
      <c r="F60" s="643"/>
      <c r="G60" s="643"/>
      <c r="H60" s="643"/>
      <c r="I60" s="814"/>
    </row>
    <row r="61" spans="1:19">
      <c r="B61" s="1607" t="s">
        <v>1530</v>
      </c>
      <c r="C61" s="1607"/>
      <c r="D61" s="1607"/>
      <c r="E61" s="1607"/>
      <c r="F61" s="641">
        <v>0</v>
      </c>
      <c r="H61" s="641">
        <f>+F61+G61</f>
        <v>0</v>
      </c>
      <c r="J61" s="641">
        <f>+ROUND(H61/1.27,0)</f>
        <v>0</v>
      </c>
      <c r="K61" s="641">
        <f>+H61-J61</f>
        <v>0</v>
      </c>
      <c r="L61" s="640" t="s">
        <v>974</v>
      </c>
    </row>
    <row r="62" spans="1:19">
      <c r="A62" s="648"/>
      <c r="F62" s="643"/>
      <c r="G62" s="643"/>
      <c r="H62" s="643"/>
      <c r="I62" s="814"/>
    </row>
    <row r="63" spans="1:19">
      <c r="A63" s="751" t="s">
        <v>825</v>
      </c>
      <c r="B63" s="707" t="s">
        <v>814</v>
      </c>
      <c r="C63" s="752"/>
      <c r="D63" s="752"/>
      <c r="E63" s="752"/>
      <c r="F63" s="1096">
        <f>+F68+F73</f>
        <v>46693</v>
      </c>
      <c r="G63" s="1096">
        <f>+G68+G73</f>
        <v>0</v>
      </c>
      <c r="H63" s="1096">
        <f>+H68+H73</f>
        <v>46693</v>
      </c>
      <c r="I63" s="754"/>
      <c r="J63" s="851"/>
      <c r="K63" s="851"/>
      <c r="M63" s="644"/>
      <c r="N63" s="644"/>
      <c r="O63" s="644"/>
      <c r="P63" s="644"/>
      <c r="Q63" s="644"/>
      <c r="R63" s="644"/>
      <c r="S63" s="644"/>
    </row>
    <row r="64" spans="1:19" s="644" customFormat="1" ht="12" customHeight="1">
      <c r="A64" s="648"/>
      <c r="B64" s="1607" t="s">
        <v>1533</v>
      </c>
      <c r="C64" s="1607"/>
      <c r="D64" s="1607"/>
      <c r="E64" s="1607"/>
      <c r="F64" s="643"/>
      <c r="G64" s="643"/>
      <c r="H64" s="643"/>
      <c r="I64" s="814"/>
      <c r="J64" s="641"/>
      <c r="K64" s="641"/>
      <c r="L64" s="640"/>
      <c r="M64" s="640"/>
      <c r="N64" s="640"/>
      <c r="O64" s="640"/>
      <c r="P64" s="640" t="s">
        <v>1317</v>
      </c>
      <c r="Q64" s="640"/>
      <c r="R64" s="640"/>
      <c r="S64" s="640"/>
    </row>
    <row r="65" spans="1:19" ht="24.75" customHeight="1">
      <c r="A65" s="648"/>
      <c r="B65" s="1614" t="s">
        <v>1534</v>
      </c>
      <c r="C65" s="1614"/>
      <c r="D65" s="1614"/>
      <c r="E65" s="1614"/>
      <c r="F65" s="643"/>
      <c r="G65" s="643"/>
      <c r="H65" s="643"/>
      <c r="I65" s="814"/>
      <c r="P65" s="640" t="s">
        <v>1317</v>
      </c>
    </row>
    <row r="66" spans="1:19" ht="23.25" customHeight="1">
      <c r="A66" s="648"/>
      <c r="B66" s="1614" t="s">
        <v>1535</v>
      </c>
      <c r="C66" s="1614"/>
      <c r="D66" s="1614"/>
      <c r="E66" s="1614"/>
      <c r="F66" s="643"/>
      <c r="G66" s="643"/>
      <c r="H66" s="643"/>
      <c r="I66" s="814"/>
    </row>
    <row r="67" spans="1:19">
      <c r="A67" s="648"/>
      <c r="D67" s="982"/>
      <c r="E67" s="982"/>
      <c r="F67" s="643"/>
      <c r="G67" s="643"/>
      <c r="H67" s="643"/>
      <c r="I67" s="814"/>
    </row>
    <row r="68" spans="1:19">
      <c r="A68" s="648"/>
      <c r="B68" s="640" t="s">
        <v>1532</v>
      </c>
      <c r="D68" s="982"/>
      <c r="E68" s="982"/>
      <c r="F68" s="753">
        <f>+F69+F70+F71</f>
        <v>36693</v>
      </c>
      <c r="G68" s="753">
        <f>+G69+G70+G71</f>
        <v>0</v>
      </c>
      <c r="H68" s="753">
        <f>+H69+H70+H71</f>
        <v>36693</v>
      </c>
      <c r="I68" s="815"/>
    </row>
    <row r="69" spans="1:19" s="931" customFormat="1" ht="12" customHeight="1">
      <c r="A69" s="930"/>
      <c r="D69" s="932"/>
      <c r="E69" s="932" t="s">
        <v>976</v>
      </c>
      <c r="F69" s="933">
        <v>33433</v>
      </c>
      <c r="G69" s="933"/>
      <c r="H69" s="933">
        <f t="shared" ref="H69:H71" si="3">+F69+G69</f>
        <v>33433</v>
      </c>
      <c r="I69" s="934"/>
      <c r="J69" s="935">
        <f>+H69</f>
        <v>33433</v>
      </c>
      <c r="K69" s="935"/>
      <c r="L69" s="931" t="s">
        <v>1053</v>
      </c>
    </row>
    <row r="70" spans="1:19" s="931" customFormat="1" ht="12" customHeight="1">
      <c r="A70" s="930"/>
      <c r="D70" s="932"/>
      <c r="E70" s="932" t="s">
        <v>975</v>
      </c>
      <c r="F70" s="933">
        <v>3260</v>
      </c>
      <c r="G70" s="933"/>
      <c r="H70" s="933">
        <f t="shared" si="3"/>
        <v>3260</v>
      </c>
      <c r="I70" s="934"/>
      <c r="J70" s="935">
        <f>+H70</f>
        <v>3260</v>
      </c>
      <c r="K70" s="935"/>
      <c r="L70" s="931" t="s">
        <v>1053</v>
      </c>
    </row>
    <row r="71" spans="1:19" s="931" customFormat="1" ht="12" customHeight="1">
      <c r="A71" s="930"/>
      <c r="D71" s="932"/>
      <c r="E71" s="932" t="s">
        <v>1046</v>
      </c>
      <c r="F71" s="933">
        <v>0</v>
      </c>
      <c r="G71" s="933"/>
      <c r="H71" s="933">
        <f t="shared" si="3"/>
        <v>0</v>
      </c>
      <c r="I71" s="934"/>
      <c r="J71" s="935">
        <f>+ROUND(H71/1.27,0)</f>
        <v>0</v>
      </c>
      <c r="K71" s="935">
        <f>+H71-J71</f>
        <v>0</v>
      </c>
      <c r="L71" s="931" t="s">
        <v>1053</v>
      </c>
    </row>
    <row r="72" spans="1:19" ht="12" customHeight="1">
      <c r="A72" s="648"/>
      <c r="D72" s="982"/>
      <c r="E72" s="982"/>
      <c r="F72" s="643"/>
      <c r="G72" s="643"/>
      <c r="H72" s="643"/>
      <c r="I72" s="814"/>
    </row>
    <row r="73" spans="1:19" ht="12" customHeight="1">
      <c r="A73" s="648"/>
      <c r="B73" s="1607" t="s">
        <v>1531</v>
      </c>
      <c r="C73" s="1607"/>
      <c r="D73" s="1607"/>
      <c r="E73" s="1607"/>
      <c r="F73" s="929">
        <v>10000</v>
      </c>
      <c r="G73" s="929"/>
      <c r="H73" s="929">
        <f>+F73+G73</f>
        <v>10000</v>
      </c>
      <c r="I73" s="814"/>
      <c r="J73" s="641">
        <f>+ROUND(H73/1.27,0)</f>
        <v>7874</v>
      </c>
      <c r="K73" s="641">
        <f>+H73-J73</f>
        <v>2126</v>
      </c>
      <c r="L73" s="640" t="s">
        <v>1053</v>
      </c>
    </row>
    <row r="74" spans="1:19" ht="12" customHeight="1">
      <c r="A74" s="648"/>
      <c r="B74" s="979"/>
      <c r="C74" s="979"/>
      <c r="D74" s="979"/>
      <c r="E74" s="979"/>
      <c r="F74" s="929"/>
      <c r="G74" s="929"/>
      <c r="H74" s="929"/>
      <c r="I74" s="814"/>
    </row>
    <row r="75" spans="1:19" ht="12.75" thickBot="1">
      <c r="A75" s="648"/>
      <c r="B75" s="982"/>
      <c r="C75" s="982"/>
      <c r="D75" s="982"/>
      <c r="E75" s="982"/>
      <c r="F75" s="643"/>
      <c r="G75" s="643"/>
      <c r="H75" s="643"/>
      <c r="I75" s="814"/>
    </row>
    <row r="76" spans="1:19" ht="12.75" thickBot="1">
      <c r="A76" s="647" t="s">
        <v>5</v>
      </c>
      <c r="B76" s="644" t="s">
        <v>48</v>
      </c>
      <c r="C76" s="644"/>
      <c r="D76" s="752"/>
      <c r="E76" s="752"/>
      <c r="F76" s="1430">
        <f>+F78+F81+F83+F86+F89+F93+F99+F101</f>
        <v>65100.9</v>
      </c>
      <c r="G76" s="1431">
        <f>+G78+G81+G83+G86+G89+G93+G99+G101</f>
        <v>0</v>
      </c>
      <c r="H76" s="1432">
        <f>+H78+H81+H83+H86+H89+H93+H99+H101</f>
        <v>65100.9</v>
      </c>
      <c r="I76" s="754"/>
      <c r="J76" s="851"/>
      <c r="K76" s="851"/>
      <c r="M76" s="644"/>
      <c r="N76" s="644"/>
      <c r="O76" s="644"/>
      <c r="P76" s="644"/>
      <c r="Q76" s="644"/>
      <c r="R76" s="644"/>
      <c r="S76" s="644"/>
    </row>
    <row r="77" spans="1:19">
      <c r="A77" s="648"/>
      <c r="B77" s="982"/>
      <c r="C77" s="982"/>
      <c r="D77" s="982"/>
      <c r="E77" s="982"/>
      <c r="F77" s="643"/>
      <c r="G77" s="643"/>
      <c r="H77" s="643"/>
      <c r="I77" s="814"/>
    </row>
    <row r="78" spans="1:19">
      <c r="A78" s="751" t="s">
        <v>54</v>
      </c>
      <c r="B78" s="707" t="s">
        <v>775</v>
      </c>
      <c r="C78" s="980"/>
      <c r="D78" s="980"/>
      <c r="E78" s="980"/>
      <c r="F78" s="706">
        <v>700</v>
      </c>
      <c r="G78" s="706"/>
      <c r="H78" s="706">
        <f>+F78+G78</f>
        <v>700</v>
      </c>
      <c r="I78" s="754"/>
      <c r="J78" s="641">
        <f>+ROUND(H78/1.27,0)</f>
        <v>551</v>
      </c>
      <c r="K78" s="641">
        <f>+H78-J78</f>
        <v>149</v>
      </c>
      <c r="L78" s="640" t="s">
        <v>974</v>
      </c>
      <c r="N78" s="640" t="s">
        <v>1061</v>
      </c>
    </row>
    <row r="79" spans="1:19">
      <c r="A79" s="751"/>
      <c r="B79" s="1607" t="s">
        <v>1536</v>
      </c>
      <c r="C79" s="1607"/>
      <c r="D79" s="1607"/>
      <c r="E79" s="1607"/>
      <c r="F79" s="753"/>
      <c r="G79" s="753"/>
      <c r="H79" s="753"/>
      <c r="I79" s="754"/>
    </row>
    <row r="80" spans="1:19">
      <c r="A80" s="751"/>
      <c r="B80" s="979"/>
      <c r="C80" s="979"/>
      <c r="D80" s="979"/>
      <c r="E80" s="979"/>
      <c r="F80" s="753"/>
      <c r="G80" s="753"/>
      <c r="H80" s="753"/>
      <c r="I80" s="754"/>
    </row>
    <row r="81" spans="1:14">
      <c r="A81" s="751" t="s">
        <v>55</v>
      </c>
      <c r="B81" s="1608" t="s">
        <v>1322</v>
      </c>
      <c r="C81" s="1608"/>
      <c r="D81" s="1608"/>
      <c r="E81" s="1608"/>
      <c r="F81" s="706">
        <v>0</v>
      </c>
      <c r="G81" s="706"/>
      <c r="H81" s="706">
        <f>+F81+G81</f>
        <v>0</v>
      </c>
      <c r="I81" s="814"/>
      <c r="J81" s="641">
        <f>+H81</f>
        <v>0</v>
      </c>
      <c r="L81" s="640" t="s">
        <v>974</v>
      </c>
    </row>
    <row r="82" spans="1:14">
      <c r="A82" s="751"/>
      <c r="B82" s="979"/>
      <c r="C82" s="979"/>
      <c r="D82" s="979"/>
      <c r="E82" s="979"/>
      <c r="F82" s="643"/>
      <c r="G82" s="643"/>
      <c r="H82" s="643"/>
      <c r="I82" s="814"/>
    </row>
    <row r="83" spans="1:14">
      <c r="A83" s="751" t="s">
        <v>83</v>
      </c>
      <c r="B83" s="707" t="s">
        <v>1341</v>
      </c>
      <c r="C83" s="980"/>
      <c r="D83" s="980"/>
      <c r="E83" s="980"/>
      <c r="F83" s="706">
        <v>4900</v>
      </c>
      <c r="G83" s="706"/>
      <c r="H83" s="706">
        <f>+F83+G83</f>
        <v>4900</v>
      </c>
      <c r="I83" s="754"/>
      <c r="J83" s="641">
        <f>+H83</f>
        <v>4900</v>
      </c>
      <c r="L83" s="640" t="s">
        <v>974</v>
      </c>
    </row>
    <row r="84" spans="1:14" ht="26.25" customHeight="1">
      <c r="A84" s="647"/>
      <c r="B84" s="1609" t="s">
        <v>1537</v>
      </c>
      <c r="C84" s="1609"/>
      <c r="D84" s="1609"/>
      <c r="E84" s="1609"/>
      <c r="F84" s="643"/>
      <c r="G84" s="643"/>
      <c r="H84" s="643"/>
      <c r="I84" s="814"/>
    </row>
    <row r="85" spans="1:14">
      <c r="A85" s="751"/>
      <c r="B85" s="980"/>
      <c r="C85" s="980"/>
      <c r="D85" s="980"/>
      <c r="E85" s="980"/>
      <c r="F85" s="643"/>
      <c r="G85" s="643"/>
      <c r="H85" s="643"/>
      <c r="I85" s="814"/>
    </row>
    <row r="86" spans="1:14">
      <c r="A86" s="751" t="s">
        <v>84</v>
      </c>
      <c r="B86" s="707" t="s">
        <v>1337</v>
      </c>
      <c r="C86" s="980"/>
      <c r="D86" s="980"/>
      <c r="E86" s="980"/>
      <c r="F86" s="706">
        <f>310-10</f>
        <v>300</v>
      </c>
      <c r="G86" s="706"/>
      <c r="H86" s="706">
        <f>+F86+G86</f>
        <v>300</v>
      </c>
      <c r="I86" s="754"/>
      <c r="J86" s="641">
        <f>+ROUND(H86/1.27,0)</f>
        <v>236</v>
      </c>
      <c r="K86" s="641">
        <f>+H86-J86</f>
        <v>64</v>
      </c>
      <c r="L86" s="640" t="s">
        <v>1060</v>
      </c>
      <c r="N86" s="640" t="s">
        <v>1061</v>
      </c>
    </row>
    <row r="87" spans="1:14">
      <c r="A87" s="647"/>
      <c r="B87" s="1610" t="s">
        <v>826</v>
      </c>
      <c r="C87" s="1610"/>
      <c r="D87" s="1610"/>
      <c r="E87" s="1610"/>
      <c r="F87" s="643"/>
      <c r="G87" s="643"/>
      <c r="H87" s="643"/>
      <c r="I87" s="814"/>
    </row>
    <row r="88" spans="1:14">
      <c r="A88" s="751"/>
      <c r="B88" s="980"/>
      <c r="C88" s="980"/>
      <c r="D88" s="980"/>
      <c r="E88" s="980"/>
      <c r="F88" s="643"/>
      <c r="G88" s="643"/>
      <c r="H88" s="643"/>
      <c r="I88" s="814"/>
    </row>
    <row r="89" spans="1:14">
      <c r="A89" s="751" t="s">
        <v>85</v>
      </c>
      <c r="B89" s="707" t="s">
        <v>1338</v>
      </c>
      <c r="C89" s="980"/>
      <c r="D89" s="980"/>
      <c r="E89" s="980"/>
      <c r="F89" s="706">
        <f>+F90+F91</f>
        <v>7557</v>
      </c>
      <c r="G89" s="706">
        <f>+G90+G91</f>
        <v>0</v>
      </c>
      <c r="H89" s="706">
        <f>+H90+H91</f>
        <v>7557</v>
      </c>
      <c r="I89" s="754"/>
    </row>
    <row r="90" spans="1:14">
      <c r="A90" s="751"/>
      <c r="B90" s="937"/>
      <c r="C90" s="640" t="s">
        <v>1343</v>
      </c>
      <c r="D90" s="980"/>
      <c r="E90" s="980"/>
      <c r="F90" s="643">
        <f>3100+837</f>
        <v>3937</v>
      </c>
      <c r="G90" s="643"/>
      <c r="H90" s="643">
        <f t="shared" ref="H90:H91" si="4">+F90+G90</f>
        <v>3937</v>
      </c>
      <c r="I90" s="814"/>
      <c r="J90" s="641">
        <f>+ROUND(H90/1.27,0)</f>
        <v>3100</v>
      </c>
      <c r="K90" s="641">
        <f>+H90-J90</f>
        <v>837</v>
      </c>
      <c r="L90" s="640" t="s">
        <v>1049</v>
      </c>
      <c r="N90" s="640" t="s">
        <v>1061</v>
      </c>
    </row>
    <row r="91" spans="1:14">
      <c r="A91" s="751"/>
      <c r="B91" s="980"/>
      <c r="C91" s="640" t="s">
        <v>1344</v>
      </c>
      <c r="D91" s="980"/>
      <c r="E91" s="980"/>
      <c r="F91" s="643">
        <f>ROUND((1500+1350)*1.27,0)</f>
        <v>3620</v>
      </c>
      <c r="G91" s="643"/>
      <c r="H91" s="643">
        <f t="shared" si="4"/>
        <v>3620</v>
      </c>
      <c r="I91" s="814"/>
      <c r="J91" s="641">
        <f>+ROUND(H91/1.27,0)</f>
        <v>2850</v>
      </c>
      <c r="K91" s="641">
        <f>+H91-J91</f>
        <v>770</v>
      </c>
      <c r="L91" s="640" t="s">
        <v>1049</v>
      </c>
      <c r="N91" s="640" t="s">
        <v>1061</v>
      </c>
    </row>
    <row r="92" spans="1:14">
      <c r="A92" s="751"/>
      <c r="B92" s="980"/>
      <c r="C92" s="980"/>
      <c r="D92" s="980"/>
      <c r="E92" s="980"/>
      <c r="F92" s="643"/>
      <c r="G92" s="643"/>
      <c r="H92" s="643"/>
      <c r="I92" s="814"/>
    </row>
    <row r="93" spans="1:14">
      <c r="A93" s="751" t="s">
        <v>86</v>
      </c>
      <c r="B93" s="707" t="s">
        <v>1340</v>
      </c>
      <c r="C93" s="980"/>
      <c r="D93" s="980"/>
      <c r="E93" s="980"/>
      <c r="F93" s="706">
        <f>+F94+F95+F96+F97</f>
        <v>20143.900000000001</v>
      </c>
      <c r="G93" s="706">
        <f>+G94+G95+G96+G97</f>
        <v>0</v>
      </c>
      <c r="H93" s="706">
        <f>+H94+H95+H96+H97</f>
        <v>20143.900000000001</v>
      </c>
      <c r="I93" s="754"/>
    </row>
    <row r="94" spans="1:14">
      <c r="A94" s="751"/>
      <c r="B94" s="980"/>
      <c r="C94" s="640" t="s">
        <v>1538</v>
      </c>
      <c r="D94" s="980"/>
      <c r="E94" s="980"/>
      <c r="F94" s="643">
        <f>300*12*1.27</f>
        <v>4572</v>
      </c>
      <c r="G94" s="643"/>
      <c r="H94" s="643">
        <f t="shared" ref="H94:H97" si="5">+F94+G94</f>
        <v>4572</v>
      </c>
      <c r="I94" s="814"/>
      <c r="J94" s="641">
        <f>+ROUND(H94/1.27,0)</f>
        <v>3600</v>
      </c>
      <c r="K94" s="641">
        <f>+H94-J94</f>
        <v>972</v>
      </c>
      <c r="L94" s="640" t="s">
        <v>1060</v>
      </c>
      <c r="N94" s="640" t="s">
        <v>1061</v>
      </c>
    </row>
    <row r="95" spans="1:14">
      <c r="A95" s="751"/>
      <c r="B95" s="980"/>
      <c r="C95" s="640" t="s">
        <v>1539</v>
      </c>
      <c r="D95" s="980"/>
      <c r="E95" s="980"/>
      <c r="F95" s="643">
        <f>12*750*0.33*1.27</f>
        <v>3771.9</v>
      </c>
      <c r="G95" s="643"/>
      <c r="H95" s="643">
        <f t="shared" si="5"/>
        <v>3771.9</v>
      </c>
      <c r="I95" s="814"/>
      <c r="J95" s="641">
        <f>+ROUND(H95/1.27,0)</f>
        <v>2970</v>
      </c>
      <c r="K95" s="641">
        <f>+H95-J95</f>
        <v>801.90000000000009</v>
      </c>
      <c r="L95" s="640" t="s">
        <v>1060</v>
      </c>
    </row>
    <row r="96" spans="1:14">
      <c r="A96" s="751"/>
      <c r="B96" s="980"/>
      <c r="C96" s="640" t="s">
        <v>1540</v>
      </c>
      <c r="D96" s="980"/>
      <c r="E96" s="980"/>
      <c r="F96" s="643">
        <f>9000+300</f>
        <v>9300</v>
      </c>
      <c r="G96" s="643"/>
      <c r="H96" s="643">
        <f t="shared" si="5"/>
        <v>9300</v>
      </c>
      <c r="I96" s="814"/>
      <c r="J96" s="641">
        <f>+ROUND(H96/1.27,0)</f>
        <v>7323</v>
      </c>
      <c r="K96" s="641">
        <f>+H96-J96</f>
        <v>1977</v>
      </c>
      <c r="L96" s="640" t="s">
        <v>1060</v>
      </c>
      <c r="N96" s="640" t="s">
        <v>1061</v>
      </c>
    </row>
    <row r="97" spans="1:14">
      <c r="A97" s="751"/>
      <c r="B97" s="980"/>
      <c r="C97" s="640" t="s">
        <v>1541</v>
      </c>
      <c r="D97" s="980"/>
      <c r="E97" s="980"/>
      <c r="F97" s="643">
        <v>2500</v>
      </c>
      <c r="G97" s="643"/>
      <c r="H97" s="643">
        <f t="shared" si="5"/>
        <v>2500</v>
      </c>
      <c r="I97" s="814"/>
      <c r="J97" s="641">
        <f>+ROUND(H97/1.27,0)</f>
        <v>1969</v>
      </c>
      <c r="K97" s="641">
        <f>+H97-J97</f>
        <v>531</v>
      </c>
      <c r="L97" s="640" t="s">
        <v>1055</v>
      </c>
      <c r="N97" s="640" t="s">
        <v>1061</v>
      </c>
    </row>
    <row r="98" spans="1:14">
      <c r="A98" s="751"/>
      <c r="B98" s="980"/>
      <c r="C98" s="980"/>
      <c r="D98" s="980"/>
      <c r="E98" s="980"/>
      <c r="F98" s="643"/>
      <c r="G98" s="643"/>
      <c r="H98" s="643"/>
      <c r="I98" s="814"/>
    </row>
    <row r="99" spans="1:14">
      <c r="A99" s="751" t="s">
        <v>1070</v>
      </c>
      <c r="B99" s="707" t="s">
        <v>1323</v>
      </c>
      <c r="C99" s="980"/>
      <c r="D99" s="980"/>
      <c r="E99" s="980"/>
      <c r="F99" s="706">
        <v>30000</v>
      </c>
      <c r="G99" s="706"/>
      <c r="H99" s="706">
        <f>+F99+G99</f>
        <v>30000</v>
      </c>
      <c r="I99" s="754"/>
      <c r="J99" s="641">
        <f>+ROUND(H99/1.27,0)</f>
        <v>23622</v>
      </c>
      <c r="K99" s="641">
        <f>+H99-J99</f>
        <v>6378</v>
      </c>
      <c r="L99" s="640" t="s">
        <v>1060</v>
      </c>
    </row>
    <row r="100" spans="1:14">
      <c r="A100" s="751"/>
      <c r="B100" s="644"/>
      <c r="C100" s="980"/>
      <c r="D100" s="980"/>
      <c r="E100" s="980"/>
      <c r="F100" s="753"/>
      <c r="G100" s="753"/>
      <c r="H100" s="753"/>
      <c r="I100" s="754"/>
    </row>
    <row r="101" spans="1:14">
      <c r="A101" s="751" t="s">
        <v>1166</v>
      </c>
      <c r="B101" s="707" t="s">
        <v>1324</v>
      </c>
      <c r="C101" s="980"/>
      <c r="D101" s="980"/>
      <c r="E101" s="980"/>
      <c r="F101" s="706">
        <v>1500</v>
      </c>
      <c r="G101" s="706"/>
      <c r="H101" s="706">
        <f>+F101+G101</f>
        <v>1500</v>
      </c>
      <c r="I101" s="754"/>
      <c r="J101" s="641">
        <f>+ROUND(H101/1.27,0)</f>
        <v>1181</v>
      </c>
      <c r="K101" s="641">
        <f>+H101-J101</f>
        <v>319</v>
      </c>
      <c r="L101" s="640" t="s">
        <v>1339</v>
      </c>
      <c r="N101" s="640" t="s">
        <v>1061</v>
      </c>
    </row>
    <row r="102" spans="1:14">
      <c r="A102" s="648"/>
      <c r="B102" s="980"/>
      <c r="D102" s="980"/>
      <c r="E102" s="980"/>
      <c r="F102" s="643"/>
      <c r="G102" s="643"/>
      <c r="H102" s="643"/>
      <c r="I102" s="814"/>
      <c r="J102" s="640"/>
      <c r="K102" s="640"/>
    </row>
    <row r="103" spans="1:14">
      <c r="A103" s="648"/>
      <c r="B103" s="980"/>
      <c r="D103" s="980"/>
      <c r="E103" s="980"/>
      <c r="F103" s="643"/>
      <c r="G103" s="643"/>
      <c r="H103" s="643"/>
      <c r="I103" s="814"/>
    </row>
    <row r="104" spans="1:14">
      <c r="A104" s="647" t="s">
        <v>6</v>
      </c>
      <c r="B104" s="644" t="s">
        <v>953</v>
      </c>
      <c r="C104" s="707"/>
      <c r="D104" s="980"/>
      <c r="E104" s="980"/>
      <c r="F104" s="708">
        <f>F106+F108+F110+F112+F114+F116+F118+F120+F122+F124+F126</f>
        <v>445097</v>
      </c>
      <c r="G104" s="708">
        <f t="shared" ref="G104:H104" si="6">G106+G108+G110+G112+G114+G116+G118+G120+G122+G124+G126</f>
        <v>-1500</v>
      </c>
      <c r="H104" s="708">
        <f t="shared" si="6"/>
        <v>443597</v>
      </c>
      <c r="I104" s="928"/>
      <c r="J104" s="980"/>
    </row>
    <row r="105" spans="1:14">
      <c r="A105" s="647"/>
      <c r="B105" s="644"/>
      <c r="C105" s="707"/>
      <c r="D105" s="980"/>
      <c r="E105" s="980"/>
      <c r="F105" s="816"/>
      <c r="G105" s="816"/>
      <c r="H105" s="816"/>
      <c r="I105" s="928"/>
      <c r="J105" s="980"/>
    </row>
    <row r="106" spans="1:14" ht="36.75" customHeight="1">
      <c r="A106" s="649" t="s">
        <v>58</v>
      </c>
      <c r="B106" s="1607" t="s">
        <v>1542</v>
      </c>
      <c r="C106" s="1607"/>
      <c r="D106" s="1607"/>
      <c r="E106" s="1607"/>
      <c r="F106" s="1097">
        <v>50000</v>
      </c>
      <c r="G106" s="1097"/>
      <c r="H106" s="1097">
        <f>+F106+G106</f>
        <v>50000</v>
      </c>
      <c r="I106" s="641"/>
      <c r="J106" s="641">
        <f>+H106</f>
        <v>50000</v>
      </c>
      <c r="L106" s="640" t="s">
        <v>974</v>
      </c>
      <c r="M106" s="640" t="s">
        <v>1062</v>
      </c>
    </row>
    <row r="107" spans="1:14">
      <c r="I107" s="641"/>
      <c r="J107" s="640"/>
    </row>
    <row r="108" spans="1:14">
      <c r="A108" s="649" t="s">
        <v>59</v>
      </c>
      <c r="B108" s="1607" t="s">
        <v>1325</v>
      </c>
      <c r="C108" s="1607"/>
      <c r="D108" s="1607"/>
      <c r="E108" s="1607"/>
      <c r="F108" s="1097">
        <v>6000</v>
      </c>
      <c r="G108" s="1097">
        <v>-6000</v>
      </c>
      <c r="H108" s="1097">
        <f>+F108+G108</f>
        <v>0</v>
      </c>
      <c r="I108" s="641"/>
      <c r="J108" s="641">
        <f>+ROUND(H108/1.27,0)</f>
        <v>0</v>
      </c>
      <c r="K108" s="641">
        <f>+H108-J108</f>
        <v>0</v>
      </c>
      <c r="L108" s="640" t="s">
        <v>1054</v>
      </c>
      <c r="M108" s="640" t="s">
        <v>1063</v>
      </c>
    </row>
    <row r="109" spans="1:14">
      <c r="I109" s="641"/>
      <c r="J109" s="640"/>
    </row>
    <row r="110" spans="1:14" ht="27" customHeight="1">
      <c r="A110" s="649" t="s">
        <v>60</v>
      </c>
      <c r="B110" s="1607" t="s">
        <v>1543</v>
      </c>
      <c r="C110" s="1607"/>
      <c r="D110" s="1607"/>
      <c r="E110" s="1607"/>
      <c r="F110" s="1098">
        <f>10000-2653</f>
        <v>7347</v>
      </c>
      <c r="G110" s="1098"/>
      <c r="H110" s="1098">
        <f>+F110+G110</f>
        <v>7347</v>
      </c>
      <c r="I110" s="641"/>
      <c r="J110" s="641">
        <f>+ROUND(H110/1.27,0)</f>
        <v>5785</v>
      </c>
      <c r="K110" s="641">
        <f>+H110-J110</f>
        <v>1562</v>
      </c>
      <c r="L110" s="640" t="s">
        <v>819</v>
      </c>
      <c r="M110" s="640" t="s">
        <v>1062</v>
      </c>
    </row>
    <row r="111" spans="1:14">
      <c r="I111" s="641"/>
      <c r="J111" s="640"/>
    </row>
    <row r="112" spans="1:14">
      <c r="A112" s="649" t="s">
        <v>179</v>
      </c>
      <c r="B112" s="1607" t="s">
        <v>1546</v>
      </c>
      <c r="C112" s="1607"/>
      <c r="D112" s="1607"/>
      <c r="E112" s="1607"/>
      <c r="F112" s="1097">
        <v>10000</v>
      </c>
      <c r="G112" s="1097"/>
      <c r="H112" s="1097">
        <f>+F112+G112</f>
        <v>10000</v>
      </c>
      <c r="I112" s="641"/>
      <c r="J112" s="641">
        <f>+ROUND(H112/1.27,0)</f>
        <v>7874</v>
      </c>
      <c r="K112" s="641">
        <f>+H112-J112</f>
        <v>2126</v>
      </c>
      <c r="L112" s="640" t="s">
        <v>974</v>
      </c>
      <c r="M112" s="640" t="s">
        <v>1062</v>
      </c>
    </row>
    <row r="113" spans="1:13">
      <c r="I113" s="641"/>
      <c r="J113" s="640"/>
    </row>
    <row r="114" spans="1:13" ht="24" customHeight="1">
      <c r="A114" s="649" t="s">
        <v>180</v>
      </c>
      <c r="B114" s="1607" t="s">
        <v>1544</v>
      </c>
      <c r="C114" s="1607"/>
      <c r="D114" s="1607"/>
      <c r="E114" s="1607"/>
      <c r="F114" s="1097">
        <v>5000</v>
      </c>
      <c r="G114" s="1097"/>
      <c r="H114" s="1097">
        <f>+F114+G114</f>
        <v>5000</v>
      </c>
      <c r="I114" s="641"/>
      <c r="J114" s="641">
        <f>+ROUND(H114/1.27,0)</f>
        <v>3937</v>
      </c>
      <c r="K114" s="641">
        <f>+H114-J114</f>
        <v>1063</v>
      </c>
      <c r="L114" s="640" t="s">
        <v>974</v>
      </c>
      <c r="M114" s="640" t="s">
        <v>1069</v>
      </c>
    </row>
    <row r="115" spans="1:13">
      <c r="F115" s="936"/>
      <c r="G115" s="936"/>
      <c r="H115" s="936"/>
      <c r="I115" s="641"/>
      <c r="J115" s="640"/>
    </row>
    <row r="116" spans="1:13" ht="24.75" customHeight="1">
      <c r="A116" s="649" t="s">
        <v>777</v>
      </c>
      <c r="B116" s="1607" t="s">
        <v>1549</v>
      </c>
      <c r="C116" s="1607"/>
      <c r="D116" s="1607"/>
      <c r="E116" s="1607"/>
      <c r="F116" s="1098">
        <f>500-500+1000+1500-1500</f>
        <v>1000</v>
      </c>
      <c r="G116" s="1098">
        <v>-1000</v>
      </c>
      <c r="H116" s="1098">
        <f>+F116+G116</f>
        <v>0</v>
      </c>
      <c r="I116" s="641"/>
      <c r="J116" s="641">
        <f>+ROUND(H116/1.27,0)</f>
        <v>0</v>
      </c>
      <c r="K116" s="641">
        <f>+H116-J116</f>
        <v>0</v>
      </c>
      <c r="L116" s="640" t="s">
        <v>1326</v>
      </c>
      <c r="M116" s="640" t="s">
        <v>1069</v>
      </c>
    </row>
    <row r="117" spans="1:13">
      <c r="I117" s="641"/>
    </row>
    <row r="118" spans="1:13">
      <c r="A118" s="649" t="s">
        <v>950</v>
      </c>
      <c r="B118" s="1607" t="s">
        <v>1545</v>
      </c>
      <c r="C118" s="1607"/>
      <c r="D118" s="1607"/>
      <c r="E118" s="1607"/>
      <c r="F118" s="1098">
        <v>8500</v>
      </c>
      <c r="G118" s="1098"/>
      <c r="H118" s="1098">
        <f>+F118+G118</f>
        <v>8500</v>
      </c>
      <c r="J118" s="641">
        <f>+ROUND(H118/1.27,0)</f>
        <v>6693</v>
      </c>
      <c r="K118" s="641">
        <f>+H118-J118</f>
        <v>1807</v>
      </c>
      <c r="L118" s="640" t="s">
        <v>974</v>
      </c>
      <c r="M118" s="640" t="s">
        <v>1069</v>
      </c>
    </row>
    <row r="120" spans="1:13">
      <c r="A120" s="649" t="s">
        <v>951</v>
      </c>
      <c r="B120" s="1607" t="s">
        <v>1547</v>
      </c>
      <c r="C120" s="1607"/>
      <c r="D120" s="1607"/>
      <c r="E120" s="1607"/>
      <c r="F120" s="1097">
        <v>12000</v>
      </c>
      <c r="G120" s="1097">
        <v>-5000</v>
      </c>
      <c r="H120" s="1097">
        <f>+F120+G120</f>
        <v>7000</v>
      </c>
      <c r="J120" s="641">
        <f>+ROUND(H120,0)</f>
        <v>7000</v>
      </c>
      <c r="K120" s="641">
        <f>+H120-J120</f>
        <v>0</v>
      </c>
      <c r="M120" s="640" t="s">
        <v>1548</v>
      </c>
    </row>
    <row r="122" spans="1:13">
      <c r="A122" s="649" t="s">
        <v>952</v>
      </c>
      <c r="B122" s="1607" t="s">
        <v>1351</v>
      </c>
      <c r="C122" s="1607"/>
      <c r="D122" s="1607"/>
      <c r="E122" s="1607"/>
      <c r="F122" s="1098">
        <v>345250</v>
      </c>
      <c r="G122" s="1098"/>
      <c r="H122" s="1098">
        <f>+F122+G122</f>
        <v>345250</v>
      </c>
      <c r="I122" s="641"/>
      <c r="J122" s="641">
        <f>+ROUND(H122/1.27,0)</f>
        <v>271850</v>
      </c>
      <c r="K122" s="641">
        <f>+H122-J122</f>
        <v>73400</v>
      </c>
      <c r="L122" s="640" t="s">
        <v>1350</v>
      </c>
      <c r="M122" s="640" t="s">
        <v>1069</v>
      </c>
    </row>
    <row r="123" spans="1:13">
      <c r="F123" s="640"/>
      <c r="G123" s="640"/>
      <c r="H123" s="640"/>
      <c r="I123" s="641"/>
    </row>
    <row r="124" spans="1:13">
      <c r="A124" s="649" t="s">
        <v>1609</v>
      </c>
      <c r="B124" s="1607" t="s">
        <v>1612</v>
      </c>
      <c r="C124" s="1607"/>
      <c r="D124" s="1607"/>
      <c r="E124" s="1607"/>
      <c r="F124" s="1098"/>
      <c r="G124" s="1098">
        <v>4500</v>
      </c>
      <c r="H124" s="1098">
        <f>+F124+G124</f>
        <v>4500</v>
      </c>
      <c r="I124" s="641"/>
      <c r="J124" s="641">
        <f>+ROUND(H124/1.27,0)</f>
        <v>3543</v>
      </c>
      <c r="K124" s="641">
        <f>+H124-J124</f>
        <v>957</v>
      </c>
      <c r="L124" s="640" t="s">
        <v>1613</v>
      </c>
      <c r="M124" s="640" t="s">
        <v>1069</v>
      </c>
    </row>
    <row r="126" spans="1:13">
      <c r="A126" s="649" t="s">
        <v>1610</v>
      </c>
      <c r="B126" s="1607" t="s">
        <v>1611</v>
      </c>
      <c r="C126" s="1607"/>
      <c r="D126" s="1607"/>
      <c r="E126" s="1607"/>
      <c r="F126" s="1098"/>
      <c r="G126" s="1098">
        <f>3000+3000</f>
        <v>6000</v>
      </c>
      <c r="H126" s="1098">
        <f>+F126+G126</f>
        <v>6000</v>
      </c>
      <c r="I126" s="641"/>
      <c r="J126" s="641">
        <f>+ROUND(H126/1.27,0)</f>
        <v>4724</v>
      </c>
      <c r="K126" s="641">
        <f>+H126-J126</f>
        <v>1276</v>
      </c>
      <c r="L126" s="640" t="s">
        <v>1054</v>
      </c>
      <c r="M126" s="640" t="s">
        <v>1069</v>
      </c>
    </row>
  </sheetData>
  <mergeCells count="48">
    <mergeCell ref="B59:E59"/>
    <mergeCell ref="B64:E64"/>
    <mergeCell ref="B65:E65"/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  <mergeCell ref="A3:H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24:E24"/>
    <mergeCell ref="B14:E14"/>
    <mergeCell ref="B26:E26"/>
    <mergeCell ref="B33:E33"/>
    <mergeCell ref="B34:E34"/>
    <mergeCell ref="B47:E47"/>
    <mergeCell ref="B51:E51"/>
    <mergeCell ref="B48:E48"/>
    <mergeCell ref="B36:E36"/>
    <mergeCell ref="B42:E42"/>
    <mergeCell ref="B126:E126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  <mergeCell ref="B79:E79"/>
    <mergeCell ref="B81:E81"/>
    <mergeCell ref="B84:E84"/>
    <mergeCell ref="B87:E87"/>
    <mergeCell ref="B106:E106"/>
    <mergeCell ref="B108:E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Height="4" orientation="portrait" horizontalDpi="300" verticalDpi="300" r:id="rId1"/>
  <headerFooter>
    <oddHeader>&amp;C 1. függelék - &amp;P. oldal</oddHeader>
  </headerFooter>
  <rowBreaks count="1" manualBreakCount="1">
    <brk id="53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2" bestFit="1" customWidth="1"/>
    <col min="2" max="2" width="74.42578125" style="142" customWidth="1"/>
    <col min="3" max="3" width="9" style="142" customWidth="1"/>
    <col min="4" max="6" width="8.28515625" style="142" customWidth="1"/>
    <col min="7" max="16384" width="10.28515625" style="142"/>
  </cols>
  <sheetData>
    <row r="1" spans="1:6" s="140" customFormat="1" ht="15.75">
      <c r="F1" s="189" t="s">
        <v>811</v>
      </c>
    </row>
    <row r="2" spans="1:6" s="140" customFormat="1" ht="15.75">
      <c r="F2" s="189"/>
    </row>
    <row r="3" spans="1:6" s="688" customFormat="1" ht="32.25" customHeight="1">
      <c r="A3" s="1621" t="s">
        <v>1426</v>
      </c>
      <c r="B3" s="1621"/>
      <c r="C3" s="1621"/>
      <c r="D3" s="1621"/>
      <c r="E3" s="1621"/>
      <c r="F3" s="1621"/>
    </row>
    <row r="4" spans="1:6" s="197" customFormat="1">
      <c r="A4" s="685"/>
      <c r="B4" s="685"/>
      <c r="C4" s="685"/>
      <c r="D4" s="685"/>
      <c r="E4" s="685"/>
      <c r="F4" s="685"/>
    </row>
    <row r="5" spans="1:6" ht="12.75" thickBot="1">
      <c r="F5" s="239" t="s">
        <v>457</v>
      </c>
    </row>
    <row r="6" spans="1:6">
      <c r="A6" s="1622" t="s">
        <v>17</v>
      </c>
      <c r="B6" s="1624" t="s">
        <v>7</v>
      </c>
      <c r="C6" s="1626" t="s">
        <v>810</v>
      </c>
      <c r="D6" s="1627"/>
      <c r="E6" s="1627"/>
      <c r="F6" s="1628"/>
    </row>
    <row r="7" spans="1:6" s="686" customFormat="1" ht="12.75" thickBot="1">
      <c r="A7" s="1623"/>
      <c r="B7" s="1625"/>
      <c r="C7" s="950" t="s">
        <v>459</v>
      </c>
      <c r="D7" s="668" t="s">
        <v>460</v>
      </c>
      <c r="E7" s="668" t="s">
        <v>461</v>
      </c>
      <c r="F7" s="669" t="s">
        <v>462</v>
      </c>
    </row>
    <row r="8" spans="1:6" s="686" customFormat="1" ht="12.75" thickBot="1">
      <c r="A8" s="237">
        <v>1</v>
      </c>
      <c r="B8" s="236">
        <v>2</v>
      </c>
      <c r="C8" s="237">
        <v>3</v>
      </c>
      <c r="D8" s="240">
        <v>4</v>
      </c>
      <c r="E8" s="240">
        <v>5</v>
      </c>
      <c r="F8" s="236">
        <v>6</v>
      </c>
    </row>
    <row r="9" spans="1:6" s="686" customFormat="1">
      <c r="A9" s="670" t="s">
        <v>4</v>
      </c>
      <c r="B9" s="242" t="s">
        <v>964</v>
      </c>
      <c r="C9" s="671">
        <f>+'5.mell_adósság2020'!F8</f>
        <v>346002</v>
      </c>
      <c r="D9" s="243">
        <f>+'5.mell_adósság2020'!G8</f>
        <v>358112</v>
      </c>
      <c r="E9" s="243">
        <f>+'5.mell_adósság2020'!H8</f>
        <v>368855</v>
      </c>
      <c r="F9" s="672">
        <f>+'5.mell_adósság2020'!I8</f>
        <v>381396</v>
      </c>
    </row>
    <row r="10" spans="1:6" s="686" customFormat="1" ht="24">
      <c r="A10" s="673" t="s">
        <v>5</v>
      </c>
      <c r="B10" s="245" t="s">
        <v>841</v>
      </c>
      <c r="C10" s="671">
        <f>+'5.mell_adósság2020'!F9</f>
        <v>236</v>
      </c>
      <c r="D10" s="243">
        <f>+'5.mell_adósság2020'!G9</f>
        <v>236</v>
      </c>
      <c r="E10" s="243">
        <f>+'5.mell_adósság2020'!H9</f>
        <v>236</v>
      </c>
      <c r="F10" s="672">
        <f>+'5.mell_adósság2020'!I9</f>
        <v>236</v>
      </c>
    </row>
    <row r="11" spans="1:6" s="686" customFormat="1">
      <c r="A11" s="673" t="s">
        <v>6</v>
      </c>
      <c r="B11" s="245" t="s">
        <v>842</v>
      </c>
      <c r="C11" s="671">
        <f>+'5.mell_adósság2020'!F10</f>
        <v>0</v>
      </c>
      <c r="D11" s="243">
        <f>+'5.mell_adósság2020'!G10</f>
        <v>0</v>
      </c>
      <c r="E11" s="243">
        <f>+'5.mell_adósság2020'!H10</f>
        <v>0</v>
      </c>
      <c r="F11" s="672">
        <f>+'5.mell_adósság2020'!I10</f>
        <v>0</v>
      </c>
    </row>
    <row r="12" spans="1:6" s="686" customFormat="1" ht="24">
      <c r="A12" s="673" t="s">
        <v>3</v>
      </c>
      <c r="B12" s="245" t="s">
        <v>843</v>
      </c>
      <c r="C12" s="671">
        <f>+'5.mell_adósság2020'!F11</f>
        <v>40350</v>
      </c>
      <c r="D12" s="243">
        <f>+'5.mell_adósság2020'!G11</f>
        <v>350</v>
      </c>
      <c r="E12" s="243">
        <f>+'5.mell_adósság2020'!H11</f>
        <v>350</v>
      </c>
      <c r="F12" s="672">
        <f>+'5.mell_adósság2020'!I11</f>
        <v>350</v>
      </c>
    </row>
    <row r="13" spans="1:6" s="686" customFormat="1" ht="12.75">
      <c r="A13" s="673" t="s">
        <v>16</v>
      </c>
      <c r="B13" s="667" t="s">
        <v>844</v>
      </c>
      <c r="C13" s="671">
        <f>+'5.mell_adósság2020'!F12</f>
        <v>19453</v>
      </c>
      <c r="D13" s="243">
        <f>+'5.mell_adósság2020'!G12</f>
        <v>6900</v>
      </c>
      <c r="E13" s="243">
        <f>+'5.mell_adósság2020'!H12</f>
        <v>6900</v>
      </c>
      <c r="F13" s="672">
        <f>+'5.mell_adósság2020'!I12</f>
        <v>6900</v>
      </c>
    </row>
    <row r="14" spans="1:6" s="686" customFormat="1" ht="12.75" thickBot="1">
      <c r="A14" s="673" t="s">
        <v>15</v>
      </c>
      <c r="B14" s="248" t="s">
        <v>965</v>
      </c>
      <c r="C14" s="671">
        <f>+'5.mell_adósság2020'!F13</f>
        <v>0</v>
      </c>
      <c r="D14" s="243">
        <f>+'5.mell_adósság2020'!G13</f>
        <v>0</v>
      </c>
      <c r="E14" s="243">
        <f>+'5.mell_adósság2020'!H13</f>
        <v>0</v>
      </c>
      <c r="F14" s="672">
        <f>+'5.mell_adósság2020'!I13</f>
        <v>0</v>
      </c>
    </row>
    <row r="15" spans="1:6" s="687" customFormat="1" ht="12.75" thickBot="1">
      <c r="A15" s="674" t="s">
        <v>14</v>
      </c>
      <c r="B15" s="251" t="s">
        <v>848</v>
      </c>
      <c r="C15" s="675">
        <f>+C9+C10+C11+C12+C13+C14</f>
        <v>406041</v>
      </c>
      <c r="D15" s="253">
        <f t="shared" ref="D15:F15" si="0">+D9+D10+D11+D12+D13+D14</f>
        <v>365598</v>
      </c>
      <c r="E15" s="253">
        <f t="shared" si="0"/>
        <v>376341</v>
      </c>
      <c r="F15" s="676">
        <f t="shared" si="0"/>
        <v>388882</v>
      </c>
    </row>
    <row r="16" spans="1:6" s="687" customFormat="1" ht="12.75" thickBot="1">
      <c r="A16" s="674" t="s">
        <v>13</v>
      </c>
      <c r="B16" s="251" t="s">
        <v>847</v>
      </c>
      <c r="C16" s="675">
        <f>+ROUNDDOWN(C15*0.5,0)</f>
        <v>203020</v>
      </c>
      <c r="D16" s="253">
        <f t="shared" ref="D16:F16" si="1">+ROUNDDOWN(D15*0.5,0)</f>
        <v>182799</v>
      </c>
      <c r="E16" s="253">
        <f t="shared" si="1"/>
        <v>188170</v>
      </c>
      <c r="F16" s="676">
        <f t="shared" si="1"/>
        <v>194441</v>
      </c>
    </row>
    <row r="17" spans="1:6" s="687" customFormat="1" ht="12.75" thickBot="1">
      <c r="A17" s="674" t="s">
        <v>12</v>
      </c>
      <c r="B17" s="251" t="s">
        <v>856</v>
      </c>
      <c r="C17" s="675">
        <f>+C18+C19+C20+C21+C22+C23+C24+C25+C26</f>
        <v>52412</v>
      </c>
      <c r="D17" s="253">
        <f t="shared" ref="D17:F17" si="2">+D18+D19+D20+D21+D22+D23+D24+D25+D26</f>
        <v>28308</v>
      </c>
      <c r="E17" s="253">
        <f t="shared" si="2"/>
        <v>2000</v>
      </c>
      <c r="F17" s="676">
        <f t="shared" si="2"/>
        <v>2000</v>
      </c>
    </row>
    <row r="18" spans="1:6" s="686" customFormat="1">
      <c r="A18" s="670" t="s">
        <v>11</v>
      </c>
      <c r="B18" s="242" t="s">
        <v>465</v>
      </c>
      <c r="C18" s="677">
        <f>+'5.mell_adósság2020'!F17</f>
        <v>0</v>
      </c>
      <c r="D18" s="246">
        <f>+'5.mell_adósság2020'!G17</f>
        <v>0</v>
      </c>
      <c r="E18" s="246">
        <f>+'5.mell_adósság2020'!H17</f>
        <v>0</v>
      </c>
      <c r="F18" s="678">
        <f>+'5.mell_adósság2020'!I17</f>
        <v>0</v>
      </c>
    </row>
    <row r="19" spans="1:6" s="686" customFormat="1">
      <c r="A19" s="673" t="s">
        <v>10</v>
      </c>
      <c r="B19" s="245" t="s">
        <v>466</v>
      </c>
      <c r="C19" s="677">
        <f>+'5.mell_adósság2020'!F18</f>
        <v>0</v>
      </c>
      <c r="D19" s="246">
        <f>+'5.mell_adósság2020'!G18</f>
        <v>0</v>
      </c>
      <c r="E19" s="246">
        <f>+'5.mell_adósság2020'!H18</f>
        <v>0</v>
      </c>
      <c r="F19" s="678">
        <f>+'5.mell_adósság2020'!I18</f>
        <v>0</v>
      </c>
    </row>
    <row r="20" spans="1:6" s="686" customFormat="1">
      <c r="A20" s="673" t="s">
        <v>9</v>
      </c>
      <c r="B20" s="245" t="s">
        <v>467</v>
      </c>
      <c r="C20" s="677">
        <f>+'5.mell_adósság2020'!F19</f>
        <v>0</v>
      </c>
      <c r="D20" s="246">
        <f>+'5.mell_adósság2020'!G19</f>
        <v>0</v>
      </c>
      <c r="E20" s="246">
        <f>+'5.mell_adósság2020'!H19</f>
        <v>0</v>
      </c>
      <c r="F20" s="678">
        <f>+'5.mell_adósság2020'!I19</f>
        <v>0</v>
      </c>
    </row>
    <row r="21" spans="1:6" s="686" customFormat="1">
      <c r="A21" s="673" t="s">
        <v>45</v>
      </c>
      <c r="B21" s="245" t="s">
        <v>468</v>
      </c>
      <c r="C21" s="677">
        <f>+'5.mell_adósság2020'!F20</f>
        <v>0</v>
      </c>
      <c r="D21" s="246">
        <f>+'5.mell_adósság2020'!G20</f>
        <v>0</v>
      </c>
      <c r="E21" s="246">
        <f>+'5.mell_adósság2020'!H20</f>
        <v>0</v>
      </c>
      <c r="F21" s="678">
        <f>+'5.mell_adósság2020'!I20</f>
        <v>0</v>
      </c>
    </row>
    <row r="22" spans="1:6" s="686" customFormat="1">
      <c r="A22" s="673" t="s">
        <v>44</v>
      </c>
      <c r="B22" s="245" t="s">
        <v>469</v>
      </c>
      <c r="C22" s="677">
        <f>+'5.mell_adósság2020'!F21</f>
        <v>0</v>
      </c>
      <c r="D22" s="246">
        <f>+'5.mell_adósság2020'!G21</f>
        <v>0</v>
      </c>
      <c r="E22" s="246">
        <f>+'5.mell_adósság2020'!H21</f>
        <v>0</v>
      </c>
      <c r="F22" s="678">
        <f>+'5.mell_adósság2020'!I21</f>
        <v>0</v>
      </c>
    </row>
    <row r="23" spans="1:6" s="686" customFormat="1" ht="24">
      <c r="A23" s="673" t="s">
        <v>43</v>
      </c>
      <c r="B23" s="245" t="s">
        <v>850</v>
      </c>
      <c r="C23" s="677">
        <f>+'5.mell_adósság2020'!F22</f>
        <v>0</v>
      </c>
      <c r="D23" s="246">
        <f>+'5.mell_adósság2020'!G22</f>
        <v>0</v>
      </c>
      <c r="E23" s="246">
        <f>+'5.mell_adósság2020'!H22</f>
        <v>0</v>
      </c>
      <c r="F23" s="678">
        <f>+'5.mell_adósság2020'!I22</f>
        <v>0</v>
      </c>
    </row>
    <row r="24" spans="1:6" s="686" customFormat="1">
      <c r="A24" s="673" t="s">
        <v>40</v>
      </c>
      <c r="B24" s="245" t="s">
        <v>849</v>
      </c>
      <c r="C24" s="677">
        <f>+'5.mell_adósság2020'!F23</f>
        <v>52412</v>
      </c>
      <c r="D24" s="246">
        <f>+'5.mell_adósság2020'!G23</f>
        <v>28308</v>
      </c>
      <c r="E24" s="246">
        <f>+'5.mell_adósság2020'!H23</f>
        <v>2000</v>
      </c>
      <c r="F24" s="678">
        <f>+'5.mell_adósság2020'!I23</f>
        <v>2000</v>
      </c>
    </row>
    <row r="25" spans="1:6" s="686" customFormat="1" ht="24">
      <c r="A25" s="673" t="s">
        <v>39</v>
      </c>
      <c r="B25" s="255" t="s">
        <v>851</v>
      </c>
      <c r="C25" s="677">
        <f>+'5.mell_adósság2020'!F24</f>
        <v>0</v>
      </c>
      <c r="D25" s="246">
        <f>+'5.mell_adósság2020'!G24</f>
        <v>0</v>
      </c>
      <c r="E25" s="246">
        <f>+'5.mell_adósság2020'!H24</f>
        <v>0</v>
      </c>
      <c r="F25" s="678">
        <f>+'5.mell_adósság2020'!I24</f>
        <v>0</v>
      </c>
    </row>
    <row r="26" spans="1:6" s="686" customFormat="1" ht="12.75" thickBot="1">
      <c r="A26" s="679" t="s">
        <v>38</v>
      </c>
      <c r="B26" s="255" t="s">
        <v>966</v>
      </c>
      <c r="C26" s="677">
        <f>+'5.mell_adósság2020'!F25</f>
        <v>0</v>
      </c>
      <c r="D26" s="246">
        <f>+'5.mell_adósság2020'!G25</f>
        <v>0</v>
      </c>
      <c r="E26" s="246">
        <f>+'5.mell_adósság2020'!H25</f>
        <v>0</v>
      </c>
      <c r="F26" s="678">
        <f>+'5.mell_adósság2020'!I25</f>
        <v>0</v>
      </c>
    </row>
    <row r="27" spans="1:6" s="687" customFormat="1" ht="15" customHeight="1" thickBot="1">
      <c r="A27" s="674" t="s">
        <v>36</v>
      </c>
      <c r="B27" s="251" t="s">
        <v>857</v>
      </c>
      <c r="C27" s="675">
        <f>+C28+C29+C30+C31+C32+C33+C34+C35+C36</f>
        <v>0</v>
      </c>
      <c r="D27" s="253">
        <f t="shared" ref="D27:F27" si="3">+D28+D29+D30+D31+D32+D33+D34+D35+D36</f>
        <v>10000</v>
      </c>
      <c r="E27" s="253">
        <f t="shared" si="3"/>
        <v>0</v>
      </c>
      <c r="F27" s="676">
        <f t="shared" si="3"/>
        <v>0</v>
      </c>
    </row>
    <row r="28" spans="1:6" s="686" customFormat="1">
      <c r="A28" s="670" t="s">
        <v>35</v>
      </c>
      <c r="B28" s="242" t="s">
        <v>465</v>
      </c>
      <c r="C28" s="671">
        <f>+'5.mell_adósság2020'!F27</f>
        <v>0</v>
      </c>
      <c r="D28" s="243">
        <f>+'5.mell_adósság2020'!G27</f>
        <v>10000</v>
      </c>
      <c r="E28" s="243">
        <f>+'5.mell_adósság2020'!H27</f>
        <v>0</v>
      </c>
      <c r="F28" s="672">
        <f>+'5.mell_adósság2020'!I27</f>
        <v>0</v>
      </c>
    </row>
    <row r="29" spans="1:6">
      <c r="A29" s="673" t="s">
        <v>34</v>
      </c>
      <c r="B29" s="245" t="s">
        <v>466</v>
      </c>
      <c r="C29" s="677">
        <f>+'5.mell_adósság2020'!F28</f>
        <v>0</v>
      </c>
      <c r="D29" s="246">
        <f>+'5.mell_adósság2020'!G28</f>
        <v>0</v>
      </c>
      <c r="E29" s="246">
        <f>+'5.mell_adósság2020'!H28</f>
        <v>0</v>
      </c>
      <c r="F29" s="678">
        <f>+'5.mell_adósság2020'!I28</f>
        <v>0</v>
      </c>
    </row>
    <row r="30" spans="1:6">
      <c r="A30" s="673" t="s">
        <v>33</v>
      </c>
      <c r="B30" s="245" t="s">
        <v>467</v>
      </c>
      <c r="C30" s="677">
        <f>+'5.mell_adósság2020'!F29</f>
        <v>0</v>
      </c>
      <c r="D30" s="246">
        <f>+'5.mell_adósság2020'!G29</f>
        <v>0</v>
      </c>
      <c r="E30" s="246">
        <f>+'5.mell_adósság2020'!H29</f>
        <v>0</v>
      </c>
      <c r="F30" s="678">
        <f>+'5.mell_adósság2020'!I29</f>
        <v>0</v>
      </c>
    </row>
    <row r="31" spans="1:6" s="686" customFormat="1">
      <c r="A31" s="673" t="s">
        <v>32</v>
      </c>
      <c r="B31" s="245" t="s">
        <v>468</v>
      </c>
      <c r="C31" s="677">
        <f>+'5.mell_adósság2020'!F30</f>
        <v>0</v>
      </c>
      <c r="D31" s="246">
        <f>+'5.mell_adósság2020'!G30</f>
        <v>0</v>
      </c>
      <c r="E31" s="246">
        <f>+'5.mell_adósság2020'!H30</f>
        <v>0</v>
      </c>
      <c r="F31" s="678">
        <f>+'5.mell_adósság2020'!I30</f>
        <v>0</v>
      </c>
    </row>
    <row r="32" spans="1:6">
      <c r="A32" s="673" t="s">
        <v>470</v>
      </c>
      <c r="B32" s="245" t="s">
        <v>469</v>
      </c>
      <c r="C32" s="677">
        <f>+'5.mell_adósság2020'!F31</f>
        <v>0</v>
      </c>
      <c r="D32" s="246">
        <f>+'5.mell_adósság2020'!G31</f>
        <v>0</v>
      </c>
      <c r="E32" s="246">
        <f>+'5.mell_adósság2020'!H31</f>
        <v>0</v>
      </c>
      <c r="F32" s="678">
        <f>+'5.mell_adósság2020'!I31</f>
        <v>0</v>
      </c>
    </row>
    <row r="33" spans="1:6" ht="24">
      <c r="A33" s="673" t="s">
        <v>471</v>
      </c>
      <c r="B33" s="245" t="s">
        <v>850</v>
      </c>
      <c r="C33" s="677">
        <f>+'5.mell_adósság2020'!F32</f>
        <v>0</v>
      </c>
      <c r="D33" s="246">
        <f>+'5.mell_adósság2020'!G32</f>
        <v>0</v>
      </c>
      <c r="E33" s="246">
        <f>+'5.mell_adósság2020'!H32</f>
        <v>0</v>
      </c>
      <c r="F33" s="678">
        <f>+'5.mell_adósság2020'!I32</f>
        <v>0</v>
      </c>
    </row>
    <row r="34" spans="1:6">
      <c r="A34" s="673" t="s">
        <v>472</v>
      </c>
      <c r="B34" s="245" t="s">
        <v>849</v>
      </c>
      <c r="C34" s="677">
        <f>+'5.mell_adósság2020'!F33</f>
        <v>0</v>
      </c>
      <c r="D34" s="246">
        <f>+'5.mell_adósság2020'!G33</f>
        <v>0</v>
      </c>
      <c r="E34" s="246">
        <f>+'5.mell_adósság2020'!H33</f>
        <v>0</v>
      </c>
      <c r="F34" s="678">
        <f>+'5.mell_adósság2020'!I33</f>
        <v>0</v>
      </c>
    </row>
    <row r="35" spans="1:6" ht="24">
      <c r="A35" s="673" t="s">
        <v>473</v>
      </c>
      <c r="B35" s="255" t="s">
        <v>851</v>
      </c>
      <c r="C35" s="677">
        <f>+'5.mell_adósság2020'!F34</f>
        <v>0</v>
      </c>
      <c r="D35" s="246">
        <f>+'5.mell_adósság2020'!G34</f>
        <v>0</v>
      </c>
      <c r="E35" s="246">
        <f>+'5.mell_adósság2020'!H34</f>
        <v>0</v>
      </c>
      <c r="F35" s="678">
        <f>+'5.mell_adósság2020'!I34</f>
        <v>0</v>
      </c>
    </row>
    <row r="36" spans="1:6" ht="12.75" thickBot="1">
      <c r="A36" s="679" t="s">
        <v>486</v>
      </c>
      <c r="B36" s="255" t="s">
        <v>966</v>
      </c>
      <c r="C36" s="681">
        <f>+'5.mell_adósság2020'!F35</f>
        <v>0</v>
      </c>
      <c r="D36" s="249">
        <f>+'5.mell_adósság2020'!G35</f>
        <v>0</v>
      </c>
      <c r="E36" s="249">
        <f>+'5.mell_adósság2020'!H35</f>
        <v>0</v>
      </c>
      <c r="F36" s="680">
        <f>+'5.mell_adósság2020'!I35</f>
        <v>0</v>
      </c>
    </row>
    <row r="37" spans="1:6" s="197" customFormat="1" ht="12.75" thickBot="1">
      <c r="A37" s="674" t="s">
        <v>487</v>
      </c>
      <c r="B37" s="251" t="s">
        <v>854</v>
      </c>
      <c r="C37" s="675">
        <f>+C17+C27</f>
        <v>52412</v>
      </c>
      <c r="D37" s="253">
        <f t="shared" ref="D37:F37" si="4">+D17+D27</f>
        <v>38308</v>
      </c>
      <c r="E37" s="253">
        <f t="shared" si="4"/>
        <v>2000</v>
      </c>
      <c r="F37" s="676">
        <f t="shared" si="4"/>
        <v>2000</v>
      </c>
    </row>
    <row r="38" spans="1:6" s="197" customFormat="1" ht="12.75" thickBot="1">
      <c r="A38" s="682" t="s">
        <v>488</v>
      </c>
      <c r="B38" s="256" t="s">
        <v>855</v>
      </c>
      <c r="C38" s="683">
        <f>+C16-C37</f>
        <v>150608</v>
      </c>
      <c r="D38" s="257">
        <f t="shared" ref="D38:F38" si="5">+D16-D37</f>
        <v>144491</v>
      </c>
      <c r="E38" s="257">
        <f t="shared" si="5"/>
        <v>186170</v>
      </c>
      <c r="F38" s="684">
        <f t="shared" si="5"/>
        <v>192441</v>
      </c>
    </row>
    <row r="40" spans="1:6" hidden="1">
      <c r="C40" s="262">
        <f>+'5.mell_adósság2020'!F37</f>
        <v>150608</v>
      </c>
      <c r="D40" s="262">
        <f>+'5.mell_adósság2020'!G37</f>
        <v>144491</v>
      </c>
      <c r="E40" s="262">
        <f>+'5.mell_adósság2020'!H37</f>
        <v>186170</v>
      </c>
      <c r="F40" s="262">
        <f>+'5.mell_adósság2020'!I37</f>
        <v>192441</v>
      </c>
    </row>
    <row r="41" spans="1:6" hidden="1">
      <c r="C41" s="262">
        <f>+C38-C40</f>
        <v>0</v>
      </c>
      <c r="D41" s="262">
        <f t="shared" ref="D41:F41" si="6">+D38-D40</f>
        <v>0</v>
      </c>
      <c r="E41" s="262">
        <f t="shared" si="6"/>
        <v>0</v>
      </c>
      <c r="F41" s="262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C242"/>
  <sheetViews>
    <sheetView topLeftCell="A37"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10.5703125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47</v>
      </c>
    </row>
    <row r="2" spans="1:11" s="50" customFormat="1" ht="15.75"/>
    <row r="3" spans="1:11" s="52" customFormat="1" ht="15.7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1428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/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 t="shared" ref="C10" si="0">+C11+C25+C32+C44</f>
        <v>1593199</v>
      </c>
      <c r="D10" s="1170">
        <f t="shared" ref="D10" si="1">+D11+D25+D32+D44</f>
        <v>1743148</v>
      </c>
      <c r="E10" s="1170">
        <f t="shared" ref="E10" si="2">+E11+E25+E32+E44</f>
        <v>20604</v>
      </c>
      <c r="F10" s="130">
        <f t="shared" ref="F10" si="3">+F11+F25+F32+F44</f>
        <v>1763752</v>
      </c>
      <c r="G10" s="31">
        <f t="shared" ref="G10:I10" si="4">+G11+G25+G32+G44</f>
        <v>1710808</v>
      </c>
      <c r="H10" s="32">
        <f t="shared" si="4"/>
        <v>52944</v>
      </c>
      <c r="I10" s="33">
        <f t="shared" si="4"/>
        <v>0</v>
      </c>
      <c r="J10" s="689">
        <f>+F10/$F$102</f>
        <v>0.33909569457101441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 t="shared" ref="C11" si="5">+C12+C19+C20+C21+C22+C23</f>
        <v>992226</v>
      </c>
      <c r="D11" s="1171">
        <f t="shared" ref="D11" si="6">+D12+D19+D20+D21+D22+D23</f>
        <v>1185285</v>
      </c>
      <c r="E11" s="1171">
        <f t="shared" ref="E11" si="7">+E12+E19+E20+E21+E22+E23</f>
        <v>20604</v>
      </c>
      <c r="F11" s="29">
        <f t="shared" ref="F11" si="8">+F12+F19+F20+F21+F22+F23</f>
        <v>1205889</v>
      </c>
      <c r="G11" s="27">
        <f t="shared" ref="G11:I11" si="9">+G12+G19+G20+G21+G22+G23</f>
        <v>1202649</v>
      </c>
      <c r="H11" s="28">
        <f t="shared" si="9"/>
        <v>3240</v>
      </c>
      <c r="I11" s="29">
        <f t="shared" si="9"/>
        <v>0</v>
      </c>
      <c r="J11" s="689">
        <f>+F11/$F$102</f>
        <v>0.23184198687261359</v>
      </c>
      <c r="K11" s="3">
        <f t="shared" ref="K11:K74" si="10">+F11-G11-H11-I11</f>
        <v>0</v>
      </c>
    </row>
    <row r="12" spans="1:11" s="3" customFormat="1">
      <c r="A12" s="84" t="s">
        <v>54</v>
      </c>
      <c r="B12" s="65" t="s">
        <v>298</v>
      </c>
      <c r="C12" s="404">
        <f t="shared" ref="C12" si="11">+C13+C14+C15+C16+C17+C18</f>
        <v>917056</v>
      </c>
      <c r="D12" s="1172">
        <f t="shared" ref="D12" si="12">+D13+D14+D15+D16+D17+D18</f>
        <v>985221</v>
      </c>
      <c r="E12" s="1172">
        <f t="shared" ref="E12" si="13">+E13+E14+E15+E16+E17+E18</f>
        <v>19935</v>
      </c>
      <c r="F12" s="35">
        <f t="shared" ref="F12" si="14">+F13+F14+F15+F16+F17+F18</f>
        <v>1005156</v>
      </c>
      <c r="G12" s="18">
        <f t="shared" ref="G12:I12" si="15">+G13+G14+G15+G16+G17+G18</f>
        <v>1005156</v>
      </c>
      <c r="H12" s="9">
        <f t="shared" si="15"/>
        <v>0</v>
      </c>
      <c r="I12" s="14">
        <f t="shared" si="15"/>
        <v>0</v>
      </c>
      <c r="K12" s="4">
        <f t="shared" si="10"/>
        <v>0</v>
      </c>
    </row>
    <row r="13" spans="1:11" s="13" customFormat="1">
      <c r="A13" s="86" t="s">
        <v>189</v>
      </c>
      <c r="B13" s="66" t="s">
        <v>93</v>
      </c>
      <c r="C13" s="400">
        <f>+'1.1.mell._ÖNK_Mérleg2020'!C13+'1.2.mell._HKÖH_Mérleg2020'!C13+'1.3.mell._HVÓBKI_Mérleg2020'!C13+'1.4.mell._HKK_Mérleg2020'!C13+'1.5._mell._MŐSZ_Mérleg2020'!C13+'1.6._mell._HVGYKCSSZ_Mérleg2020'!C13</f>
        <v>221585</v>
      </c>
      <c r="D13" s="1173">
        <f>+'1.1.mell._ÖNK_Mérleg2020'!D13+'1.2.mell._HKÖH_Mérleg2020'!D13+'1.3.mell._HVÓBKI_Mérleg2020'!D13+'1.4.mell._HKK_Mérleg2020'!D13+'1.5._mell._MŐSZ_Mérleg2020'!D13+'1.6._mell._HVGYKCSSZ_Mérleg2020'!D13</f>
        <v>222376</v>
      </c>
      <c r="E13" s="1173">
        <f>+'1.1.mell._ÖNK_Mérleg2020'!E13+'1.2.mell._HKÖH_Mérleg2020'!E13+'1.3.mell._HVÓBKI_Mérleg2020'!E13+'1.4.mell._HKK_Mérleg2020'!E13+'1.5._mell._MŐSZ_Mérleg2020'!E13+'1.6._mell._HVGYKCSSZ_Mérleg2020'!E13</f>
        <v>0</v>
      </c>
      <c r="F13" s="15">
        <f>+'1.1.mell._ÖNK_Mérleg2020'!F13+'1.2.mell._HKÖH_Mérleg2020'!F13+'1.3.mell._HVÓBKI_Mérleg2020'!F13+'1.4.mell._HKK_Mérleg2020'!F13+'1.5._mell._MŐSZ_Mérleg2020'!F13+'1.6._mell._HVGYKCSSZ_Mérleg2020'!F13</f>
        <v>222376</v>
      </c>
      <c r="G13" s="19">
        <f>+'1.1.mell._ÖNK_Mérleg2020'!G13+'1.2.mell._HKÖH_Mérleg2020'!G13+'1.3.mell._HVÓBKI_Mérleg2020'!G13+'1.4.mell._HKK_Mérleg2020'!G13+'1.5._mell._MŐSZ_Mérleg2020'!G13+'1.6._mell._HVGYKCSSZ_Mérleg2020'!G13</f>
        <v>222376</v>
      </c>
      <c r="H13" s="12">
        <f>+'1.1.mell._ÖNK_Mérleg2020'!H13+'1.2.mell._HKÖH_Mérleg2020'!H13+'1.3.mell._HVÓBKI_Mérleg2020'!H13+'1.4.mell._HKK_Mérleg2020'!H13+'1.5._mell._MŐSZ_Mérleg2020'!H13+'1.6._mell._HVGYKCSSZ_Mérleg2020'!H13</f>
        <v>0</v>
      </c>
      <c r="I13" s="15">
        <f>+'1.1.mell._ÖNK_Mérleg2020'!I13+'1.2.mell._HKÖH_Mérleg2020'!I13+'1.3.mell._HVÓBKI_Mérleg2020'!I13+'1.4.mell._HKK_Mérleg2020'!I13+'1.5._mell._MŐSZ_Mérleg2020'!I13+'1.6._mell._HVGYKCSSZ_Mérleg2020'!I13</f>
        <v>0</v>
      </c>
      <c r="K13" s="13">
        <f t="shared" si="10"/>
        <v>0</v>
      </c>
    </row>
    <row r="14" spans="1:11" s="13" customFormat="1">
      <c r="A14" s="86" t="s">
        <v>190</v>
      </c>
      <c r="B14" s="66" t="s">
        <v>94</v>
      </c>
      <c r="C14" s="400">
        <f>+'1.1.mell._ÖNK_Mérleg2020'!C14+'1.2.mell._HKÖH_Mérleg2020'!C14+'1.3.mell._HVÓBKI_Mérleg2020'!C14+'1.4.mell._HKK_Mérleg2020'!C14+'1.5._mell._MŐSZ_Mérleg2020'!C14+'1.6._mell._HVGYKCSSZ_Mérleg2020'!C14</f>
        <v>238516</v>
      </c>
      <c r="D14" s="1173">
        <f>+'1.1.mell._ÖNK_Mérleg2020'!D14+'1.2.mell._HKÖH_Mérleg2020'!D14+'1.3.mell._HVÓBKI_Mérleg2020'!D14+'1.4.mell._HKK_Mérleg2020'!D14+'1.5._mell._MŐSZ_Mérleg2020'!D14+'1.6._mell._HVGYKCSSZ_Mérleg2020'!D14</f>
        <v>256541</v>
      </c>
      <c r="E14" s="1173">
        <f>+'1.1.mell._ÖNK_Mérleg2020'!E14+'1.2.mell._HKÖH_Mérleg2020'!E14+'1.3.mell._HVÓBKI_Mérleg2020'!E14+'1.4.mell._HKK_Mérleg2020'!E14+'1.5._mell._MŐSZ_Mérleg2020'!E14+'1.6._mell._HVGYKCSSZ_Mérleg2020'!E14</f>
        <v>2585</v>
      </c>
      <c r="F14" s="15">
        <f>+'1.1.mell._ÖNK_Mérleg2020'!F14+'1.2.mell._HKÖH_Mérleg2020'!F14+'1.3.mell._HVÓBKI_Mérleg2020'!F14+'1.4.mell._HKK_Mérleg2020'!F14+'1.5._mell._MŐSZ_Mérleg2020'!F14+'1.6._mell._HVGYKCSSZ_Mérleg2020'!F14</f>
        <v>259126</v>
      </c>
      <c r="G14" s="19">
        <f>+'1.1.mell._ÖNK_Mérleg2020'!G14+'1.2.mell._HKÖH_Mérleg2020'!G14+'1.3.mell._HVÓBKI_Mérleg2020'!G14+'1.4.mell._HKK_Mérleg2020'!G14+'1.5._mell._MŐSZ_Mérleg2020'!G14+'1.6._mell._HVGYKCSSZ_Mérleg2020'!G14</f>
        <v>259126</v>
      </c>
      <c r="H14" s="12">
        <f>+'1.1.mell._ÖNK_Mérleg2020'!H14+'1.2.mell._HKÖH_Mérleg2020'!H14+'1.3.mell._HVÓBKI_Mérleg2020'!H14+'1.4.mell._HKK_Mérleg2020'!H14+'1.5._mell._MŐSZ_Mérleg2020'!H14+'1.6._mell._HVGYKCSSZ_Mérleg2020'!H14</f>
        <v>0</v>
      </c>
      <c r="I14" s="15">
        <f>+'1.1.mell._ÖNK_Mérleg2020'!I14+'1.2.mell._HKÖH_Mérleg2020'!I14+'1.3.mell._HVÓBKI_Mérleg2020'!I14+'1.4.mell._HKK_Mérleg2020'!I14+'1.5._mell._MŐSZ_Mérleg2020'!I14+'1.6._mell._HVGYKCSSZ_Mérleg2020'!I14</f>
        <v>0</v>
      </c>
      <c r="K14" s="13">
        <f t="shared" si="10"/>
        <v>0</v>
      </c>
    </row>
    <row r="15" spans="1:11" s="13" customFormat="1">
      <c r="A15" s="86" t="s">
        <v>191</v>
      </c>
      <c r="B15" s="66" t="s">
        <v>95</v>
      </c>
      <c r="C15" s="400">
        <f>+'1.1.mell._ÖNK_Mérleg2020'!C15+'1.2.mell._HKÖH_Mérleg2020'!C15+'1.3.mell._HVÓBKI_Mérleg2020'!C15+'1.4.mell._HKK_Mérleg2020'!C15+'1.5._mell._MŐSZ_Mérleg2020'!C15+'1.6._mell._HVGYKCSSZ_Mérleg2020'!C15</f>
        <v>287846</v>
      </c>
      <c r="D15" s="1173">
        <f>+'1.1.mell._ÖNK_Mérleg2020'!D15+'1.2.mell._HKÖH_Mérleg2020'!D15+'1.3.mell._HVÓBKI_Mérleg2020'!D15+'1.4.mell._HKK_Mérleg2020'!D15+'1.5._mell._MŐSZ_Mérleg2020'!D15+'1.6._mell._HVGYKCSSZ_Mérleg2020'!D15</f>
        <v>297828</v>
      </c>
      <c r="E15" s="1173">
        <f>+'1.1.mell._ÖNK_Mérleg2020'!E15+'1.2.mell._HKÖH_Mérleg2020'!E15+'1.3.mell._HVÓBKI_Mérleg2020'!E15+'1.4.mell._HKK_Mérleg2020'!E15+'1.5._mell._MŐSZ_Mérleg2020'!E15+'1.6._mell._HVGYKCSSZ_Mérleg2020'!E15</f>
        <v>11695</v>
      </c>
      <c r="F15" s="15">
        <f>+'1.1.mell._ÖNK_Mérleg2020'!F15+'1.2.mell._HKÖH_Mérleg2020'!F15+'1.3.mell._HVÓBKI_Mérleg2020'!F15+'1.4.mell._HKK_Mérleg2020'!F15+'1.5._mell._MŐSZ_Mérleg2020'!F15+'1.6._mell._HVGYKCSSZ_Mérleg2020'!F15</f>
        <v>309523</v>
      </c>
      <c r="G15" s="19">
        <f>+'1.1.mell._ÖNK_Mérleg2020'!G15+'1.2.mell._HKÖH_Mérleg2020'!G15+'1.3.mell._HVÓBKI_Mérleg2020'!G15+'1.4.mell._HKK_Mérleg2020'!G15+'1.5._mell._MŐSZ_Mérleg2020'!G15+'1.6._mell._HVGYKCSSZ_Mérleg2020'!G15</f>
        <v>309523</v>
      </c>
      <c r="H15" s="12">
        <f>+'1.1.mell._ÖNK_Mérleg2020'!H15+'1.2.mell._HKÖH_Mérleg2020'!H15+'1.3.mell._HVÓBKI_Mérleg2020'!H15+'1.4.mell._HKK_Mérleg2020'!H15+'1.5._mell._MŐSZ_Mérleg2020'!H15+'1.6._mell._HVGYKCSSZ_Mérleg2020'!H15</f>
        <v>0</v>
      </c>
      <c r="I15" s="15">
        <f>+'1.1.mell._ÖNK_Mérleg2020'!I15+'1.2.mell._HKÖH_Mérleg2020'!I15+'1.3.mell._HVÓBKI_Mérleg2020'!I15+'1.4.mell._HKK_Mérleg2020'!I15+'1.5._mell._MŐSZ_Mérleg2020'!I15+'1.6._mell._HVGYKCSSZ_Mérleg2020'!I15</f>
        <v>0</v>
      </c>
      <c r="K15" s="13">
        <f t="shared" si="10"/>
        <v>0</v>
      </c>
    </row>
    <row r="16" spans="1:11" s="13" customFormat="1">
      <c r="A16" s="86" t="s">
        <v>192</v>
      </c>
      <c r="B16" s="66" t="s">
        <v>96</v>
      </c>
      <c r="C16" s="400">
        <f>+'1.1.mell._ÖNK_Mérleg2020'!C16+'1.2.mell._HKÖH_Mérleg2020'!C16+'1.3.mell._HVÓBKI_Mérleg2020'!C16+'1.4.mell._HKK_Mérleg2020'!C16+'1.5._mell._MŐSZ_Mérleg2020'!C16+'1.6._mell._HVGYKCSSZ_Mérleg2020'!C16</f>
        <v>13207</v>
      </c>
      <c r="D16" s="1173">
        <f>+'1.1.mell._ÖNK_Mérleg2020'!D16+'1.2.mell._HKÖH_Mérleg2020'!D16+'1.3.mell._HVÓBKI_Mérleg2020'!D16+'1.4.mell._HKK_Mérleg2020'!D16+'1.5._mell._MŐSZ_Mérleg2020'!D16+'1.6._mell._HVGYKCSSZ_Mérleg2020'!D16</f>
        <v>17747</v>
      </c>
      <c r="E16" s="1173">
        <f>+'1.1.mell._ÖNK_Mérleg2020'!E16+'1.2.mell._HKÖH_Mérleg2020'!E16+'1.3.mell._HVÓBKI_Mérleg2020'!E16+'1.4.mell._HKK_Mérleg2020'!E16+'1.5._mell._MŐSZ_Mérleg2020'!E16+'1.6._mell._HVGYKCSSZ_Mérleg2020'!E16</f>
        <v>0</v>
      </c>
      <c r="F16" s="15">
        <f>+'1.1.mell._ÖNK_Mérleg2020'!F16+'1.2.mell._HKÖH_Mérleg2020'!F16+'1.3.mell._HVÓBKI_Mérleg2020'!F16+'1.4.mell._HKK_Mérleg2020'!F16+'1.5._mell._MŐSZ_Mérleg2020'!F16+'1.6._mell._HVGYKCSSZ_Mérleg2020'!F16</f>
        <v>17747</v>
      </c>
      <c r="G16" s="19">
        <f>+'1.1.mell._ÖNK_Mérleg2020'!G16+'1.2.mell._HKÖH_Mérleg2020'!G16+'1.3.mell._HVÓBKI_Mérleg2020'!G16+'1.4.mell._HKK_Mérleg2020'!G16+'1.5._mell._MŐSZ_Mérleg2020'!G16+'1.6._mell._HVGYKCSSZ_Mérleg2020'!G16</f>
        <v>17747</v>
      </c>
      <c r="H16" s="12">
        <f>+'1.1.mell._ÖNK_Mérleg2020'!H16+'1.2.mell._HKÖH_Mérleg2020'!H16+'1.3.mell._HVÓBKI_Mérleg2020'!H16+'1.4.mell._HKK_Mérleg2020'!H16+'1.5._mell._MŐSZ_Mérleg2020'!H16+'1.6._mell._HVGYKCSSZ_Mérleg2020'!H16</f>
        <v>0</v>
      </c>
      <c r="I16" s="15">
        <f>+'1.1.mell._ÖNK_Mérleg2020'!I16+'1.2.mell._HKÖH_Mérleg2020'!I16+'1.3.mell._HVÓBKI_Mérleg2020'!I16+'1.4.mell._HKK_Mérleg2020'!I16+'1.5._mell._MŐSZ_Mérleg2020'!I16+'1.6._mell._HVGYKCSSZ_Mérleg2020'!I16</f>
        <v>0</v>
      </c>
      <c r="K16" s="13">
        <f t="shared" si="10"/>
        <v>0</v>
      </c>
    </row>
    <row r="17" spans="1:11" s="117" customFormat="1">
      <c r="A17" s="86" t="s">
        <v>193</v>
      </c>
      <c r="B17" s="66" t="s">
        <v>895</v>
      </c>
      <c r="C17" s="1166">
        <f>+'1.1.mell._ÖNK_Mérleg2020'!C17+'1.2.mell._HKÖH_Mérleg2020'!C17+'1.3.mell._HVÓBKI_Mérleg2020'!C17+'1.4.mell._HKK_Mérleg2020'!C17+'1.5._mell._MŐSZ_Mérleg2020'!C17+'1.6._mell._HVGYKCSSZ_Mérleg2020'!C17</f>
        <v>155902</v>
      </c>
      <c r="D17" s="1177">
        <f>+'1.1.mell._ÖNK_Mérleg2020'!D17+'1.2.mell._HKÖH_Mérleg2020'!D17+'1.3.mell._HVÓBKI_Mérleg2020'!D17+'1.4.mell._HKK_Mérleg2020'!D17+'1.5._mell._MŐSZ_Mérleg2020'!D17+'1.6._mell._HVGYKCSSZ_Mérleg2020'!D17</f>
        <v>190729</v>
      </c>
      <c r="E17" s="1177">
        <f>+'1.1.mell._ÖNK_Mérleg2020'!E17+'1.2.mell._HKÖH_Mérleg2020'!E17+'1.3.mell._HVÓBKI_Mérleg2020'!E17+'1.4.mell._HKK_Mérleg2020'!E17+'1.5._mell._MŐSZ_Mérleg2020'!E17+'1.6._mell._HVGYKCSSZ_Mérleg2020'!E17</f>
        <v>5655</v>
      </c>
      <c r="F17" s="722">
        <f>+'1.1.mell._ÖNK_Mérleg2020'!F17+'1.2.mell._HKÖH_Mérleg2020'!F17+'1.3.mell._HVÓBKI_Mérleg2020'!F17+'1.4.mell._HKK_Mérleg2020'!F17+'1.5._mell._MŐSZ_Mérleg2020'!F17+'1.6._mell._HVGYKCSSZ_Mérleg2020'!F17</f>
        <v>196384</v>
      </c>
      <c r="G17" s="720">
        <f>+'1.1.mell._ÖNK_Mérleg2020'!G17+'1.2.mell._HKÖH_Mérleg2020'!G17+'1.3.mell._HVÓBKI_Mérleg2020'!G17+'1.4.mell._HKK_Mérleg2020'!G17+'1.5._mell._MŐSZ_Mérleg2020'!G17+'1.6._mell._HVGYKCSSZ_Mérleg2020'!G17</f>
        <v>196384</v>
      </c>
      <c r="H17" s="721">
        <f>+'1.1.mell._ÖNK_Mérleg2020'!H17+'1.2.mell._HKÖH_Mérleg2020'!H17+'1.3.mell._HVÓBKI_Mérleg2020'!H17+'1.4.mell._HKK_Mérleg2020'!H17+'1.5._mell._MŐSZ_Mérleg2020'!H17+'1.6._mell._HVGYKCSSZ_Mérleg2020'!H17</f>
        <v>0</v>
      </c>
      <c r="I17" s="722">
        <f>+'1.1.mell._ÖNK_Mérleg2020'!I17+'1.2.mell._HKÖH_Mérleg2020'!I17+'1.3.mell._HVÓBKI_Mérleg2020'!I17+'1.4.mell._HKK_Mérleg2020'!I17+'1.5._mell._MŐSZ_Mérleg2020'!I17+'1.6._mell._HVGYKCSSZ_Mérleg2020'!I17</f>
        <v>0</v>
      </c>
      <c r="J17" s="689">
        <f>+F17/$F$102</f>
        <v>3.7756424306044215E-2</v>
      </c>
      <c r="K17" s="13">
        <f t="shared" si="10"/>
        <v>0</v>
      </c>
    </row>
    <row r="18" spans="1:11" s="117" customFormat="1">
      <c r="A18" s="86" t="s">
        <v>194</v>
      </c>
      <c r="B18" s="66" t="s">
        <v>896</v>
      </c>
      <c r="C18" s="1166">
        <f>+'1.1.mell._ÖNK_Mérleg2020'!C18+'1.2.mell._HKÖH_Mérleg2020'!C18+'1.3.mell._HVÓBKI_Mérleg2020'!C18+'1.4.mell._HKK_Mérleg2020'!C18+'1.5._mell._MŐSZ_Mérleg2020'!C18+'1.6._mell._HVGYKCSSZ_Mérleg2020'!C18</f>
        <v>0</v>
      </c>
      <c r="D18" s="1177">
        <f>+'1.1.mell._ÖNK_Mérleg2020'!D18+'1.2.mell._HKÖH_Mérleg2020'!D18+'1.3.mell._HVÓBKI_Mérleg2020'!D18+'1.4.mell._HKK_Mérleg2020'!D18+'1.5._mell._MŐSZ_Mérleg2020'!D18+'1.6._mell._HVGYKCSSZ_Mérleg2020'!D18</f>
        <v>0</v>
      </c>
      <c r="E18" s="1177">
        <f>+'1.1.mell._ÖNK_Mérleg2020'!E18+'1.2.mell._HKÖH_Mérleg2020'!E18+'1.3.mell._HVÓBKI_Mérleg2020'!E18+'1.4.mell._HKK_Mérleg2020'!E18+'1.5._mell._MŐSZ_Mérleg2020'!E18+'1.6._mell._HVGYKCSSZ_Mérleg2020'!E18</f>
        <v>0</v>
      </c>
      <c r="F18" s="722">
        <f>+'1.1.mell._ÖNK_Mérleg2020'!F18+'1.2.mell._HKÖH_Mérleg2020'!F18+'1.3.mell._HVÓBKI_Mérleg2020'!F18+'1.4.mell._HKK_Mérleg2020'!F18+'1.5._mell._MŐSZ_Mérleg2020'!F18+'1.6._mell._HVGYKCSSZ_Mérleg2020'!F18</f>
        <v>0</v>
      </c>
      <c r="G18" s="720">
        <f>+'1.1.mell._ÖNK_Mérleg2020'!G18+'1.2.mell._HKÖH_Mérleg2020'!G18+'1.3.mell._HVÓBKI_Mérleg2020'!G18+'1.4.mell._HKK_Mérleg2020'!G18+'1.5._mell._MŐSZ_Mérleg2020'!G18+'1.6._mell._HVGYKCSSZ_Mérleg2020'!G18</f>
        <v>0</v>
      </c>
      <c r="H18" s="721">
        <f>+'1.1.mell._ÖNK_Mérleg2020'!H18+'1.2.mell._HKÖH_Mérleg2020'!H18+'1.3.mell._HVÓBKI_Mérleg2020'!H18+'1.4.mell._HKK_Mérleg2020'!H18+'1.5._mell._MŐSZ_Mérleg2020'!H18+'1.6._mell._HVGYKCSSZ_Mérleg2020'!H18</f>
        <v>0</v>
      </c>
      <c r="I18" s="722">
        <f>+'1.1.mell._ÖNK_Mérleg2020'!I18+'1.2.mell._HKÖH_Mérleg2020'!I18+'1.3.mell._HVÓBKI_Mérleg2020'!I18+'1.4.mell._HKK_Mérleg2020'!I18+'1.5._mell._MŐSZ_Mérleg2020'!I18+'1.6._mell._HVGYKCSSZ_Mérleg2020'!I18</f>
        <v>0</v>
      </c>
      <c r="K18" s="13">
        <f t="shared" si="10"/>
        <v>0</v>
      </c>
    </row>
    <row r="19" spans="1:11">
      <c r="A19" s="85" t="s">
        <v>55</v>
      </c>
      <c r="B19" s="67" t="s">
        <v>97</v>
      </c>
      <c r="C19" s="402">
        <f>+'1.1.mell._ÖNK_Mérleg2020'!C19+'1.2.mell._HKÖH_Mérleg2020'!C19+'1.3.mell._HVÓBKI_Mérleg2020'!C19+'1.4.mell._HKK_Mérleg2020'!C19+'1.5._mell._MŐSZ_Mérleg2020'!C19+'1.6._mell._HVGYKCSSZ_Mérleg2020'!C19</f>
        <v>8014</v>
      </c>
      <c r="D19" s="1174">
        <f>+'1.1.mell._ÖNK_Mérleg2020'!D19+'1.2.mell._HKÖH_Mérleg2020'!D19+'1.3.mell._HVÓBKI_Mérleg2020'!D19+'1.4.mell._HKK_Mérleg2020'!D19+'1.5._mell._MŐSZ_Mérleg2020'!D19+'1.6._mell._HVGYKCSSZ_Mérleg2020'!D19</f>
        <v>32148</v>
      </c>
      <c r="E19" s="1174">
        <f>+'1.1.mell._ÖNK_Mérleg2020'!E19+'1.2.mell._HKÖH_Mérleg2020'!E19+'1.3.mell._HVÓBKI_Mérleg2020'!E19+'1.4.mell._HKK_Mérleg2020'!E19+'1.5._mell._MŐSZ_Mérleg2020'!E19+'1.6._mell._HVGYKCSSZ_Mérleg2020'!E19</f>
        <v>0</v>
      </c>
      <c r="F19" s="16">
        <f>+'1.1.mell._ÖNK_Mérleg2020'!F19+'1.2.mell._HKÖH_Mérleg2020'!F19+'1.3.mell._HVÓBKI_Mérleg2020'!F19+'1.4.mell._HKK_Mérleg2020'!F19+'1.5._mell._MŐSZ_Mérleg2020'!F19+'1.6._mell._HVGYKCSSZ_Mérleg2020'!F19</f>
        <v>32148</v>
      </c>
      <c r="G19" s="20">
        <f>+'1.1.mell._ÖNK_Mérleg2020'!G19+'1.2.mell._HKÖH_Mérleg2020'!G19+'1.3.mell._HVÓBKI_Mérleg2020'!G19+'1.4.mell._HKK_Mérleg2020'!G19+'1.5._mell._MŐSZ_Mérleg2020'!G19+'1.6._mell._HVGYKCSSZ_Mérleg2020'!G19</f>
        <v>32148</v>
      </c>
      <c r="H19" s="11">
        <f>+'1.1.mell._ÖNK_Mérleg2020'!H19+'1.2.mell._HKÖH_Mérleg2020'!H19+'1.3.mell._HVÓBKI_Mérleg2020'!H19+'1.4.mell._HKK_Mérleg2020'!H19+'1.5._mell._MŐSZ_Mérleg2020'!H19+'1.6._mell._HVGYKCSSZ_Mérleg2020'!H19</f>
        <v>0</v>
      </c>
      <c r="I19" s="16">
        <f>+'1.1.mell._ÖNK_Mérleg2020'!I19+'1.2.mell._HKÖH_Mérleg2020'!I19+'1.3.mell._HVÓBKI_Mérleg2020'!I19+'1.4.mell._HKK_Mérleg2020'!I19+'1.5._mell._MŐSZ_Mérleg2020'!I19+'1.6._mell._HVGYKCSSZ_Mérleg2020'!I19</f>
        <v>0</v>
      </c>
      <c r="K19" s="4">
        <f t="shared" si="10"/>
        <v>0</v>
      </c>
    </row>
    <row r="20" spans="1:11">
      <c r="A20" s="85" t="s">
        <v>83</v>
      </c>
      <c r="B20" s="67" t="s">
        <v>98</v>
      </c>
      <c r="C20" s="402">
        <f>+'1.1.mell._ÖNK_Mérleg2020'!C20+'1.2.mell._HKÖH_Mérleg2020'!C20+'1.3.mell._HVÓBKI_Mérleg2020'!C20+'1.4.mell._HKK_Mérleg2020'!C20+'1.5._mell._MŐSZ_Mérleg2020'!C20+'1.6._mell._HVGYKCSSZ_Mérleg2020'!C20</f>
        <v>0</v>
      </c>
      <c r="D20" s="1174">
        <f>+'1.1.mell._ÖNK_Mérleg2020'!D20+'1.2.mell._HKÖH_Mérleg2020'!D20+'1.3.mell._HVÓBKI_Mérleg2020'!D20+'1.4.mell._HKK_Mérleg2020'!D20+'1.5._mell._MŐSZ_Mérleg2020'!D20+'1.6._mell._HVGYKCSSZ_Mérleg2020'!D20</f>
        <v>0</v>
      </c>
      <c r="E20" s="1174">
        <f>+'1.1.mell._ÖNK_Mérleg2020'!E20+'1.2.mell._HKÖH_Mérleg2020'!E20+'1.3.mell._HVÓBKI_Mérleg2020'!E20+'1.4.mell._HKK_Mérleg2020'!E20+'1.5._mell._MŐSZ_Mérleg2020'!E20+'1.6._mell._HVGYKCSSZ_Mérleg2020'!E20</f>
        <v>0</v>
      </c>
      <c r="F20" s="16">
        <f>+'1.1.mell._ÖNK_Mérleg2020'!F20+'1.2.mell._HKÖH_Mérleg2020'!F20+'1.3.mell._HVÓBKI_Mérleg2020'!F20+'1.4.mell._HKK_Mérleg2020'!F20+'1.5._mell._MŐSZ_Mérleg2020'!F20+'1.6._mell._HVGYKCSSZ_Mérleg2020'!F20</f>
        <v>0</v>
      </c>
      <c r="G20" s="20">
        <f>+'1.1.mell._ÖNK_Mérleg2020'!G20+'1.2.mell._HKÖH_Mérleg2020'!G20+'1.3.mell._HVÓBKI_Mérleg2020'!G20+'1.4.mell._HKK_Mérleg2020'!G20+'1.5._mell._MŐSZ_Mérleg2020'!G20+'1.6._mell._HVGYKCSSZ_Mérleg2020'!G20</f>
        <v>0</v>
      </c>
      <c r="H20" s="11">
        <f>+'1.1.mell._ÖNK_Mérleg2020'!H20+'1.2.mell._HKÖH_Mérleg2020'!H20+'1.3.mell._HVÓBKI_Mérleg2020'!H20+'1.4.mell._HKK_Mérleg2020'!H20+'1.5._mell._MŐSZ_Mérleg2020'!H20+'1.6._mell._HVGYKCSSZ_Mérleg2020'!H20</f>
        <v>0</v>
      </c>
      <c r="I20" s="16">
        <f>+'1.1.mell._ÖNK_Mérleg2020'!I20+'1.2.mell._HKÖH_Mérleg2020'!I20+'1.3.mell._HVÓBKI_Mérleg2020'!I20+'1.4.mell._HKK_Mérleg2020'!I20+'1.5._mell._MŐSZ_Mérleg2020'!I20+'1.6._mell._HVGYKCSSZ_Mérleg2020'!I20</f>
        <v>0</v>
      </c>
      <c r="K20" s="4">
        <f t="shared" si="10"/>
        <v>0</v>
      </c>
    </row>
    <row r="21" spans="1:11">
      <c r="A21" s="85" t="s">
        <v>84</v>
      </c>
      <c r="B21" s="67" t="s">
        <v>99</v>
      </c>
      <c r="C21" s="402">
        <f>+'1.1.mell._ÖNK_Mérleg2020'!C21+'1.2.mell._HKÖH_Mérleg2020'!C21+'1.3.mell._HVÓBKI_Mérleg2020'!C21+'1.4.mell._HKK_Mérleg2020'!C21+'1.5._mell._MŐSZ_Mérleg2020'!C21+'1.6._mell._HVGYKCSSZ_Mérleg2020'!C21</f>
        <v>0</v>
      </c>
      <c r="D21" s="1174">
        <f>+'1.1.mell._ÖNK_Mérleg2020'!D21+'1.2.mell._HKÖH_Mérleg2020'!D21+'1.3.mell._HVÓBKI_Mérleg2020'!D21+'1.4.mell._HKK_Mérleg2020'!D21+'1.5._mell._MŐSZ_Mérleg2020'!D21+'1.6._mell._HVGYKCSSZ_Mérleg2020'!D21</f>
        <v>0</v>
      </c>
      <c r="E21" s="1174">
        <f>+'1.1.mell._ÖNK_Mérleg2020'!E21+'1.2.mell._HKÖH_Mérleg2020'!E21+'1.3.mell._HVÓBKI_Mérleg2020'!E21+'1.4.mell._HKK_Mérleg2020'!E21+'1.5._mell._MŐSZ_Mérleg2020'!E21+'1.6._mell._HVGYKCSSZ_Mérleg2020'!E21</f>
        <v>0</v>
      </c>
      <c r="F21" s="16">
        <f>+'1.1.mell._ÖNK_Mérleg2020'!F21+'1.2.mell._HKÖH_Mérleg2020'!F21+'1.3.mell._HVÓBKI_Mérleg2020'!F21+'1.4.mell._HKK_Mérleg2020'!F21+'1.5._mell._MŐSZ_Mérleg2020'!F21+'1.6._mell._HVGYKCSSZ_Mérleg2020'!F21</f>
        <v>0</v>
      </c>
      <c r="G21" s="20">
        <f>+'1.1.mell._ÖNK_Mérleg2020'!G21+'1.2.mell._HKÖH_Mérleg2020'!G21+'1.3.mell._HVÓBKI_Mérleg2020'!G21+'1.4.mell._HKK_Mérleg2020'!G21+'1.5._mell._MŐSZ_Mérleg2020'!G21+'1.6._mell._HVGYKCSSZ_Mérleg2020'!G21</f>
        <v>0</v>
      </c>
      <c r="H21" s="11">
        <f>+'1.1.mell._ÖNK_Mérleg2020'!H21+'1.2.mell._HKÖH_Mérleg2020'!H21+'1.3.mell._HVÓBKI_Mérleg2020'!H21+'1.4.mell._HKK_Mérleg2020'!H21+'1.5._mell._MŐSZ_Mérleg2020'!H21+'1.6._mell._HVGYKCSSZ_Mérleg2020'!H21</f>
        <v>0</v>
      </c>
      <c r="I21" s="16">
        <f>+'1.1.mell._ÖNK_Mérleg2020'!I21+'1.2.mell._HKÖH_Mérleg2020'!I21+'1.3.mell._HVÓBKI_Mérleg2020'!I21+'1.4.mell._HKK_Mérleg2020'!I21+'1.5._mell._MŐSZ_Mérleg2020'!I21+'1.6._mell._HVGYKCSSZ_Mérleg2020'!I21</f>
        <v>0</v>
      </c>
      <c r="K21" s="4">
        <f t="shared" si="10"/>
        <v>0</v>
      </c>
    </row>
    <row r="22" spans="1:11">
      <c r="A22" s="85" t="s">
        <v>85</v>
      </c>
      <c r="B22" s="67" t="s">
        <v>100</v>
      </c>
      <c r="C22" s="402">
        <f>+'1.1.mell._ÖNK_Mérleg2020'!C22+'1.2.mell._HKÖH_Mérleg2020'!C22+'1.3.mell._HVÓBKI_Mérleg2020'!C22+'1.4.mell._HKK_Mérleg2020'!C22+'1.5._mell._MŐSZ_Mérleg2020'!C22+'1.6._mell._HVGYKCSSZ_Mérleg2020'!C22</f>
        <v>0</v>
      </c>
      <c r="D22" s="1174">
        <f>+'1.1.mell._ÖNK_Mérleg2020'!D22+'1.2.mell._HKÖH_Mérleg2020'!D22+'1.3.mell._HVÓBKI_Mérleg2020'!D22+'1.4.mell._HKK_Mérleg2020'!D22+'1.5._mell._MŐSZ_Mérleg2020'!D22+'1.6._mell._HVGYKCSSZ_Mérleg2020'!D22</f>
        <v>0</v>
      </c>
      <c r="E22" s="1174">
        <f>+'1.1.mell._ÖNK_Mérleg2020'!E22+'1.2.mell._HKÖH_Mérleg2020'!E22+'1.3.mell._HVÓBKI_Mérleg2020'!E22+'1.4.mell._HKK_Mérleg2020'!E22+'1.5._mell._MŐSZ_Mérleg2020'!E22+'1.6._mell._HVGYKCSSZ_Mérleg2020'!E22</f>
        <v>0</v>
      </c>
      <c r="F22" s="16">
        <f>+'1.1.mell._ÖNK_Mérleg2020'!F22+'1.2.mell._HKÖH_Mérleg2020'!F22+'1.3.mell._HVÓBKI_Mérleg2020'!F22+'1.4.mell._HKK_Mérleg2020'!F22+'1.5._mell._MŐSZ_Mérleg2020'!F22+'1.6._mell._HVGYKCSSZ_Mérleg2020'!F22</f>
        <v>0</v>
      </c>
      <c r="G22" s="20">
        <f>+'1.1.mell._ÖNK_Mérleg2020'!G22+'1.2.mell._HKÖH_Mérleg2020'!G22+'1.3.mell._HVÓBKI_Mérleg2020'!G22+'1.4.mell._HKK_Mérleg2020'!G22+'1.5._mell._MŐSZ_Mérleg2020'!G22+'1.6._mell._HVGYKCSSZ_Mérleg2020'!G22</f>
        <v>0</v>
      </c>
      <c r="H22" s="11">
        <f>+'1.1.mell._ÖNK_Mérleg2020'!H22+'1.2.mell._HKÖH_Mérleg2020'!H22+'1.3.mell._HVÓBKI_Mérleg2020'!H22+'1.4.mell._HKK_Mérleg2020'!H22+'1.5._mell._MŐSZ_Mérleg2020'!H22+'1.6._mell._HVGYKCSSZ_Mérleg2020'!H22</f>
        <v>0</v>
      </c>
      <c r="I22" s="16">
        <f>+'1.1.mell._ÖNK_Mérleg2020'!I22+'1.2.mell._HKÖH_Mérleg2020'!I22+'1.3.mell._HVÓBKI_Mérleg2020'!I22+'1.4.mell._HKK_Mérleg2020'!I22+'1.5._mell._MŐSZ_Mérleg2020'!I22+'1.6._mell._HVGYKCSSZ_Mérleg2020'!I22</f>
        <v>0</v>
      </c>
      <c r="K22" s="4">
        <f t="shared" si="10"/>
        <v>0</v>
      </c>
    </row>
    <row r="23" spans="1:11">
      <c r="A23" s="78" t="s">
        <v>86</v>
      </c>
      <c r="B23" s="68" t="s">
        <v>101</v>
      </c>
      <c r="C23" s="403">
        <f>+'1.1.mell._ÖNK_Mérleg2020'!C23+'1.2.mell._HKÖH_Mérleg2020'!C23+'1.3.mell._HVÓBKI_Mérleg2020'!C23+'1.4.mell._HKK_Mérleg2020'!C23+'1.5._mell._MŐSZ_Mérleg2020'!C23+'1.6._mell._HVGYKCSSZ_Mérleg2020'!C23</f>
        <v>67156</v>
      </c>
      <c r="D23" s="1175">
        <f>+'1.1.mell._ÖNK_Mérleg2020'!D23+'1.2.mell._HKÖH_Mérleg2020'!D23+'1.3.mell._HVÓBKI_Mérleg2020'!D23+'1.4.mell._HKK_Mérleg2020'!D23+'1.5._mell._MŐSZ_Mérleg2020'!D23+'1.6._mell._HVGYKCSSZ_Mérleg2020'!D23</f>
        <v>167916</v>
      </c>
      <c r="E23" s="1175">
        <f>+'1.1.mell._ÖNK_Mérleg2020'!E23+'1.2.mell._HKÖH_Mérleg2020'!E23+'1.3.mell._HVÓBKI_Mérleg2020'!E23+'1.4.mell._HKK_Mérleg2020'!E23+'1.5._mell._MŐSZ_Mérleg2020'!E23+'1.6._mell._HVGYKCSSZ_Mérleg2020'!E23</f>
        <v>669</v>
      </c>
      <c r="F23" s="23">
        <f>+'1.1.mell._ÖNK_Mérleg2020'!F23+'1.2.mell._HKÖH_Mérleg2020'!F23+'1.3.mell._HVÓBKI_Mérleg2020'!F23+'1.4.mell._HKK_Mérleg2020'!F23+'1.5._mell._MŐSZ_Mérleg2020'!F23+'1.6._mell._HVGYKCSSZ_Mérleg2020'!F23</f>
        <v>168585</v>
      </c>
      <c r="G23" s="21">
        <f>+'1.1.mell._ÖNK_Mérleg2020'!G23+'1.2.mell._HKÖH_Mérleg2020'!G23+'1.3.mell._HVÓBKI_Mérleg2020'!G23+'1.4.mell._HKK_Mérleg2020'!G23+'1.5._mell._MŐSZ_Mérleg2020'!G23+'1.6._mell._HVGYKCSSZ_Mérleg2020'!G23</f>
        <v>165345</v>
      </c>
      <c r="H23" s="22">
        <f>+'1.1.mell._ÖNK_Mérleg2020'!H23+'1.2.mell._HKÖH_Mérleg2020'!H23+'1.3.mell._HVÓBKI_Mérleg2020'!H23+'1.4.mell._HKK_Mérleg2020'!H23+'1.5._mell._MŐSZ_Mérleg2020'!H23+'1.6._mell._HVGYKCSSZ_Mérleg2020'!H23</f>
        <v>3240</v>
      </c>
      <c r="I23" s="23">
        <f>+'1.1.mell._ÖNK_Mérleg2020'!I23+'1.2.mell._HKÖH_Mérleg2020'!I23+'1.3.mell._HVÓBKI_Mérleg2020'!I23+'1.4.mell._HKK_Mérleg2020'!I23+'1.5._mell._MŐSZ_Mérleg2020'!I23+'1.6._mell._HVGYKCSSZ_Mérleg2020'!I23</f>
        <v>0</v>
      </c>
      <c r="K23" s="4">
        <f t="shared" si="10"/>
        <v>0</v>
      </c>
    </row>
    <row r="24" spans="1:11" s="13" customFormat="1" ht="12.75" thickBot="1">
      <c r="A24" s="89" t="s">
        <v>331</v>
      </c>
      <c r="B24" s="787" t="s">
        <v>332</v>
      </c>
      <c r="C24" s="401">
        <f>+'1.1.mell._ÖNK_Mérleg2020'!C24+'1.2.mell._HKÖH_Mérleg2020'!C24+'1.3.mell._HVÓBKI_Mérleg2020'!C24+'1.4.mell._HKK_Mérleg2020'!C24+'1.5._mell._MŐSZ_Mérleg2020'!C24+'1.6._mell._HVGYKCSSZ_Mérleg2020'!C24</f>
        <v>0</v>
      </c>
      <c r="D24" s="1176">
        <f>+'1.1.mell._ÖNK_Mérleg2020'!D24+'1.2.mell._HKÖH_Mérleg2020'!D24+'1.3.mell._HVÓBKI_Mérleg2020'!D24+'1.4.mell._HKK_Mérleg2020'!D24+'1.5._mell._MŐSZ_Mérleg2020'!D24+'1.6._mell._HVGYKCSSZ_Mérleg2020'!D24</f>
        <v>0</v>
      </c>
      <c r="E24" s="1176">
        <f>+'1.1.mell._ÖNK_Mérleg2020'!E24+'1.2.mell._HKÖH_Mérleg2020'!E24+'1.3.mell._HVÓBKI_Mérleg2020'!E24+'1.4.mell._HKK_Mérleg2020'!E24+'1.5._mell._MŐSZ_Mérleg2020'!E24+'1.6._mell._HVGYKCSSZ_Mérleg2020'!E24</f>
        <v>0</v>
      </c>
      <c r="F24" s="44">
        <f>+'1.1.mell._ÖNK_Mérleg2020'!F24+'1.2.mell._HKÖH_Mérleg2020'!F24+'1.3.mell._HVÓBKI_Mérleg2020'!F24+'1.4.mell._HKK_Mérleg2020'!F24+'1.5._mell._MŐSZ_Mérleg2020'!F24+'1.6._mell._HVGYKCSSZ_Mérleg2020'!F24</f>
        <v>0</v>
      </c>
      <c r="G24" s="45">
        <f>+'1.1.mell._ÖNK_Mérleg2020'!G24+'1.2.mell._HKÖH_Mérleg2020'!G24+'1.3.mell._HVÓBKI_Mérleg2020'!G24+'1.4.mell._HKK_Mérleg2020'!G24+'1.5._mell._MŐSZ_Mérleg2020'!G24+'1.6._mell._HVGYKCSSZ_Mérleg2020'!G24</f>
        <v>0</v>
      </c>
      <c r="H24" s="43">
        <f>+'1.1.mell._ÖNK_Mérleg2020'!H24+'1.2.mell._HKÖH_Mérleg2020'!H24+'1.3.mell._HVÓBKI_Mérleg2020'!H24+'1.4.mell._HKK_Mérleg2020'!H24+'1.5._mell._MŐSZ_Mérleg2020'!H24+'1.6._mell._HVGYKCSSZ_Mérleg2020'!H24</f>
        <v>0</v>
      </c>
      <c r="I24" s="44">
        <f>+'1.1.mell._ÖNK_Mérleg2020'!I24+'1.2.mell._HKÖH_Mérleg2020'!I24+'1.3.mell._HVÓBKI_Mérleg2020'!I24+'1.4.mell._HKK_Mérleg2020'!I24+'1.5._mell._MŐSZ_Mérleg2020'!I24+'1.6._mell._HVGYKCSSZ_Mérleg2020'!I24</f>
        <v>0</v>
      </c>
      <c r="K24" s="13">
        <f t="shared" si="1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 t="shared" ref="C25" si="16">+C26+C27+C28+C29+C30+C31</f>
        <v>414105</v>
      </c>
      <c r="D25" s="1171">
        <f t="shared" ref="D25" si="17">+D26+D27+D28+D29+D30+D31</f>
        <v>365505</v>
      </c>
      <c r="E25" s="1171">
        <f t="shared" ref="E25" si="18">+E26+E27+E28+E29+E30+E31</f>
        <v>0</v>
      </c>
      <c r="F25" s="29">
        <f t="shared" ref="F25" si="19">+F26+F27+F28+F29+F30+F31</f>
        <v>365505</v>
      </c>
      <c r="G25" s="27">
        <f t="shared" ref="G25:I25" si="20">+G26+G27+G28+G29+G30+G31</f>
        <v>347952</v>
      </c>
      <c r="H25" s="28">
        <f t="shared" si="20"/>
        <v>17553</v>
      </c>
      <c r="I25" s="29">
        <f t="shared" si="20"/>
        <v>0</v>
      </c>
      <c r="J25" s="689">
        <f>+F25/$F$102</f>
        <v>7.0271314699673543E-2</v>
      </c>
      <c r="K25" s="3">
        <f t="shared" si="10"/>
        <v>0</v>
      </c>
    </row>
    <row r="26" spans="1:11" ht="12.75" customHeight="1">
      <c r="A26" s="84" t="s">
        <v>58</v>
      </c>
      <c r="B26" s="65" t="s">
        <v>102</v>
      </c>
      <c r="C26" s="404">
        <f>+'1.1.mell._ÖNK_Mérleg2020'!C26+'1.2.mell._HKÖH_Mérleg2020'!C26+'1.3.mell._HVÓBKI_Mérleg2020'!C26+'1.4.mell._HKK_Mérleg2020'!C26+'1.5._mell._MŐSZ_Mérleg2020'!C26+'1.6._mell._HVGYKCSSZ_Mérleg2020'!C26</f>
        <v>50</v>
      </c>
      <c r="D26" s="1172">
        <f>+'1.1.mell._ÖNK_Mérleg2020'!D26+'1.2.mell._HKÖH_Mérleg2020'!D26+'1.3.mell._HVÓBKI_Mérleg2020'!D26+'1.4.mell._HKK_Mérleg2020'!D26+'1.5._mell._MŐSZ_Mérleg2020'!D26+'1.6._mell._HVGYKCSSZ_Mérleg2020'!D26</f>
        <v>50</v>
      </c>
      <c r="E26" s="1172">
        <f>+'1.1.mell._ÖNK_Mérleg2020'!E26+'1.2.mell._HKÖH_Mérleg2020'!E26+'1.3.mell._HVÓBKI_Mérleg2020'!E26+'1.4.mell._HKK_Mérleg2020'!E26+'1.5._mell._MŐSZ_Mérleg2020'!E26+'1.6._mell._HVGYKCSSZ_Mérleg2020'!E26</f>
        <v>0</v>
      </c>
      <c r="F26" s="35">
        <f>+'1.1.mell._ÖNK_Mérleg2020'!F26+'1.2.mell._HKÖH_Mérleg2020'!F26+'1.3.mell._HVÓBKI_Mérleg2020'!F26+'1.4.mell._HKK_Mérleg2020'!F26+'1.5._mell._MŐSZ_Mérleg2020'!F26+'1.6._mell._HVGYKCSSZ_Mérleg2020'!F26</f>
        <v>50</v>
      </c>
      <c r="G26" s="34">
        <f>+'1.1.mell._ÖNK_Mérleg2020'!G26+'1.2.mell._HKÖH_Mérleg2020'!G26+'1.3.mell._HVÓBKI_Mérleg2020'!G26+'1.4.mell._HKK_Mérleg2020'!G26+'1.5._mell._MŐSZ_Mérleg2020'!G26+'1.6._mell._HVGYKCSSZ_Mérleg2020'!G26</f>
        <v>50</v>
      </c>
      <c r="H26" s="10">
        <f>+'1.1.mell._ÖNK_Mérleg2020'!H26+'1.2.mell._HKÖH_Mérleg2020'!H26+'1.3.mell._HVÓBKI_Mérleg2020'!H26+'1.4.mell._HKK_Mérleg2020'!H26+'1.5._mell._MŐSZ_Mérleg2020'!H26+'1.6._mell._HVGYKCSSZ_Mérleg2020'!H26</f>
        <v>0</v>
      </c>
      <c r="I26" s="35">
        <f>+'1.1.mell._ÖNK_Mérleg2020'!I26+'1.2.mell._HKÖH_Mérleg2020'!I26+'1.3.mell._HVÓBKI_Mérleg2020'!I26+'1.4.mell._HKK_Mérleg2020'!I26+'1.5._mell._MŐSZ_Mérleg2020'!I26+'1.6._mell._HVGYKCSSZ_Mérleg2020'!I26</f>
        <v>0</v>
      </c>
      <c r="K26" s="4">
        <f t="shared" si="10"/>
        <v>0</v>
      </c>
    </row>
    <row r="27" spans="1:11" ht="12.75" customHeight="1">
      <c r="A27" s="85" t="s">
        <v>59</v>
      </c>
      <c r="B27" s="67" t="s">
        <v>103</v>
      </c>
      <c r="C27" s="402">
        <f>+'1.1.mell._ÖNK_Mérleg2020'!C27+'1.2.mell._HKÖH_Mérleg2020'!C27+'1.3.mell._HVÓBKI_Mérleg2020'!C27+'1.4.mell._HKK_Mérleg2020'!C27+'1.5._mell._MŐSZ_Mérleg2020'!C27+'1.6._mell._HVGYKCSSZ_Mérleg2020'!C27</f>
        <v>0</v>
      </c>
      <c r="D27" s="1174">
        <f>+'1.1.mell._ÖNK_Mérleg2020'!D27+'1.2.mell._HKÖH_Mérleg2020'!D27+'1.3.mell._HVÓBKI_Mérleg2020'!D27+'1.4.mell._HKK_Mérleg2020'!D27+'1.5._mell._MŐSZ_Mérleg2020'!D27+'1.6._mell._HVGYKCSSZ_Mérleg2020'!D27</f>
        <v>0</v>
      </c>
      <c r="E27" s="1174">
        <f>+'1.1.mell._ÖNK_Mérleg2020'!E27+'1.2.mell._HKÖH_Mérleg2020'!E27+'1.3.mell._HVÓBKI_Mérleg2020'!E27+'1.4.mell._HKK_Mérleg2020'!E27+'1.5._mell._MŐSZ_Mérleg2020'!E27+'1.6._mell._HVGYKCSSZ_Mérleg2020'!E27</f>
        <v>0</v>
      </c>
      <c r="F27" s="16">
        <f>+'1.1.mell._ÖNK_Mérleg2020'!F27+'1.2.mell._HKÖH_Mérleg2020'!F27+'1.3.mell._HVÓBKI_Mérleg2020'!F27+'1.4.mell._HKK_Mérleg2020'!F27+'1.5._mell._MŐSZ_Mérleg2020'!F27+'1.6._mell._HVGYKCSSZ_Mérleg2020'!F27</f>
        <v>0</v>
      </c>
      <c r="G27" s="20">
        <f>+'1.1.mell._ÖNK_Mérleg2020'!G27+'1.2.mell._HKÖH_Mérleg2020'!G27+'1.3.mell._HVÓBKI_Mérleg2020'!G27+'1.4.mell._HKK_Mérleg2020'!G27+'1.5._mell._MŐSZ_Mérleg2020'!G27+'1.6._mell._HVGYKCSSZ_Mérleg2020'!G27</f>
        <v>0</v>
      </c>
      <c r="H27" s="11">
        <f>+'1.1.mell._ÖNK_Mérleg2020'!H27+'1.2.mell._HKÖH_Mérleg2020'!H27+'1.3.mell._HVÓBKI_Mérleg2020'!H27+'1.4.mell._HKK_Mérleg2020'!H27+'1.5._mell._MŐSZ_Mérleg2020'!H27+'1.6._mell._HVGYKCSSZ_Mérleg2020'!H27</f>
        <v>0</v>
      </c>
      <c r="I27" s="16">
        <f>+'1.1.mell._ÖNK_Mérleg2020'!I27+'1.2.mell._HKÖH_Mérleg2020'!I27+'1.3.mell._HVÓBKI_Mérleg2020'!I27+'1.4.mell._HKK_Mérleg2020'!I27+'1.5._mell._MŐSZ_Mérleg2020'!I27+'1.6._mell._HVGYKCSSZ_Mérleg2020'!I27</f>
        <v>0</v>
      </c>
      <c r="K27" s="4">
        <f t="shared" si="10"/>
        <v>0</v>
      </c>
    </row>
    <row r="28" spans="1:11" ht="12.75" customHeight="1">
      <c r="A28" s="85" t="s">
        <v>60</v>
      </c>
      <c r="B28" s="67" t="s">
        <v>104</v>
      </c>
      <c r="C28" s="402">
        <f>+'1.1.mell._ÖNK_Mérleg2020'!C28+'1.2.mell._HKÖH_Mérleg2020'!C28+'1.3.mell._HVÓBKI_Mérleg2020'!C28+'1.4.mell._HKK_Mérleg2020'!C28+'1.5._mell._MŐSZ_Mérleg2020'!C28+'1.6._mell._HVGYKCSSZ_Mérleg2020'!C28</f>
        <v>0</v>
      </c>
      <c r="D28" s="1174">
        <f>+'1.1.mell._ÖNK_Mérleg2020'!D28+'1.2.mell._HKÖH_Mérleg2020'!D28+'1.3.mell._HVÓBKI_Mérleg2020'!D28+'1.4.mell._HKK_Mérleg2020'!D28+'1.5._mell._MŐSZ_Mérleg2020'!D28+'1.6._mell._HVGYKCSSZ_Mérleg2020'!D28</f>
        <v>0</v>
      </c>
      <c r="E28" s="1174">
        <f>+'1.1.mell._ÖNK_Mérleg2020'!E28+'1.2.mell._HKÖH_Mérleg2020'!E28+'1.3.mell._HVÓBKI_Mérleg2020'!E28+'1.4.mell._HKK_Mérleg2020'!E28+'1.5._mell._MŐSZ_Mérleg2020'!E28+'1.6._mell._HVGYKCSSZ_Mérleg2020'!E28</f>
        <v>0</v>
      </c>
      <c r="F28" s="16">
        <f>+'1.1.mell._ÖNK_Mérleg2020'!F28+'1.2.mell._HKÖH_Mérleg2020'!F28+'1.3.mell._HVÓBKI_Mérleg2020'!F28+'1.4.mell._HKK_Mérleg2020'!F28+'1.5._mell._MŐSZ_Mérleg2020'!F28+'1.6._mell._HVGYKCSSZ_Mérleg2020'!F28</f>
        <v>0</v>
      </c>
      <c r="G28" s="20">
        <f>+'1.1.mell._ÖNK_Mérleg2020'!G28+'1.2.mell._HKÖH_Mérleg2020'!G28+'1.3.mell._HVÓBKI_Mérleg2020'!G28+'1.4.mell._HKK_Mérleg2020'!G28+'1.5._mell._MŐSZ_Mérleg2020'!G28+'1.6._mell._HVGYKCSSZ_Mérleg2020'!G28</f>
        <v>0</v>
      </c>
      <c r="H28" s="11">
        <f>+'1.1.mell._ÖNK_Mérleg2020'!H28+'1.2.mell._HKÖH_Mérleg2020'!H28+'1.3.mell._HVÓBKI_Mérleg2020'!H28+'1.4.mell._HKK_Mérleg2020'!H28+'1.5._mell._MŐSZ_Mérleg2020'!H28+'1.6._mell._HVGYKCSSZ_Mérleg2020'!H28</f>
        <v>0</v>
      </c>
      <c r="I28" s="16">
        <f>+'1.1.mell._ÖNK_Mérleg2020'!I28+'1.2.mell._HKÖH_Mérleg2020'!I28+'1.3.mell._HVÓBKI_Mérleg2020'!I28+'1.4.mell._HKK_Mérleg2020'!I28+'1.5._mell._MŐSZ_Mérleg2020'!I28+'1.6._mell._HVGYKCSSZ_Mérleg2020'!I28</f>
        <v>0</v>
      </c>
      <c r="K28" s="4">
        <f t="shared" si="10"/>
        <v>0</v>
      </c>
    </row>
    <row r="29" spans="1:11" ht="12.75" customHeight="1">
      <c r="A29" s="85" t="s">
        <v>179</v>
      </c>
      <c r="B29" s="67" t="s">
        <v>105</v>
      </c>
      <c r="C29" s="402">
        <f>+'1.1.mell._ÖNK_Mérleg2020'!C29+'1.2.mell._HKÖH_Mérleg2020'!C29+'1.3.mell._HVÓBKI_Mérleg2020'!C29+'1.4.mell._HKK_Mérleg2020'!C29+'1.5._mell._MŐSZ_Mérleg2020'!C29+'1.6._mell._HVGYKCSSZ_Mérleg2020'!C29</f>
        <v>66952</v>
      </c>
      <c r="D29" s="1174">
        <f>+'1.1.mell._ÖNK_Mérleg2020'!D29+'1.2.mell._HKÖH_Mérleg2020'!D29+'1.3.mell._HVÓBKI_Mérleg2020'!D29+'1.4.mell._HKK_Mérleg2020'!D29+'1.5._mell._MŐSZ_Mérleg2020'!D29+'1.6._mell._HVGYKCSSZ_Mérleg2020'!D29</f>
        <v>65852</v>
      </c>
      <c r="E29" s="1174">
        <f>+'1.1.mell._ÖNK_Mérleg2020'!E29+'1.2.mell._HKÖH_Mérleg2020'!E29+'1.3.mell._HVÓBKI_Mérleg2020'!E29+'1.4.mell._HKK_Mérleg2020'!E29+'1.5._mell._MŐSZ_Mérleg2020'!E29+'1.6._mell._HVGYKCSSZ_Mérleg2020'!E29</f>
        <v>0</v>
      </c>
      <c r="F29" s="16">
        <f>+'1.1.mell._ÖNK_Mérleg2020'!F29+'1.2.mell._HKÖH_Mérleg2020'!F29+'1.3.mell._HVÓBKI_Mérleg2020'!F29+'1.4.mell._HKK_Mérleg2020'!F29+'1.5._mell._MŐSZ_Mérleg2020'!F29+'1.6._mell._HVGYKCSSZ_Mérleg2020'!F29</f>
        <v>65852</v>
      </c>
      <c r="G29" s="20">
        <f>+'1.1.mell._ÖNK_Mérleg2020'!G29+'1.2.mell._HKÖH_Mérleg2020'!G29+'1.3.mell._HVÓBKI_Mérleg2020'!G29+'1.4.mell._HKK_Mérleg2020'!G29+'1.5._mell._MŐSZ_Mérleg2020'!G29+'1.6._mell._HVGYKCSSZ_Mérleg2020'!G29</f>
        <v>65852</v>
      </c>
      <c r="H29" s="11">
        <f>+'1.1.mell._ÖNK_Mérleg2020'!H29+'1.2.mell._HKÖH_Mérleg2020'!H29+'1.3.mell._HVÓBKI_Mérleg2020'!H29+'1.4.mell._HKK_Mérleg2020'!H29+'1.5._mell._MŐSZ_Mérleg2020'!H29+'1.6._mell._HVGYKCSSZ_Mérleg2020'!H29</f>
        <v>0</v>
      </c>
      <c r="I29" s="16">
        <f>+'1.1.mell._ÖNK_Mérleg2020'!I29+'1.2.mell._HKÖH_Mérleg2020'!I29+'1.3.mell._HVÓBKI_Mérleg2020'!I29+'1.4.mell._HKK_Mérleg2020'!I29+'1.5._mell._MŐSZ_Mérleg2020'!I29+'1.6._mell._HVGYKCSSZ_Mérleg2020'!I29</f>
        <v>0</v>
      </c>
      <c r="K29" s="4">
        <f t="shared" si="10"/>
        <v>0</v>
      </c>
    </row>
    <row r="30" spans="1:11" ht="12.75" customHeight="1">
      <c r="A30" s="78" t="s">
        <v>180</v>
      </c>
      <c r="B30" s="68" t="s">
        <v>106</v>
      </c>
      <c r="C30" s="403">
        <f>+'1.1.mell._ÖNK_Mérleg2020'!C30+'1.2.mell._HKÖH_Mérleg2020'!C30+'1.3.mell._HVÓBKI_Mérleg2020'!C30+'1.4.mell._HKK_Mérleg2020'!C30+'1.5._mell._MŐSZ_Mérleg2020'!C30+'1.6._mell._HVGYKCSSZ_Mérleg2020'!C30</f>
        <v>328350</v>
      </c>
      <c r="D30" s="1175">
        <f>+'1.1.mell._ÖNK_Mérleg2020'!D30+'1.2.mell._HKÖH_Mérleg2020'!D30+'1.3.mell._HVÓBKI_Mérleg2020'!D30+'1.4.mell._HKK_Mérleg2020'!D30+'1.5._mell._MŐSZ_Mérleg2020'!D30+'1.6._mell._HVGYKCSSZ_Mérleg2020'!D30</f>
        <v>280850</v>
      </c>
      <c r="E30" s="1175">
        <f>+'1.1.mell._ÖNK_Mérleg2020'!E30+'1.2.mell._HKÖH_Mérleg2020'!E30+'1.3.mell._HVÓBKI_Mérleg2020'!E30+'1.4.mell._HKK_Mérleg2020'!E30+'1.5._mell._MŐSZ_Mérleg2020'!E30+'1.6._mell._HVGYKCSSZ_Mérleg2020'!E30</f>
        <v>0</v>
      </c>
      <c r="F30" s="23">
        <f>+'1.1.mell._ÖNK_Mérleg2020'!F30+'1.2.mell._HKÖH_Mérleg2020'!F30+'1.3.mell._HVÓBKI_Mérleg2020'!F30+'1.4.mell._HKK_Mérleg2020'!F30+'1.5._mell._MŐSZ_Mérleg2020'!F30+'1.6._mell._HVGYKCSSZ_Mérleg2020'!F30</f>
        <v>280850</v>
      </c>
      <c r="G30" s="20">
        <f>+'1.1.mell._ÖNK_Mérleg2020'!G30+'1.2.mell._HKÖH_Mérleg2020'!G30+'1.3.mell._HVÓBKI_Mérleg2020'!G30+'1.4.mell._HKK_Mérleg2020'!G30+'1.5._mell._MŐSZ_Mérleg2020'!G30+'1.6._mell._HVGYKCSSZ_Mérleg2020'!G30</f>
        <v>280850</v>
      </c>
      <c r="H30" s="11">
        <f>+'1.1.mell._ÖNK_Mérleg2020'!H30+'1.2.mell._HKÖH_Mérleg2020'!H30+'1.3.mell._HVÓBKI_Mérleg2020'!H30+'1.4.mell._HKK_Mérleg2020'!H30+'1.5._mell._MŐSZ_Mérleg2020'!H30+'1.6._mell._HVGYKCSSZ_Mérleg2020'!H30</f>
        <v>0</v>
      </c>
      <c r="I30" s="16">
        <f>+'1.1.mell._ÖNK_Mérleg2020'!I30+'1.2.mell._HKÖH_Mérleg2020'!I30+'1.3.mell._HVÓBKI_Mérleg2020'!I30+'1.4.mell._HKK_Mérleg2020'!I30+'1.5._mell._MŐSZ_Mérleg2020'!I30+'1.6._mell._HVGYKCSSZ_Mérleg2020'!I30</f>
        <v>0</v>
      </c>
      <c r="K30" s="4">
        <f t="shared" si="10"/>
        <v>0</v>
      </c>
    </row>
    <row r="31" spans="1:11" ht="12.75" customHeight="1" thickBot="1">
      <c r="A31" s="78" t="s">
        <v>777</v>
      </c>
      <c r="B31" s="68" t="s">
        <v>779</v>
      </c>
      <c r="C31" s="403">
        <f>+'1.1.mell._ÖNK_Mérleg2020'!C31+'1.2.mell._HKÖH_Mérleg2020'!C31+'1.3.mell._HVÓBKI_Mérleg2020'!C31+'1.4.mell._HKK_Mérleg2020'!C31+'1.5._mell._MŐSZ_Mérleg2020'!C31+'1.6._mell._HVGYKCSSZ_Mérleg2020'!C31</f>
        <v>18753</v>
      </c>
      <c r="D31" s="1175">
        <f>+'1.1.mell._ÖNK_Mérleg2020'!D31+'1.2.mell._HKÖH_Mérleg2020'!D31+'1.3.mell._HVÓBKI_Mérleg2020'!D31+'1.4.mell._HKK_Mérleg2020'!D31+'1.5._mell._MŐSZ_Mérleg2020'!D31+'1.6._mell._HVGYKCSSZ_Mérleg2020'!D31</f>
        <v>18753</v>
      </c>
      <c r="E31" s="1175">
        <f>+'1.1.mell._ÖNK_Mérleg2020'!E31+'1.2.mell._HKÖH_Mérleg2020'!E31+'1.3.mell._HVÓBKI_Mérleg2020'!E31+'1.4.mell._HKK_Mérleg2020'!E31+'1.5._mell._MŐSZ_Mérleg2020'!E31+'1.6._mell._HVGYKCSSZ_Mérleg2020'!E31</f>
        <v>0</v>
      </c>
      <c r="F31" s="23">
        <f>+'1.1.mell._ÖNK_Mérleg2020'!F31+'1.2.mell._HKÖH_Mérleg2020'!F31+'1.3.mell._HVÓBKI_Mérleg2020'!F31+'1.4.mell._HKK_Mérleg2020'!F31+'1.5._mell._MŐSZ_Mérleg2020'!F31+'1.6._mell._HVGYKCSSZ_Mérleg2020'!F31</f>
        <v>18753</v>
      </c>
      <c r="G31" s="20">
        <f>+'1.1.mell._ÖNK_Mérleg2020'!G31+'1.2.mell._HKÖH_Mérleg2020'!G31+'1.3.mell._HVÓBKI_Mérleg2020'!G31+'1.4.mell._HKK_Mérleg2020'!G31+'1.5._mell._MŐSZ_Mérleg2020'!G31+'1.6._mell._HVGYKCSSZ_Mérleg2020'!G31</f>
        <v>1200</v>
      </c>
      <c r="H31" s="11">
        <f>+'1.1.mell._ÖNK_Mérleg2020'!H31+'1.2.mell._HKÖH_Mérleg2020'!H31+'1.3.mell._HVÓBKI_Mérleg2020'!H31+'1.4.mell._HKK_Mérleg2020'!H31+'1.5._mell._MŐSZ_Mérleg2020'!H31+'1.6._mell._HVGYKCSSZ_Mérleg2020'!H31</f>
        <v>17553</v>
      </c>
      <c r="I31" s="16">
        <f>+'1.1.mell._ÖNK_Mérleg2020'!I31+'1.2.mell._HKÖH_Mérleg2020'!I31+'1.3.mell._HVÓBKI_Mérleg2020'!I31+'1.4.mell._HKK_Mérleg2020'!I31+'1.5._mell._MŐSZ_Mérleg2020'!I31+'1.6._mell._HVGYKCSSZ_Mérleg2020'!I31</f>
        <v>0</v>
      </c>
      <c r="K31" s="4">
        <f t="shared" si="10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 t="shared" ref="C32" si="21">+C33+C34+C35+C36+C37+C38+C39+C40+C41+C42+C43</f>
        <v>186868</v>
      </c>
      <c r="D32" s="1171">
        <f t="shared" ref="D32" si="22">+D33+D34+D35+D36+D37+D38+D39+D40+D41+D42+D43</f>
        <v>186868</v>
      </c>
      <c r="E32" s="1171">
        <f t="shared" ref="E32" si="23">+E33+E34+E35+E36+E37+E38+E39+E40+E41+E42+E43</f>
        <v>0</v>
      </c>
      <c r="F32" s="29">
        <f t="shared" ref="F32" si="24">+F33+F34+F35+F36+F37+F38+F39+F40+F41+F42+F43</f>
        <v>186868</v>
      </c>
      <c r="G32" s="27">
        <f t="shared" ref="G32:I32" si="25">+G33+G34+G35+G36+G37+G38+G39+G40+G41+G42+G43</f>
        <v>154717</v>
      </c>
      <c r="H32" s="28">
        <f t="shared" si="25"/>
        <v>32151</v>
      </c>
      <c r="I32" s="29">
        <f t="shared" si="25"/>
        <v>0</v>
      </c>
      <c r="J32" s="689">
        <f>+F32/$F$102</f>
        <v>3.5926895761476847E-2</v>
      </c>
      <c r="K32" s="3">
        <f t="shared" si="10"/>
        <v>0</v>
      </c>
    </row>
    <row r="33" spans="1:11" ht="12.75" customHeight="1">
      <c r="A33" s="84" t="s">
        <v>61</v>
      </c>
      <c r="B33" s="65" t="s">
        <v>1554</v>
      </c>
      <c r="C33" s="404">
        <f>+'1.1.mell._ÖNK_Mérleg2020'!C33+'1.2.mell._HKÖH_Mérleg2020'!C33+'1.3.mell._HVÓBKI_Mérleg2020'!C33+'1.4.mell._HKK_Mérleg2020'!C33+'1.5._mell._MŐSZ_Mérleg2020'!C33+'1.6._mell._HVGYKCSSZ_Mérleg2020'!C33</f>
        <v>8000</v>
      </c>
      <c r="D33" s="1172">
        <f>+'1.1.mell._ÖNK_Mérleg2020'!D33+'1.2.mell._HKÖH_Mérleg2020'!D33+'1.3.mell._HVÓBKI_Mérleg2020'!D33+'1.4.mell._HKK_Mérleg2020'!D33+'1.5._mell._MŐSZ_Mérleg2020'!D33+'1.6._mell._HVGYKCSSZ_Mérleg2020'!D33</f>
        <v>8000</v>
      </c>
      <c r="E33" s="1172">
        <f>+'1.1.mell._ÖNK_Mérleg2020'!E33+'1.2.mell._HKÖH_Mérleg2020'!E33+'1.3.mell._HVÓBKI_Mérleg2020'!E33+'1.4.mell._HKK_Mérleg2020'!E33+'1.5._mell._MŐSZ_Mérleg2020'!E33+'1.6._mell._HVGYKCSSZ_Mérleg2020'!E33</f>
        <v>0</v>
      </c>
      <c r="F33" s="35">
        <f>+'1.1.mell._ÖNK_Mérleg2020'!F33+'1.2.mell._HKÖH_Mérleg2020'!F33+'1.3.mell._HVÓBKI_Mérleg2020'!F33+'1.4.mell._HKK_Mérleg2020'!F33+'1.5._mell._MŐSZ_Mérleg2020'!F33+'1.6._mell._HVGYKCSSZ_Mérleg2020'!F33</f>
        <v>8000</v>
      </c>
      <c r="G33" s="34">
        <f>+'1.1.mell._ÖNK_Mérleg2020'!G33+'1.2.mell._HKÖH_Mérleg2020'!G33+'1.3.mell._HVÓBKI_Mérleg2020'!G33+'1.4.mell._HKK_Mérleg2020'!G33+'1.5._mell._MŐSZ_Mérleg2020'!G33+'1.6._mell._HVGYKCSSZ_Mérleg2020'!G33</f>
        <v>8000</v>
      </c>
      <c r="H33" s="10">
        <f>+'1.1.mell._ÖNK_Mérleg2020'!H33+'1.2.mell._HKÖH_Mérleg2020'!H33+'1.3.mell._HVÓBKI_Mérleg2020'!H33+'1.4.mell._HKK_Mérleg2020'!H33+'1.5._mell._MŐSZ_Mérleg2020'!H33+'1.6._mell._HVGYKCSSZ_Mérleg2020'!H33</f>
        <v>0</v>
      </c>
      <c r="I33" s="35">
        <f>+'1.1.mell._ÖNK_Mérleg2020'!I33+'1.2.mell._HKÖH_Mérleg2020'!I33+'1.3.mell._HVÓBKI_Mérleg2020'!I33+'1.4.mell._HKK_Mérleg2020'!I33+'1.5._mell._MŐSZ_Mérleg2020'!I33+'1.6._mell._HVGYKCSSZ_Mérleg2020'!I33</f>
        <v>0</v>
      </c>
      <c r="K33" s="4">
        <f t="shared" si="10"/>
        <v>0</v>
      </c>
    </row>
    <row r="34" spans="1:11" ht="12.75" customHeight="1">
      <c r="A34" s="85" t="s">
        <v>62</v>
      </c>
      <c r="B34" s="67" t="s">
        <v>107</v>
      </c>
      <c r="C34" s="402">
        <f>+'1.1.mell._ÖNK_Mérleg2020'!C34+'1.2.mell._HKÖH_Mérleg2020'!C34+'1.3.mell._HVÓBKI_Mérleg2020'!C34+'1.4.mell._HKK_Mérleg2020'!C34+'1.5._mell._MŐSZ_Mérleg2020'!C34+'1.6._mell._HVGYKCSSZ_Mérleg2020'!C34</f>
        <v>65858</v>
      </c>
      <c r="D34" s="1174">
        <f>+'1.1.mell._ÖNK_Mérleg2020'!D34+'1.2.mell._HKÖH_Mérleg2020'!D34+'1.3.mell._HVÓBKI_Mérleg2020'!D34+'1.4.mell._HKK_Mérleg2020'!D34+'1.5._mell._MŐSZ_Mérleg2020'!D34+'1.6._mell._HVGYKCSSZ_Mérleg2020'!D34</f>
        <v>65858</v>
      </c>
      <c r="E34" s="1174">
        <f>+'1.1.mell._ÖNK_Mérleg2020'!E34+'1.2.mell._HKÖH_Mérleg2020'!E34+'1.3.mell._HVÓBKI_Mérleg2020'!E34+'1.4.mell._HKK_Mérleg2020'!E34+'1.5._mell._MŐSZ_Mérleg2020'!E34+'1.6._mell._HVGYKCSSZ_Mérleg2020'!E34</f>
        <v>0</v>
      </c>
      <c r="F34" s="16">
        <f>+'1.1.mell._ÖNK_Mérleg2020'!F34+'1.2.mell._HKÖH_Mérleg2020'!F34+'1.3.mell._HVÓBKI_Mérleg2020'!F34+'1.4.mell._HKK_Mérleg2020'!F34+'1.5._mell._MŐSZ_Mérleg2020'!F34+'1.6._mell._HVGYKCSSZ_Mérleg2020'!F34</f>
        <v>65858</v>
      </c>
      <c r="G34" s="20">
        <f>+'1.1.mell._ÖNK_Mérleg2020'!G34+'1.2.mell._HKÖH_Mérleg2020'!G34+'1.3.mell._HVÓBKI_Mérleg2020'!G34+'1.4.mell._HKK_Mérleg2020'!G34+'1.5._mell._MŐSZ_Mérleg2020'!G34+'1.6._mell._HVGYKCSSZ_Mérleg2020'!G34</f>
        <v>40532</v>
      </c>
      <c r="H34" s="11">
        <f>+'1.1.mell._ÖNK_Mérleg2020'!H34+'1.2.mell._HKÖH_Mérleg2020'!H34+'1.3.mell._HVÓBKI_Mérleg2020'!H34+'1.4.mell._HKK_Mérleg2020'!H34+'1.5._mell._MŐSZ_Mérleg2020'!H34+'1.6._mell._HVGYKCSSZ_Mérleg2020'!H34</f>
        <v>25326</v>
      </c>
      <c r="I34" s="16">
        <f>+'1.1.mell._ÖNK_Mérleg2020'!I34+'1.2.mell._HKÖH_Mérleg2020'!I34+'1.3.mell._HVÓBKI_Mérleg2020'!I34+'1.4.mell._HKK_Mérleg2020'!I34+'1.5._mell._MŐSZ_Mérleg2020'!I34+'1.6._mell._HVGYKCSSZ_Mérleg2020'!I34</f>
        <v>0</v>
      </c>
      <c r="K34" s="4">
        <f t="shared" si="10"/>
        <v>0</v>
      </c>
    </row>
    <row r="35" spans="1:11" ht="12.75" customHeight="1">
      <c r="A35" s="85" t="s">
        <v>63</v>
      </c>
      <c r="B35" s="67" t="s">
        <v>108</v>
      </c>
      <c r="C35" s="402">
        <f>+'1.1.mell._ÖNK_Mérleg2020'!C35+'1.2.mell._HKÖH_Mérleg2020'!C35+'1.3.mell._HVÓBKI_Mérleg2020'!C35+'1.4.mell._HKK_Mérleg2020'!C35+'1.5._mell._MŐSZ_Mérleg2020'!C35+'1.6._mell._HVGYKCSSZ_Mérleg2020'!C35</f>
        <v>8541</v>
      </c>
      <c r="D35" s="1174">
        <f>+'1.1.mell._ÖNK_Mérleg2020'!D35+'1.2.mell._HKÖH_Mérleg2020'!D35+'1.3.mell._HVÓBKI_Mérleg2020'!D35+'1.4.mell._HKK_Mérleg2020'!D35+'1.5._mell._MŐSZ_Mérleg2020'!D35+'1.6._mell._HVGYKCSSZ_Mérleg2020'!D35</f>
        <v>8541</v>
      </c>
      <c r="E35" s="1174">
        <f>+'1.1.mell._ÖNK_Mérleg2020'!E35+'1.2.mell._HKÖH_Mérleg2020'!E35+'1.3.mell._HVÓBKI_Mérleg2020'!E35+'1.4.mell._HKK_Mérleg2020'!E35+'1.5._mell._MŐSZ_Mérleg2020'!E35+'1.6._mell._HVGYKCSSZ_Mérleg2020'!E35</f>
        <v>0</v>
      </c>
      <c r="F35" s="16">
        <f>+'1.1.mell._ÖNK_Mérleg2020'!F35+'1.2.mell._HKÖH_Mérleg2020'!F35+'1.3.mell._HVÓBKI_Mérleg2020'!F35+'1.4.mell._HKK_Mérleg2020'!F35+'1.5._mell._MŐSZ_Mérleg2020'!F35+'1.6._mell._HVGYKCSSZ_Mérleg2020'!F35</f>
        <v>8541</v>
      </c>
      <c r="G35" s="20">
        <f>+'1.1.mell._ÖNK_Mérleg2020'!G35+'1.2.mell._HKÖH_Mérleg2020'!G35+'1.3.mell._HVÓBKI_Mérleg2020'!G35+'1.4.mell._HKK_Mérleg2020'!G35+'1.5._mell._MŐSZ_Mérleg2020'!G35+'1.6._mell._HVGYKCSSZ_Mérleg2020'!G35</f>
        <v>8541</v>
      </c>
      <c r="H35" s="11">
        <f>+'1.1.mell._ÖNK_Mérleg2020'!H35+'1.2.mell._HKÖH_Mérleg2020'!H35+'1.3.mell._HVÓBKI_Mérleg2020'!H35+'1.4.mell._HKK_Mérleg2020'!H35+'1.5._mell._MŐSZ_Mérleg2020'!H35+'1.6._mell._HVGYKCSSZ_Mérleg2020'!H35</f>
        <v>0</v>
      </c>
      <c r="I35" s="16">
        <f>+'1.1.mell._ÖNK_Mérleg2020'!I35+'1.2.mell._HKÖH_Mérleg2020'!I35+'1.3.mell._HVÓBKI_Mérleg2020'!I35+'1.4.mell._HKK_Mérleg2020'!I35+'1.5._mell._MŐSZ_Mérleg2020'!I35+'1.6._mell._HVGYKCSSZ_Mérleg2020'!I35</f>
        <v>0</v>
      </c>
      <c r="K35" s="4">
        <f t="shared" si="10"/>
        <v>0</v>
      </c>
    </row>
    <row r="36" spans="1:11" ht="12.75" customHeight="1">
      <c r="A36" s="85" t="s">
        <v>64</v>
      </c>
      <c r="B36" s="67" t="s">
        <v>109</v>
      </c>
      <c r="C36" s="402">
        <f>+'1.1.mell._ÖNK_Mérleg2020'!C36+'1.2.mell._HKÖH_Mérleg2020'!C36+'1.3.mell._HVÓBKI_Mérleg2020'!C36+'1.4.mell._HKK_Mérleg2020'!C36+'1.5._mell._MŐSZ_Mérleg2020'!C36+'1.6._mell._HVGYKCSSZ_Mérleg2020'!C36</f>
        <v>236</v>
      </c>
      <c r="D36" s="1174">
        <f>+'1.1.mell._ÖNK_Mérleg2020'!D36+'1.2.mell._HKÖH_Mérleg2020'!D36+'1.3.mell._HVÓBKI_Mérleg2020'!D36+'1.4.mell._HKK_Mérleg2020'!D36+'1.5._mell._MŐSZ_Mérleg2020'!D36+'1.6._mell._HVGYKCSSZ_Mérleg2020'!D36</f>
        <v>236</v>
      </c>
      <c r="E36" s="1174">
        <f>+'1.1.mell._ÖNK_Mérleg2020'!E36+'1.2.mell._HKÖH_Mérleg2020'!E36+'1.3.mell._HVÓBKI_Mérleg2020'!E36+'1.4.mell._HKK_Mérleg2020'!E36+'1.5._mell._MŐSZ_Mérleg2020'!E36+'1.6._mell._HVGYKCSSZ_Mérleg2020'!E36</f>
        <v>0</v>
      </c>
      <c r="F36" s="16">
        <f>+'1.1.mell._ÖNK_Mérleg2020'!F36+'1.2.mell._HKÖH_Mérleg2020'!F36+'1.3.mell._HVÓBKI_Mérleg2020'!F36+'1.4.mell._HKK_Mérleg2020'!F36+'1.5._mell._MŐSZ_Mérleg2020'!F36+'1.6._mell._HVGYKCSSZ_Mérleg2020'!F36</f>
        <v>236</v>
      </c>
      <c r="G36" s="20">
        <f>+'1.1.mell._ÖNK_Mérleg2020'!G36+'1.2.mell._HKÖH_Mérleg2020'!G36+'1.3.mell._HVÓBKI_Mérleg2020'!G36+'1.4.mell._HKK_Mérleg2020'!G36+'1.5._mell._MŐSZ_Mérleg2020'!G36+'1.6._mell._HVGYKCSSZ_Mérleg2020'!G36</f>
        <v>236</v>
      </c>
      <c r="H36" s="11">
        <f>+'1.1.mell._ÖNK_Mérleg2020'!H36+'1.2.mell._HKÖH_Mérleg2020'!H36+'1.3.mell._HVÓBKI_Mérleg2020'!H36+'1.4.mell._HKK_Mérleg2020'!H36+'1.5._mell._MŐSZ_Mérleg2020'!H36+'1.6._mell._HVGYKCSSZ_Mérleg2020'!H36</f>
        <v>0</v>
      </c>
      <c r="I36" s="16">
        <f>+'1.1.mell._ÖNK_Mérleg2020'!I36+'1.2.mell._HKÖH_Mérleg2020'!I36+'1.3.mell._HVÓBKI_Mérleg2020'!I36+'1.4.mell._HKK_Mérleg2020'!I36+'1.5._mell._MŐSZ_Mérleg2020'!I36+'1.6._mell._HVGYKCSSZ_Mérleg2020'!I36</f>
        <v>0</v>
      </c>
      <c r="K36" s="4">
        <f t="shared" si="10"/>
        <v>0</v>
      </c>
    </row>
    <row r="37" spans="1:11" ht="12.75" customHeight="1">
      <c r="A37" s="85" t="s">
        <v>65</v>
      </c>
      <c r="B37" s="67" t="s">
        <v>110</v>
      </c>
      <c r="C37" s="402">
        <f>+'1.1.mell._ÖNK_Mérleg2020'!C37+'1.2.mell._HKÖH_Mérleg2020'!C37+'1.3.mell._HVÓBKI_Mérleg2020'!C37+'1.4.mell._HKK_Mérleg2020'!C37+'1.5._mell._MŐSZ_Mérleg2020'!C37+'1.6._mell._HVGYKCSSZ_Mérleg2020'!C37</f>
        <v>9645</v>
      </c>
      <c r="D37" s="1174">
        <f>+'1.1.mell._ÖNK_Mérleg2020'!D37+'1.2.mell._HKÖH_Mérleg2020'!D37+'1.3.mell._HVÓBKI_Mérleg2020'!D37+'1.4.mell._HKK_Mérleg2020'!D37+'1.5._mell._MŐSZ_Mérleg2020'!D37+'1.6._mell._HVGYKCSSZ_Mérleg2020'!D37</f>
        <v>9645</v>
      </c>
      <c r="E37" s="1174">
        <f>+'1.1.mell._ÖNK_Mérleg2020'!E37+'1.2.mell._HKÖH_Mérleg2020'!E37+'1.3.mell._HVÓBKI_Mérleg2020'!E37+'1.4.mell._HKK_Mérleg2020'!E37+'1.5._mell._MŐSZ_Mérleg2020'!E37+'1.6._mell._HVGYKCSSZ_Mérleg2020'!E37</f>
        <v>0</v>
      </c>
      <c r="F37" s="16">
        <f>+'1.1.mell._ÖNK_Mérleg2020'!F37+'1.2.mell._HKÖH_Mérleg2020'!F37+'1.3.mell._HVÓBKI_Mérleg2020'!F37+'1.4.mell._HKK_Mérleg2020'!F37+'1.5._mell._MŐSZ_Mérleg2020'!F37+'1.6._mell._HVGYKCSSZ_Mérleg2020'!F37</f>
        <v>9645</v>
      </c>
      <c r="G37" s="20">
        <f>+'1.1.mell._ÖNK_Mérleg2020'!G37+'1.2.mell._HKÖH_Mérleg2020'!G37+'1.3.mell._HVÓBKI_Mérleg2020'!G37+'1.4.mell._HKK_Mérleg2020'!G37+'1.5._mell._MŐSZ_Mérleg2020'!G37+'1.6._mell._HVGYKCSSZ_Mérleg2020'!G37</f>
        <v>9645</v>
      </c>
      <c r="H37" s="11">
        <f>+'1.1.mell._ÖNK_Mérleg2020'!H37+'1.2.mell._HKÖH_Mérleg2020'!H37+'1.3.mell._HVÓBKI_Mérleg2020'!H37+'1.4.mell._HKK_Mérleg2020'!H37+'1.5._mell._MŐSZ_Mérleg2020'!H37+'1.6._mell._HVGYKCSSZ_Mérleg2020'!H37</f>
        <v>0</v>
      </c>
      <c r="I37" s="16">
        <f>+'1.1.mell._ÖNK_Mérleg2020'!I37+'1.2.mell._HKÖH_Mérleg2020'!I37+'1.3.mell._HVÓBKI_Mérleg2020'!I37+'1.4.mell._HKK_Mérleg2020'!I37+'1.5._mell._MŐSZ_Mérleg2020'!I37+'1.6._mell._HVGYKCSSZ_Mérleg2020'!I37</f>
        <v>0</v>
      </c>
      <c r="K37" s="4">
        <f t="shared" si="10"/>
        <v>0</v>
      </c>
    </row>
    <row r="38" spans="1:11" ht="12.75" customHeight="1">
      <c r="A38" s="85" t="s">
        <v>221</v>
      </c>
      <c r="B38" s="67" t="s">
        <v>111</v>
      </c>
      <c r="C38" s="402">
        <f>+'1.1.mell._ÖNK_Mérleg2020'!C38+'1.2.mell._HKÖH_Mérleg2020'!C38+'1.3.mell._HVÓBKI_Mérleg2020'!C38+'1.4.mell._HKK_Mérleg2020'!C38+'1.5._mell._MŐSZ_Mérleg2020'!C38+'1.6._mell._HVGYKCSSZ_Mérleg2020'!C38</f>
        <v>22311</v>
      </c>
      <c r="D38" s="1174">
        <f>+'1.1.mell._ÖNK_Mérleg2020'!D38+'1.2.mell._HKÖH_Mérleg2020'!D38+'1.3.mell._HVÓBKI_Mérleg2020'!D38+'1.4.mell._HKK_Mérleg2020'!D38+'1.5._mell._MŐSZ_Mérleg2020'!D38+'1.6._mell._HVGYKCSSZ_Mérleg2020'!D38</f>
        <v>22311</v>
      </c>
      <c r="E38" s="1174">
        <f>+'1.1.mell._ÖNK_Mérleg2020'!E38+'1.2.mell._HKÖH_Mérleg2020'!E38+'1.3.mell._HVÓBKI_Mérleg2020'!E38+'1.4.mell._HKK_Mérleg2020'!E38+'1.5._mell._MŐSZ_Mérleg2020'!E38+'1.6._mell._HVGYKCSSZ_Mérleg2020'!E38</f>
        <v>0</v>
      </c>
      <c r="F38" s="16">
        <f>+'1.1.mell._ÖNK_Mérleg2020'!F38+'1.2.mell._HKÖH_Mérleg2020'!F38+'1.3.mell._HVÓBKI_Mérleg2020'!F38+'1.4.mell._HKK_Mérleg2020'!F38+'1.5._mell._MŐSZ_Mérleg2020'!F38+'1.6._mell._HVGYKCSSZ_Mérleg2020'!F38</f>
        <v>22311</v>
      </c>
      <c r="G38" s="20">
        <f>+'1.1.mell._ÖNK_Mérleg2020'!G38+'1.2.mell._HKÖH_Mérleg2020'!G38+'1.3.mell._HVÓBKI_Mérleg2020'!G38+'1.4.mell._HKK_Mérleg2020'!G38+'1.5._mell._MŐSZ_Mérleg2020'!G38+'1.6._mell._HVGYKCSSZ_Mérleg2020'!G38</f>
        <v>15486</v>
      </c>
      <c r="H38" s="11">
        <f>+'1.1.mell._ÖNK_Mérleg2020'!H38+'1.2.mell._HKÖH_Mérleg2020'!H38+'1.3.mell._HVÓBKI_Mérleg2020'!H38+'1.4.mell._HKK_Mérleg2020'!H38+'1.5._mell._MŐSZ_Mérleg2020'!H38+'1.6._mell._HVGYKCSSZ_Mérleg2020'!H38</f>
        <v>6825</v>
      </c>
      <c r="I38" s="16">
        <f>+'1.1.mell._ÖNK_Mérleg2020'!I38+'1.2.mell._HKÖH_Mérleg2020'!I38+'1.3.mell._HVÓBKI_Mérleg2020'!I38+'1.4.mell._HKK_Mérleg2020'!I38+'1.5._mell._MŐSZ_Mérleg2020'!I38+'1.6._mell._HVGYKCSSZ_Mérleg2020'!I38</f>
        <v>0</v>
      </c>
      <c r="K38" s="4">
        <f t="shared" si="10"/>
        <v>0</v>
      </c>
    </row>
    <row r="39" spans="1:11" ht="12.75" customHeight="1">
      <c r="A39" s="85" t="s">
        <v>222</v>
      </c>
      <c r="B39" s="67" t="s">
        <v>112</v>
      </c>
      <c r="C39" s="402">
        <f>+'1.1.mell._ÖNK_Mérleg2020'!C39+'1.2.mell._HKÖH_Mérleg2020'!C39+'1.3.mell._HVÓBKI_Mérleg2020'!C39+'1.4.mell._HKK_Mérleg2020'!C39+'1.5._mell._MŐSZ_Mérleg2020'!C39+'1.6._mell._HVGYKCSSZ_Mérleg2020'!C39</f>
        <v>10634</v>
      </c>
      <c r="D39" s="1174">
        <f>+'1.1.mell._ÖNK_Mérleg2020'!D39+'1.2.mell._HKÖH_Mérleg2020'!D39+'1.3.mell._HVÓBKI_Mérleg2020'!D39+'1.4.mell._HKK_Mérleg2020'!D39+'1.5._mell._MŐSZ_Mérleg2020'!D39+'1.6._mell._HVGYKCSSZ_Mérleg2020'!D39</f>
        <v>10634</v>
      </c>
      <c r="E39" s="1174">
        <f>+'1.1.mell._ÖNK_Mérleg2020'!E39+'1.2.mell._HKÖH_Mérleg2020'!E39+'1.3.mell._HVÓBKI_Mérleg2020'!E39+'1.4.mell._HKK_Mérleg2020'!E39+'1.5._mell._MŐSZ_Mérleg2020'!E39+'1.6._mell._HVGYKCSSZ_Mérleg2020'!E39</f>
        <v>0</v>
      </c>
      <c r="F39" s="16">
        <f>+'1.1.mell._ÖNK_Mérleg2020'!F39+'1.2.mell._HKÖH_Mérleg2020'!F39+'1.3.mell._HVÓBKI_Mérleg2020'!F39+'1.4.mell._HKK_Mérleg2020'!F39+'1.5._mell._MŐSZ_Mérleg2020'!F39+'1.6._mell._HVGYKCSSZ_Mérleg2020'!F39</f>
        <v>10634</v>
      </c>
      <c r="G39" s="20">
        <f>+'1.1.mell._ÖNK_Mérleg2020'!G39+'1.2.mell._HKÖH_Mérleg2020'!G39+'1.3.mell._HVÓBKI_Mérleg2020'!G39+'1.4.mell._HKK_Mérleg2020'!G39+'1.5._mell._MŐSZ_Mérleg2020'!G39+'1.6._mell._HVGYKCSSZ_Mérleg2020'!G39</f>
        <v>10634</v>
      </c>
      <c r="H39" s="11">
        <f>+'1.1.mell._ÖNK_Mérleg2020'!H39+'1.2.mell._HKÖH_Mérleg2020'!H39+'1.3.mell._HVÓBKI_Mérleg2020'!H39+'1.4.mell._HKK_Mérleg2020'!H39+'1.5._mell._MŐSZ_Mérleg2020'!H39+'1.6._mell._HVGYKCSSZ_Mérleg2020'!H39</f>
        <v>0</v>
      </c>
      <c r="I39" s="16">
        <f>+'1.1.mell._ÖNK_Mérleg2020'!I39+'1.2.mell._HKÖH_Mérleg2020'!I39+'1.3.mell._HVÓBKI_Mérleg2020'!I39+'1.4.mell._HKK_Mérleg2020'!I39+'1.5._mell._MŐSZ_Mérleg2020'!I39+'1.6._mell._HVGYKCSSZ_Mérleg2020'!I39</f>
        <v>0</v>
      </c>
      <c r="K39" s="4">
        <f t="shared" si="10"/>
        <v>0</v>
      </c>
    </row>
    <row r="40" spans="1:11" ht="12.75" customHeight="1">
      <c r="A40" s="85" t="s">
        <v>223</v>
      </c>
      <c r="B40" s="67" t="s">
        <v>978</v>
      </c>
      <c r="C40" s="402">
        <f>+'1.1.mell._ÖNK_Mérleg2020'!C40+'1.2.mell._HKÖH_Mérleg2020'!C40+'1.3.mell._HVÓBKI_Mérleg2020'!C40+'1.4.mell._HKK_Mérleg2020'!C40+'1.5._mell._MŐSZ_Mérleg2020'!C40+'1.6._mell._HVGYKCSSZ_Mérleg2020'!C40</f>
        <v>0</v>
      </c>
      <c r="D40" s="1174">
        <f>+'1.1.mell._ÖNK_Mérleg2020'!D40+'1.2.mell._HKÖH_Mérleg2020'!D40+'1.3.mell._HVÓBKI_Mérleg2020'!D40+'1.4.mell._HKK_Mérleg2020'!D40+'1.5._mell._MŐSZ_Mérleg2020'!D40+'1.6._mell._HVGYKCSSZ_Mérleg2020'!D40</f>
        <v>0</v>
      </c>
      <c r="E40" s="1174">
        <f>+'1.1.mell._ÖNK_Mérleg2020'!E40+'1.2.mell._HKÖH_Mérleg2020'!E40+'1.3.mell._HVÓBKI_Mérleg2020'!E40+'1.4.mell._HKK_Mérleg2020'!E40+'1.5._mell._MŐSZ_Mérleg2020'!E40+'1.6._mell._HVGYKCSSZ_Mérleg2020'!E40</f>
        <v>0</v>
      </c>
      <c r="F40" s="16">
        <f>+'1.1.mell._ÖNK_Mérleg2020'!F40+'1.2.mell._HKÖH_Mérleg2020'!F40+'1.3.mell._HVÓBKI_Mérleg2020'!F40+'1.4.mell._HKK_Mérleg2020'!F40+'1.5._mell._MŐSZ_Mérleg2020'!F40+'1.6._mell._HVGYKCSSZ_Mérleg2020'!F40</f>
        <v>0</v>
      </c>
      <c r="G40" s="20">
        <f>+'1.1.mell._ÖNK_Mérleg2020'!G40+'1.2.mell._HKÖH_Mérleg2020'!G40+'1.3.mell._HVÓBKI_Mérleg2020'!G40+'1.4.mell._HKK_Mérleg2020'!G40+'1.5._mell._MŐSZ_Mérleg2020'!G40+'1.6._mell._HVGYKCSSZ_Mérleg2020'!G40</f>
        <v>0</v>
      </c>
      <c r="H40" s="11">
        <f>+'1.1.mell._ÖNK_Mérleg2020'!H40+'1.2.mell._HKÖH_Mérleg2020'!H40+'1.3.mell._HVÓBKI_Mérleg2020'!H40+'1.4.mell._HKK_Mérleg2020'!H40+'1.5._mell._MŐSZ_Mérleg2020'!H40+'1.6._mell._HVGYKCSSZ_Mérleg2020'!H40</f>
        <v>0</v>
      </c>
      <c r="I40" s="16">
        <f>+'1.1.mell._ÖNK_Mérleg2020'!I40+'1.2.mell._HKÖH_Mérleg2020'!I40+'1.3.mell._HVÓBKI_Mérleg2020'!I40+'1.4.mell._HKK_Mérleg2020'!I40+'1.5._mell._MŐSZ_Mérleg2020'!I40+'1.6._mell._HVGYKCSSZ_Mérleg2020'!I40</f>
        <v>0</v>
      </c>
      <c r="K40" s="4">
        <f t="shared" si="10"/>
        <v>0</v>
      </c>
    </row>
    <row r="41" spans="1:11" ht="12.75" customHeight="1">
      <c r="A41" s="85" t="s">
        <v>224</v>
      </c>
      <c r="B41" s="67" t="s">
        <v>113</v>
      </c>
      <c r="C41" s="402">
        <f>+'1.1.mell._ÖNK_Mérleg2020'!C41+'1.2.mell._HKÖH_Mérleg2020'!C41+'1.3.mell._HVÓBKI_Mérleg2020'!C41+'1.4.mell._HKK_Mérleg2020'!C41+'1.5._mell._MŐSZ_Mérleg2020'!C41+'1.6._mell._HVGYKCSSZ_Mérleg2020'!C41</f>
        <v>0</v>
      </c>
      <c r="D41" s="1174">
        <f>+'1.1.mell._ÖNK_Mérleg2020'!D41+'1.2.mell._HKÖH_Mérleg2020'!D41+'1.3.mell._HVÓBKI_Mérleg2020'!D41+'1.4.mell._HKK_Mérleg2020'!D41+'1.5._mell._MŐSZ_Mérleg2020'!D41+'1.6._mell._HVGYKCSSZ_Mérleg2020'!D41</f>
        <v>0</v>
      </c>
      <c r="E41" s="1174">
        <f>+'1.1.mell._ÖNK_Mérleg2020'!E41+'1.2.mell._HKÖH_Mérleg2020'!E41+'1.3.mell._HVÓBKI_Mérleg2020'!E41+'1.4.mell._HKK_Mérleg2020'!E41+'1.5._mell._MŐSZ_Mérleg2020'!E41+'1.6._mell._HVGYKCSSZ_Mérleg2020'!E41</f>
        <v>0</v>
      </c>
      <c r="F41" s="16">
        <f>+'1.1.mell._ÖNK_Mérleg2020'!F41+'1.2.mell._HKÖH_Mérleg2020'!F41+'1.3.mell._HVÓBKI_Mérleg2020'!F41+'1.4.mell._HKK_Mérleg2020'!F41+'1.5._mell._MŐSZ_Mérleg2020'!F41+'1.6._mell._HVGYKCSSZ_Mérleg2020'!F41</f>
        <v>0</v>
      </c>
      <c r="G41" s="20">
        <f>+'1.1.mell._ÖNK_Mérleg2020'!G41+'1.2.mell._HKÖH_Mérleg2020'!G41+'1.3.mell._HVÓBKI_Mérleg2020'!G41+'1.4.mell._HKK_Mérleg2020'!G41+'1.5._mell._MŐSZ_Mérleg2020'!G41+'1.6._mell._HVGYKCSSZ_Mérleg2020'!G41</f>
        <v>0</v>
      </c>
      <c r="H41" s="11">
        <f>+'1.1.mell._ÖNK_Mérleg2020'!H41+'1.2.mell._HKÖH_Mérleg2020'!H41+'1.3.mell._HVÓBKI_Mérleg2020'!H41+'1.4.mell._HKK_Mérleg2020'!H41+'1.5._mell._MŐSZ_Mérleg2020'!H41+'1.6._mell._HVGYKCSSZ_Mérleg2020'!H41</f>
        <v>0</v>
      </c>
      <c r="I41" s="16">
        <f>+'1.1.mell._ÖNK_Mérleg2020'!I41+'1.2.mell._HKÖH_Mérleg2020'!I41+'1.3.mell._HVÓBKI_Mérleg2020'!I41+'1.4.mell._HKK_Mérleg2020'!I41+'1.5._mell._MŐSZ_Mérleg2020'!I41+'1.6._mell._HVGYKCSSZ_Mérleg2020'!I41</f>
        <v>0</v>
      </c>
      <c r="K41" s="4">
        <f t="shared" si="10"/>
        <v>0</v>
      </c>
    </row>
    <row r="42" spans="1:11" ht="12.75" customHeight="1">
      <c r="A42" s="78" t="s">
        <v>225</v>
      </c>
      <c r="B42" s="68" t="s">
        <v>898</v>
      </c>
      <c r="C42" s="402">
        <f>+'1.1.mell._ÖNK_Mérleg2020'!C42+'1.2.mell._HKÖH_Mérleg2020'!C42+'1.3.mell._HVÓBKI_Mérleg2020'!C42+'1.4.mell._HKK_Mérleg2020'!C42+'1.5._mell._MŐSZ_Mérleg2020'!C42+'1.6._mell._HVGYKCSSZ_Mérleg2020'!C42</f>
        <v>0</v>
      </c>
      <c r="D42" s="1174">
        <f>+'1.1.mell._ÖNK_Mérleg2020'!D42+'1.2.mell._HKÖH_Mérleg2020'!D42+'1.3.mell._HVÓBKI_Mérleg2020'!D42+'1.4.mell._HKK_Mérleg2020'!D42+'1.5._mell._MŐSZ_Mérleg2020'!D42+'1.6._mell._HVGYKCSSZ_Mérleg2020'!D42</f>
        <v>0</v>
      </c>
      <c r="E42" s="1174">
        <f>+'1.1.mell._ÖNK_Mérleg2020'!E42+'1.2.mell._HKÖH_Mérleg2020'!E42+'1.3.mell._HVÓBKI_Mérleg2020'!E42+'1.4.mell._HKK_Mérleg2020'!E42+'1.5._mell._MŐSZ_Mérleg2020'!E42+'1.6._mell._HVGYKCSSZ_Mérleg2020'!E42</f>
        <v>0</v>
      </c>
      <c r="F42" s="16">
        <f>+'1.1.mell._ÖNK_Mérleg2020'!F42+'1.2.mell._HKÖH_Mérleg2020'!F42+'1.3.mell._HVÓBKI_Mérleg2020'!F42+'1.4.mell._HKK_Mérleg2020'!F42+'1.5._mell._MŐSZ_Mérleg2020'!F42+'1.6._mell._HVGYKCSSZ_Mérleg2020'!F42</f>
        <v>0</v>
      </c>
      <c r="G42" s="20">
        <f>+'1.1.mell._ÖNK_Mérleg2020'!G42+'1.2.mell._HKÖH_Mérleg2020'!G42+'1.3.mell._HVÓBKI_Mérleg2020'!G42+'1.4.mell._HKK_Mérleg2020'!G42+'1.5._mell._MŐSZ_Mérleg2020'!G42+'1.6._mell._HVGYKCSSZ_Mérleg2020'!G42</f>
        <v>0</v>
      </c>
      <c r="H42" s="11">
        <f>+'1.1.mell._ÖNK_Mérleg2020'!H42+'1.2.mell._HKÖH_Mérleg2020'!H42+'1.3.mell._HVÓBKI_Mérleg2020'!H42+'1.4.mell._HKK_Mérleg2020'!H42+'1.5._mell._MŐSZ_Mérleg2020'!H42+'1.6._mell._HVGYKCSSZ_Mérleg2020'!H42</f>
        <v>0</v>
      </c>
      <c r="I42" s="16">
        <f>+'1.1.mell._ÖNK_Mérleg2020'!I42+'1.2.mell._HKÖH_Mérleg2020'!I42+'1.3.mell._HVÓBKI_Mérleg2020'!I42+'1.4.mell._HKK_Mérleg2020'!I42+'1.5._mell._MŐSZ_Mérleg2020'!I42+'1.6._mell._HVGYKCSSZ_Mérleg2020'!I42</f>
        <v>0</v>
      </c>
      <c r="K42" s="4">
        <f t="shared" si="10"/>
        <v>0</v>
      </c>
    </row>
    <row r="43" spans="1:11" ht="12.75" customHeight="1" thickBot="1">
      <c r="A43" s="78" t="s">
        <v>897</v>
      </c>
      <c r="B43" s="68" t="s">
        <v>899</v>
      </c>
      <c r="C43" s="403">
        <f>+'1.1.mell._ÖNK_Mérleg2020'!C43+'1.2.mell._HKÖH_Mérleg2020'!C43+'1.3.mell._HVÓBKI_Mérleg2020'!C43+'1.4.mell._HKK_Mérleg2020'!C43+'1.5._mell._MŐSZ_Mérleg2020'!C43+'1.6._mell._HVGYKCSSZ_Mérleg2020'!C43</f>
        <v>61643</v>
      </c>
      <c r="D43" s="1175">
        <f>+'1.1.mell._ÖNK_Mérleg2020'!D43+'1.2.mell._HKÖH_Mérleg2020'!D43+'1.3.mell._HVÓBKI_Mérleg2020'!D43+'1.4.mell._HKK_Mérleg2020'!D43+'1.5._mell._MŐSZ_Mérleg2020'!D43+'1.6._mell._HVGYKCSSZ_Mérleg2020'!D43</f>
        <v>61643</v>
      </c>
      <c r="E43" s="1175">
        <f>+'1.1.mell._ÖNK_Mérleg2020'!E43+'1.2.mell._HKÖH_Mérleg2020'!E43+'1.3.mell._HVÓBKI_Mérleg2020'!E43+'1.4.mell._HKK_Mérleg2020'!E43+'1.5._mell._MŐSZ_Mérleg2020'!E43+'1.6._mell._HVGYKCSSZ_Mérleg2020'!E43</f>
        <v>0</v>
      </c>
      <c r="F43" s="23">
        <f>+'1.1.mell._ÖNK_Mérleg2020'!F43+'1.2.mell._HKÖH_Mérleg2020'!F43+'1.3.mell._HVÓBKI_Mérleg2020'!F43+'1.4.mell._HKK_Mérleg2020'!F43+'1.5._mell._MŐSZ_Mérleg2020'!F43+'1.6._mell._HVGYKCSSZ_Mérleg2020'!F43</f>
        <v>61643</v>
      </c>
      <c r="G43" s="21">
        <f>+'1.1.mell._ÖNK_Mérleg2020'!G43+'1.2.mell._HKÖH_Mérleg2020'!G43+'1.3.mell._HVÓBKI_Mérleg2020'!G43+'1.4.mell._HKK_Mérleg2020'!G43+'1.5._mell._MŐSZ_Mérleg2020'!G43+'1.6._mell._HVGYKCSSZ_Mérleg2020'!G43</f>
        <v>61643</v>
      </c>
      <c r="H43" s="22">
        <f>+'1.1.mell._ÖNK_Mérleg2020'!H43+'1.2.mell._HKÖH_Mérleg2020'!H43+'1.3.mell._HVÓBKI_Mérleg2020'!H43+'1.4.mell._HKK_Mérleg2020'!H43+'1.5._mell._MŐSZ_Mérleg2020'!H43+'1.6._mell._HVGYKCSSZ_Mérleg2020'!H43</f>
        <v>0</v>
      </c>
      <c r="I43" s="23">
        <f>+'1.1.mell._ÖNK_Mérleg2020'!I43+'1.2.mell._HKÖH_Mérleg2020'!I43+'1.3.mell._HVÓBKI_Mérleg2020'!I43+'1.4.mell._HKK_Mérleg2020'!I43+'1.5._mell._MŐSZ_Mérleg2020'!I43+'1.6._mell._HVGYKCSSZ_Mérleg2020'!I43</f>
        <v>0</v>
      </c>
      <c r="K43" s="4">
        <f t="shared" si="10"/>
        <v>0</v>
      </c>
    </row>
    <row r="44" spans="1:11" s="3" customFormat="1" ht="12.75" thickBot="1">
      <c r="A44" s="83" t="s">
        <v>16</v>
      </c>
      <c r="B44" s="64" t="s">
        <v>969</v>
      </c>
      <c r="C44" s="129">
        <f t="shared" ref="C44" si="26">+C45+C46+C47+C48+C49</f>
        <v>0</v>
      </c>
      <c r="D44" s="1171">
        <f t="shared" ref="D44" si="27">+D45+D46+D47+D48+D49</f>
        <v>5490</v>
      </c>
      <c r="E44" s="1171">
        <f t="shared" ref="E44" si="28">+E45+E46+E47+E48+E49</f>
        <v>0</v>
      </c>
      <c r="F44" s="29">
        <f t="shared" ref="F44" si="29">+F45+F46+F47+F48+F49</f>
        <v>5490</v>
      </c>
      <c r="G44" s="27">
        <f t="shared" ref="G44:I44" si="30">+G45+G46+G47+G48+G49</f>
        <v>5490</v>
      </c>
      <c r="H44" s="28">
        <f t="shared" si="30"/>
        <v>0</v>
      </c>
      <c r="I44" s="29">
        <f t="shared" si="30"/>
        <v>0</v>
      </c>
      <c r="J44" s="689">
        <f>+F44/$F$102</f>
        <v>1.0554972372504008E-3</v>
      </c>
      <c r="K44" s="3">
        <f t="shared" si="10"/>
        <v>0</v>
      </c>
    </row>
    <row r="45" spans="1:11" ht="12.75" customHeight="1">
      <c r="A45" s="84" t="s">
        <v>226</v>
      </c>
      <c r="B45" s="65" t="s">
        <v>114</v>
      </c>
      <c r="C45" s="404">
        <f>+'1.1.mell._ÖNK_Mérleg2020'!C45+'1.2.mell._HKÖH_Mérleg2020'!C45+'1.3.mell._HVÓBKI_Mérleg2020'!C45+'1.4.mell._HKK_Mérleg2020'!C45+'1.5._mell._MŐSZ_Mérleg2020'!C45+'1.6._mell._HVGYKCSSZ_Mérleg2020'!C45</f>
        <v>0</v>
      </c>
      <c r="D45" s="1172">
        <f>+'1.1.mell._ÖNK_Mérleg2020'!D45+'1.2.mell._HKÖH_Mérleg2020'!D45+'1.3.mell._HVÓBKI_Mérleg2020'!D45+'1.4.mell._HKK_Mérleg2020'!D45+'1.5._mell._MŐSZ_Mérleg2020'!D45+'1.6._mell._HVGYKCSSZ_Mérleg2020'!D45</f>
        <v>0</v>
      </c>
      <c r="E45" s="1172">
        <f>+'1.1.mell._ÖNK_Mérleg2020'!E45+'1.2.mell._HKÖH_Mérleg2020'!E45+'1.3.mell._HVÓBKI_Mérleg2020'!E45+'1.4.mell._HKK_Mérleg2020'!E45+'1.5._mell._MŐSZ_Mérleg2020'!E45+'1.6._mell._HVGYKCSSZ_Mérleg2020'!E45</f>
        <v>0</v>
      </c>
      <c r="F45" s="35">
        <f>+'1.1.mell._ÖNK_Mérleg2020'!F45+'1.2.mell._HKÖH_Mérleg2020'!F45+'1.3.mell._HVÓBKI_Mérleg2020'!F45+'1.4.mell._HKK_Mérleg2020'!F45+'1.5._mell._MŐSZ_Mérleg2020'!F45+'1.6._mell._HVGYKCSSZ_Mérleg2020'!F45</f>
        <v>0</v>
      </c>
      <c r="G45" s="34">
        <f>+'1.1.mell._ÖNK_Mérleg2020'!G45+'1.2.mell._HKÖH_Mérleg2020'!G45+'1.3.mell._HVÓBKI_Mérleg2020'!G45+'1.4.mell._HKK_Mérleg2020'!G45+'1.5._mell._MŐSZ_Mérleg2020'!G45+'1.6._mell._HVGYKCSSZ_Mérleg2020'!G45</f>
        <v>0</v>
      </c>
      <c r="H45" s="10">
        <f>+'1.1.mell._ÖNK_Mérleg2020'!H45+'1.2.mell._HKÖH_Mérleg2020'!H45+'1.3.mell._HVÓBKI_Mérleg2020'!H45+'1.4.mell._HKK_Mérleg2020'!H45+'1.5._mell._MŐSZ_Mérleg2020'!H45+'1.6._mell._HVGYKCSSZ_Mérleg2020'!H45</f>
        <v>0</v>
      </c>
      <c r="I45" s="35">
        <f>+'1.1.mell._ÖNK_Mérleg2020'!I45+'1.2.mell._HKÖH_Mérleg2020'!I45+'1.3.mell._HVÓBKI_Mérleg2020'!I45+'1.4.mell._HKK_Mérleg2020'!I45+'1.5._mell._MŐSZ_Mérleg2020'!I45+'1.6._mell._HVGYKCSSZ_Mérleg2020'!I45</f>
        <v>0</v>
      </c>
      <c r="K45" s="4">
        <f t="shared" si="10"/>
        <v>0</v>
      </c>
    </row>
    <row r="46" spans="1:11" ht="12.75" customHeight="1">
      <c r="A46" s="84" t="s">
        <v>227</v>
      </c>
      <c r="B46" s="65" t="s">
        <v>900</v>
      </c>
      <c r="C46" s="404">
        <f>+'1.1.mell._ÖNK_Mérleg2020'!C46+'1.2.mell._HKÖH_Mérleg2020'!C46+'1.3.mell._HVÓBKI_Mérleg2020'!C46+'1.4.mell._HKK_Mérleg2020'!C46+'1.5._mell._MŐSZ_Mérleg2020'!C46+'1.6._mell._HVGYKCSSZ_Mérleg2020'!C46</f>
        <v>0</v>
      </c>
      <c r="D46" s="1172">
        <f>+'1.1.mell._ÖNK_Mérleg2020'!D46+'1.2.mell._HKÖH_Mérleg2020'!D46+'1.3.mell._HVÓBKI_Mérleg2020'!D46+'1.4.mell._HKK_Mérleg2020'!D46+'1.5._mell._MŐSZ_Mérleg2020'!D46+'1.6._mell._HVGYKCSSZ_Mérleg2020'!D46</f>
        <v>0</v>
      </c>
      <c r="E46" s="1172">
        <f>+'1.1.mell._ÖNK_Mérleg2020'!E46+'1.2.mell._HKÖH_Mérleg2020'!E46+'1.3.mell._HVÓBKI_Mérleg2020'!E46+'1.4.mell._HKK_Mérleg2020'!E46+'1.5._mell._MŐSZ_Mérleg2020'!E46+'1.6._mell._HVGYKCSSZ_Mérleg2020'!E46</f>
        <v>0</v>
      </c>
      <c r="F46" s="35">
        <f>+'1.1.mell._ÖNK_Mérleg2020'!F46+'1.2.mell._HKÖH_Mérleg2020'!F46+'1.3.mell._HVÓBKI_Mérleg2020'!F46+'1.4.mell._HKK_Mérleg2020'!F46+'1.5._mell._MŐSZ_Mérleg2020'!F46+'1.6._mell._HVGYKCSSZ_Mérleg2020'!F46</f>
        <v>0</v>
      </c>
      <c r="G46" s="34">
        <f>+'1.1.mell._ÖNK_Mérleg2020'!G46+'1.2.mell._HKÖH_Mérleg2020'!G46+'1.3.mell._HVÓBKI_Mérleg2020'!G46+'1.4.mell._HKK_Mérleg2020'!G46+'1.5._mell._MŐSZ_Mérleg2020'!G46+'1.6._mell._HVGYKCSSZ_Mérleg2020'!G46</f>
        <v>0</v>
      </c>
      <c r="H46" s="10">
        <f>+'1.1.mell._ÖNK_Mérleg2020'!H46+'1.2.mell._HKÖH_Mérleg2020'!H46+'1.3.mell._HVÓBKI_Mérleg2020'!H46+'1.4.mell._HKK_Mérleg2020'!H46+'1.5._mell._MŐSZ_Mérleg2020'!H46+'1.6._mell._HVGYKCSSZ_Mérleg2020'!H46</f>
        <v>0</v>
      </c>
      <c r="I46" s="35">
        <f>+'1.1.mell._ÖNK_Mérleg2020'!I46+'1.2.mell._HKÖH_Mérleg2020'!I46+'1.3.mell._HVÓBKI_Mérleg2020'!I46+'1.4.mell._HKK_Mérleg2020'!I46+'1.5._mell._MŐSZ_Mérleg2020'!I46+'1.6._mell._HVGYKCSSZ_Mérleg2020'!I46</f>
        <v>0</v>
      </c>
      <c r="K46" s="4">
        <f t="shared" si="10"/>
        <v>0</v>
      </c>
    </row>
    <row r="47" spans="1:11" ht="12.75" customHeight="1">
      <c r="A47" s="84" t="s">
        <v>228</v>
      </c>
      <c r="B47" s="65" t="s">
        <v>901</v>
      </c>
      <c r="C47" s="404">
        <f>+'1.1.mell._ÖNK_Mérleg2020'!C47+'1.2.mell._HKÖH_Mérleg2020'!C47+'1.3.mell._HVÓBKI_Mérleg2020'!C47+'1.4.mell._HKK_Mérleg2020'!C47+'1.5._mell._MŐSZ_Mérleg2020'!C47+'1.6._mell._HVGYKCSSZ_Mérleg2020'!C47</f>
        <v>0</v>
      </c>
      <c r="D47" s="1172">
        <f>+'1.1.mell._ÖNK_Mérleg2020'!D47+'1.2.mell._HKÖH_Mérleg2020'!D47+'1.3.mell._HVÓBKI_Mérleg2020'!D47+'1.4.mell._HKK_Mérleg2020'!D47+'1.5._mell._MŐSZ_Mérleg2020'!D47+'1.6._mell._HVGYKCSSZ_Mérleg2020'!D47</f>
        <v>0</v>
      </c>
      <c r="E47" s="1172">
        <f>+'1.1.mell._ÖNK_Mérleg2020'!E47+'1.2.mell._HKÖH_Mérleg2020'!E47+'1.3.mell._HVÓBKI_Mérleg2020'!E47+'1.4.mell._HKK_Mérleg2020'!E47+'1.5._mell._MŐSZ_Mérleg2020'!E47+'1.6._mell._HVGYKCSSZ_Mérleg2020'!E47</f>
        <v>0</v>
      </c>
      <c r="F47" s="35">
        <f>+'1.1.mell._ÖNK_Mérleg2020'!F47+'1.2.mell._HKÖH_Mérleg2020'!F47+'1.3.mell._HVÓBKI_Mérleg2020'!F47+'1.4.mell._HKK_Mérleg2020'!F47+'1.5._mell._MŐSZ_Mérleg2020'!F47+'1.6._mell._HVGYKCSSZ_Mérleg2020'!F47</f>
        <v>0</v>
      </c>
      <c r="G47" s="34">
        <f>+'1.1.mell._ÖNK_Mérleg2020'!G47+'1.2.mell._HKÖH_Mérleg2020'!G47+'1.3.mell._HVÓBKI_Mérleg2020'!G47+'1.4.mell._HKK_Mérleg2020'!G47+'1.5._mell._MŐSZ_Mérleg2020'!G47+'1.6._mell._HVGYKCSSZ_Mérleg2020'!G47</f>
        <v>0</v>
      </c>
      <c r="H47" s="10">
        <f>+'1.1.mell._ÖNK_Mérleg2020'!H47+'1.2.mell._HKÖH_Mérleg2020'!H47+'1.3.mell._HVÓBKI_Mérleg2020'!H47+'1.4.mell._HKK_Mérleg2020'!H47+'1.5._mell._MŐSZ_Mérleg2020'!H47+'1.6._mell._HVGYKCSSZ_Mérleg2020'!H47</f>
        <v>0</v>
      </c>
      <c r="I47" s="35">
        <f>+'1.1.mell._ÖNK_Mérleg2020'!I47+'1.2.mell._HKÖH_Mérleg2020'!I47+'1.3.mell._HVÓBKI_Mérleg2020'!I47+'1.4.mell._HKK_Mérleg2020'!I47+'1.5._mell._MŐSZ_Mérleg2020'!I47+'1.6._mell._HVGYKCSSZ_Mérleg2020'!I47</f>
        <v>0</v>
      </c>
      <c r="K47" s="4">
        <f t="shared" si="10"/>
        <v>0</v>
      </c>
    </row>
    <row r="48" spans="1:11" ht="12.75" customHeight="1">
      <c r="A48" s="85" t="s">
        <v>256</v>
      </c>
      <c r="B48" s="67" t="s">
        <v>902</v>
      </c>
      <c r="C48" s="402">
        <f>+'1.1.mell._ÖNK_Mérleg2020'!C48+'1.2.mell._HKÖH_Mérleg2020'!C48+'1.3.mell._HVÓBKI_Mérleg2020'!C48+'1.4.mell._HKK_Mérleg2020'!C48+'1.5._mell._MŐSZ_Mérleg2020'!C48+'1.6._mell._HVGYKCSSZ_Mérleg2020'!C48</f>
        <v>0</v>
      </c>
      <c r="D48" s="1174">
        <f>+'1.1.mell._ÖNK_Mérleg2020'!D48+'1.2.mell._HKÖH_Mérleg2020'!D48+'1.3.mell._HVÓBKI_Mérleg2020'!D48+'1.4.mell._HKK_Mérleg2020'!D48+'1.5._mell._MŐSZ_Mérleg2020'!D48+'1.6._mell._HVGYKCSSZ_Mérleg2020'!D48</f>
        <v>4100</v>
      </c>
      <c r="E48" s="1174">
        <f>+'1.1.mell._ÖNK_Mérleg2020'!E48+'1.2.mell._HKÖH_Mérleg2020'!E48+'1.3.mell._HVÓBKI_Mérleg2020'!E48+'1.4.mell._HKK_Mérleg2020'!E48+'1.5._mell._MŐSZ_Mérleg2020'!E48+'1.6._mell._HVGYKCSSZ_Mérleg2020'!E48</f>
        <v>0</v>
      </c>
      <c r="F48" s="16">
        <f>+'1.1.mell._ÖNK_Mérleg2020'!F48+'1.2.mell._HKÖH_Mérleg2020'!F48+'1.3.mell._HVÓBKI_Mérleg2020'!F48+'1.4.mell._HKK_Mérleg2020'!F48+'1.5._mell._MŐSZ_Mérleg2020'!F48+'1.6._mell._HVGYKCSSZ_Mérleg2020'!F48</f>
        <v>4100</v>
      </c>
      <c r="G48" s="20">
        <f>+'1.1.mell._ÖNK_Mérleg2020'!G48+'1.2.mell._HKÖH_Mérleg2020'!G48+'1.3.mell._HVÓBKI_Mérleg2020'!G48+'1.4.mell._HKK_Mérleg2020'!G48+'1.5._mell._MŐSZ_Mérleg2020'!G48+'1.6._mell._HVGYKCSSZ_Mérleg2020'!G48</f>
        <v>4100</v>
      </c>
      <c r="H48" s="11">
        <f>+'1.1.mell._ÖNK_Mérleg2020'!H48+'1.2.mell._HKÖH_Mérleg2020'!H48+'1.3.mell._HVÓBKI_Mérleg2020'!H48+'1.4.mell._HKK_Mérleg2020'!H48+'1.5._mell._MŐSZ_Mérleg2020'!H48+'1.6._mell._HVGYKCSSZ_Mérleg2020'!H48</f>
        <v>0</v>
      </c>
      <c r="I48" s="16">
        <f>+'1.1.mell._ÖNK_Mérleg2020'!I48+'1.2.mell._HKÖH_Mérleg2020'!I48+'1.3.mell._HVÓBKI_Mérleg2020'!I48+'1.4.mell._HKK_Mérleg2020'!I48+'1.5._mell._MŐSZ_Mérleg2020'!I48+'1.6._mell._HVGYKCSSZ_Mérleg2020'!I48</f>
        <v>0</v>
      </c>
      <c r="K48" s="4">
        <f t="shared" si="10"/>
        <v>0</v>
      </c>
    </row>
    <row r="49" spans="1:11" ht="12.75" customHeight="1" thickBot="1">
      <c r="A49" s="78" t="s">
        <v>257</v>
      </c>
      <c r="B49" s="68" t="s">
        <v>903</v>
      </c>
      <c r="C49" s="403">
        <f>+'1.1.mell._ÖNK_Mérleg2020'!C49+'1.2.mell._HKÖH_Mérleg2020'!C49+'1.3.mell._HVÓBKI_Mérleg2020'!C49+'1.4.mell._HKK_Mérleg2020'!C49+'1.5._mell._MŐSZ_Mérleg2020'!C49+'1.6._mell._HVGYKCSSZ_Mérleg2020'!C49</f>
        <v>0</v>
      </c>
      <c r="D49" s="1175">
        <f>+'1.1.mell._ÖNK_Mérleg2020'!D49+'1.2.mell._HKÖH_Mérleg2020'!D49+'1.3.mell._HVÓBKI_Mérleg2020'!D49+'1.4.mell._HKK_Mérleg2020'!D49+'1.5._mell._MŐSZ_Mérleg2020'!D49+'1.6._mell._HVGYKCSSZ_Mérleg2020'!D49</f>
        <v>1390</v>
      </c>
      <c r="E49" s="1175">
        <f>+'1.1.mell._ÖNK_Mérleg2020'!E49+'1.2.mell._HKÖH_Mérleg2020'!E49+'1.3.mell._HVÓBKI_Mérleg2020'!E49+'1.4.mell._HKK_Mérleg2020'!E49+'1.5._mell._MŐSZ_Mérleg2020'!E49+'1.6._mell._HVGYKCSSZ_Mérleg2020'!E49</f>
        <v>0</v>
      </c>
      <c r="F49" s="23">
        <f>+'1.1.mell._ÖNK_Mérleg2020'!F49+'1.2.mell._HKÖH_Mérleg2020'!F49+'1.3.mell._HVÓBKI_Mérleg2020'!F49+'1.4.mell._HKK_Mérleg2020'!F49+'1.5._mell._MŐSZ_Mérleg2020'!F49+'1.6._mell._HVGYKCSSZ_Mérleg2020'!F49</f>
        <v>1390</v>
      </c>
      <c r="G49" s="21">
        <f>+'1.1.mell._ÖNK_Mérleg2020'!G49+'1.2.mell._HKÖH_Mérleg2020'!G49+'1.3.mell._HVÓBKI_Mérleg2020'!G49+'1.4.mell._HKK_Mérleg2020'!G49+'1.5._mell._MŐSZ_Mérleg2020'!G49+'1.6._mell._HVGYKCSSZ_Mérleg2020'!G49</f>
        <v>1390</v>
      </c>
      <c r="H49" s="22">
        <f>+'1.1.mell._ÖNK_Mérleg2020'!H49+'1.2.mell._HKÖH_Mérleg2020'!H49+'1.3.mell._HVÓBKI_Mérleg2020'!H49+'1.4.mell._HKK_Mérleg2020'!H49+'1.5._mell._MŐSZ_Mérleg2020'!H49+'1.6._mell._HVGYKCSSZ_Mérleg2020'!H49</f>
        <v>0</v>
      </c>
      <c r="I49" s="23">
        <f>+'1.1.mell._ÖNK_Mérleg2020'!I49+'1.2.mell._HKÖH_Mérleg2020'!I49+'1.3.mell._HVÓBKI_Mérleg2020'!I49+'1.4.mell._HKK_Mérleg2020'!I49+'1.5._mell._MŐSZ_Mérleg2020'!I49+'1.6._mell._HVGYKCSSZ_Mérleg2020'!I49</f>
        <v>0</v>
      </c>
      <c r="K49" s="4">
        <f t="shared" si="10"/>
        <v>0</v>
      </c>
    </row>
    <row r="50" spans="1:11" s="3" customFormat="1" ht="12.75" thickBot="1">
      <c r="A50" s="83" t="s">
        <v>15</v>
      </c>
      <c r="B50" s="69" t="s">
        <v>299</v>
      </c>
      <c r="C50" s="129">
        <f t="shared" ref="C50" si="31">+C51+C58+C64</f>
        <v>73726</v>
      </c>
      <c r="D50" s="1171">
        <f t="shared" ref="D50" si="32">+D51+D58+D64</f>
        <v>73726</v>
      </c>
      <c r="E50" s="1171">
        <f t="shared" ref="E50" si="33">+E51+E58+E64</f>
        <v>0</v>
      </c>
      <c r="F50" s="29">
        <f t="shared" ref="F50" si="34">+F51+F58+F64</f>
        <v>73726</v>
      </c>
      <c r="G50" s="27">
        <f t="shared" ref="G50:I50" si="35">+G51+G58+G64</f>
        <v>72626</v>
      </c>
      <c r="H50" s="28">
        <f t="shared" si="35"/>
        <v>1100</v>
      </c>
      <c r="I50" s="29">
        <f t="shared" si="35"/>
        <v>0</v>
      </c>
      <c r="J50" s="689">
        <f>+F50/$F$102</f>
        <v>1.4174424282973233E-2</v>
      </c>
      <c r="K50" s="3">
        <f t="shared" si="10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 t="shared" ref="C51" si="36">+C52+C53+C54+C55+C56</f>
        <v>32276</v>
      </c>
      <c r="D51" s="1171">
        <f t="shared" ref="D51" si="37">+D52+D53+D54+D55+D56</f>
        <v>32276</v>
      </c>
      <c r="E51" s="1171">
        <f t="shared" ref="E51" si="38">+E52+E53+E54+E55+E56</f>
        <v>0</v>
      </c>
      <c r="F51" s="29">
        <f t="shared" ref="F51" si="39">+F52+F53+F54+F55+F56</f>
        <v>32276</v>
      </c>
      <c r="G51" s="27">
        <f t="shared" ref="G51:I51" si="40">+G52+G53+G54+G55+G56</f>
        <v>32276</v>
      </c>
      <c r="H51" s="28">
        <f t="shared" si="40"/>
        <v>0</v>
      </c>
      <c r="I51" s="29">
        <f t="shared" si="40"/>
        <v>0</v>
      </c>
      <c r="J51" s="689">
        <f>+F51/$F$102</f>
        <v>6.2053240126582762E-3</v>
      </c>
      <c r="K51" s="3">
        <f t="shared" si="10"/>
        <v>0</v>
      </c>
    </row>
    <row r="52" spans="1:11">
      <c r="A52" s="84" t="s">
        <v>184</v>
      </c>
      <c r="B52" s="113" t="s">
        <v>115</v>
      </c>
      <c r="C52" s="404">
        <f>+'1.1.mell._ÖNK_Mérleg2020'!C52+'1.2.mell._HKÖH_Mérleg2020'!C52+'1.3.mell._HVÓBKI_Mérleg2020'!C52+'1.4.mell._HKK_Mérleg2020'!C52+'1.5._mell._MŐSZ_Mérleg2020'!C52+'1.6._mell._HVGYKCSSZ_Mérleg2020'!C52</f>
        <v>0</v>
      </c>
      <c r="D52" s="1172">
        <f>+'1.1.mell._ÖNK_Mérleg2020'!D52+'1.2.mell._HKÖH_Mérleg2020'!D52+'1.3.mell._HVÓBKI_Mérleg2020'!D52+'1.4.mell._HKK_Mérleg2020'!D52+'1.5._mell._MŐSZ_Mérleg2020'!D52+'1.6._mell._HVGYKCSSZ_Mérleg2020'!D52</f>
        <v>0</v>
      </c>
      <c r="E52" s="1172">
        <f>+'1.1.mell._ÖNK_Mérleg2020'!E52+'1.2.mell._HKÖH_Mérleg2020'!E52+'1.3.mell._HVÓBKI_Mérleg2020'!E52+'1.4.mell._HKK_Mérleg2020'!E52+'1.5._mell._MŐSZ_Mérleg2020'!E52+'1.6._mell._HVGYKCSSZ_Mérleg2020'!E52</f>
        <v>0</v>
      </c>
      <c r="F52" s="35">
        <f>+'1.1.mell._ÖNK_Mérleg2020'!F52+'1.2.mell._HKÖH_Mérleg2020'!F52+'1.3.mell._HVÓBKI_Mérleg2020'!F52+'1.4.mell._HKK_Mérleg2020'!F52+'1.5._mell._MŐSZ_Mérleg2020'!F52+'1.6._mell._HVGYKCSSZ_Mérleg2020'!F52</f>
        <v>0</v>
      </c>
      <c r="G52" s="34">
        <f>+'1.1.mell._ÖNK_Mérleg2020'!G52+'1.2.mell._HKÖH_Mérleg2020'!G52+'1.3.mell._HVÓBKI_Mérleg2020'!G52+'1.4.mell._HKK_Mérleg2020'!G52+'1.5._mell._MŐSZ_Mérleg2020'!G52+'1.6._mell._HVGYKCSSZ_Mérleg2020'!G52</f>
        <v>0</v>
      </c>
      <c r="H52" s="10">
        <f>+'1.1.mell._ÖNK_Mérleg2020'!H52+'1.2.mell._HKÖH_Mérleg2020'!H52+'1.3.mell._HVÓBKI_Mérleg2020'!H52+'1.4.mell._HKK_Mérleg2020'!H52+'1.5._mell._MŐSZ_Mérleg2020'!H52+'1.6._mell._HVGYKCSSZ_Mérleg2020'!H52</f>
        <v>0</v>
      </c>
      <c r="I52" s="35">
        <f>+'1.1.mell._ÖNK_Mérleg2020'!I52+'1.2.mell._HKÖH_Mérleg2020'!I52+'1.3.mell._HVÓBKI_Mérleg2020'!I52+'1.4.mell._HKK_Mérleg2020'!I52+'1.5._mell._MŐSZ_Mérleg2020'!I52+'1.6._mell._HVGYKCSSZ_Mérleg2020'!I52</f>
        <v>0</v>
      </c>
      <c r="K52" s="4">
        <f t="shared" si="10"/>
        <v>0</v>
      </c>
    </row>
    <row r="53" spans="1:11">
      <c r="A53" s="85" t="s">
        <v>185</v>
      </c>
      <c r="B53" s="67" t="s">
        <v>116</v>
      </c>
      <c r="C53" s="402">
        <f>+'1.1.mell._ÖNK_Mérleg2020'!C53+'1.2.mell._HKÖH_Mérleg2020'!C53+'1.3.mell._HVÓBKI_Mérleg2020'!C53+'1.4.mell._HKK_Mérleg2020'!C53+'1.5._mell._MŐSZ_Mérleg2020'!C53+'1.6._mell._HVGYKCSSZ_Mérleg2020'!C53</f>
        <v>0</v>
      </c>
      <c r="D53" s="1174">
        <f>+'1.1.mell._ÖNK_Mérleg2020'!D53+'1.2.mell._HKÖH_Mérleg2020'!D53+'1.3.mell._HVÓBKI_Mérleg2020'!D53+'1.4.mell._HKK_Mérleg2020'!D53+'1.5._mell._MŐSZ_Mérleg2020'!D53+'1.6._mell._HVGYKCSSZ_Mérleg2020'!D53</f>
        <v>0</v>
      </c>
      <c r="E53" s="1174">
        <f>+'1.1.mell._ÖNK_Mérleg2020'!E53+'1.2.mell._HKÖH_Mérleg2020'!E53+'1.3.mell._HVÓBKI_Mérleg2020'!E53+'1.4.mell._HKK_Mérleg2020'!E53+'1.5._mell._MŐSZ_Mérleg2020'!E53+'1.6._mell._HVGYKCSSZ_Mérleg2020'!E53</f>
        <v>0</v>
      </c>
      <c r="F53" s="16">
        <f>+'1.1.mell._ÖNK_Mérleg2020'!F53+'1.2.mell._HKÖH_Mérleg2020'!F53+'1.3.mell._HVÓBKI_Mérleg2020'!F53+'1.4.mell._HKK_Mérleg2020'!F53+'1.5._mell._MŐSZ_Mérleg2020'!F53+'1.6._mell._HVGYKCSSZ_Mérleg2020'!F53</f>
        <v>0</v>
      </c>
      <c r="G53" s="20">
        <f>+'1.1.mell._ÖNK_Mérleg2020'!G53+'1.2.mell._HKÖH_Mérleg2020'!G53+'1.3.mell._HVÓBKI_Mérleg2020'!G53+'1.4.mell._HKK_Mérleg2020'!G53+'1.5._mell._MŐSZ_Mérleg2020'!G53+'1.6._mell._HVGYKCSSZ_Mérleg2020'!G53</f>
        <v>0</v>
      </c>
      <c r="H53" s="11">
        <f>+'1.1.mell._ÖNK_Mérleg2020'!H53+'1.2.mell._HKÖH_Mérleg2020'!H53+'1.3.mell._HVÓBKI_Mérleg2020'!H53+'1.4.mell._HKK_Mérleg2020'!H53+'1.5._mell._MŐSZ_Mérleg2020'!H53+'1.6._mell._HVGYKCSSZ_Mérleg2020'!H53</f>
        <v>0</v>
      </c>
      <c r="I53" s="16">
        <f>+'1.1.mell._ÖNK_Mérleg2020'!I53+'1.2.mell._HKÖH_Mérleg2020'!I53+'1.3.mell._HVÓBKI_Mérleg2020'!I53+'1.4.mell._HKK_Mérleg2020'!I53+'1.5._mell._MŐSZ_Mérleg2020'!I53+'1.6._mell._HVGYKCSSZ_Mérleg2020'!I53</f>
        <v>0</v>
      </c>
      <c r="K53" s="4">
        <f t="shared" si="10"/>
        <v>0</v>
      </c>
    </row>
    <row r="54" spans="1:11">
      <c r="A54" s="85" t="s">
        <v>186</v>
      </c>
      <c r="B54" s="67" t="s">
        <v>117</v>
      </c>
      <c r="C54" s="402">
        <f>+'1.1.mell._ÖNK_Mérleg2020'!C54+'1.2.mell._HKÖH_Mérleg2020'!C54+'1.3.mell._HVÓBKI_Mérleg2020'!C54+'1.4.mell._HKK_Mérleg2020'!C54+'1.5._mell._MŐSZ_Mérleg2020'!C54+'1.6._mell._HVGYKCSSZ_Mérleg2020'!C54</f>
        <v>0</v>
      </c>
      <c r="D54" s="1174">
        <f>+'1.1.mell._ÖNK_Mérleg2020'!D54+'1.2.mell._HKÖH_Mérleg2020'!D54+'1.3.mell._HVÓBKI_Mérleg2020'!D54+'1.4.mell._HKK_Mérleg2020'!D54+'1.5._mell._MŐSZ_Mérleg2020'!D54+'1.6._mell._HVGYKCSSZ_Mérleg2020'!D54</f>
        <v>0</v>
      </c>
      <c r="E54" s="1174">
        <f>+'1.1.mell._ÖNK_Mérleg2020'!E54+'1.2.mell._HKÖH_Mérleg2020'!E54+'1.3.mell._HVÓBKI_Mérleg2020'!E54+'1.4.mell._HKK_Mérleg2020'!E54+'1.5._mell._MŐSZ_Mérleg2020'!E54+'1.6._mell._HVGYKCSSZ_Mérleg2020'!E54</f>
        <v>0</v>
      </c>
      <c r="F54" s="16">
        <f>+'1.1.mell._ÖNK_Mérleg2020'!F54+'1.2.mell._HKÖH_Mérleg2020'!F54+'1.3.mell._HVÓBKI_Mérleg2020'!F54+'1.4.mell._HKK_Mérleg2020'!F54+'1.5._mell._MŐSZ_Mérleg2020'!F54+'1.6._mell._HVGYKCSSZ_Mérleg2020'!F54</f>
        <v>0</v>
      </c>
      <c r="G54" s="20">
        <f>+'1.1.mell._ÖNK_Mérleg2020'!G54+'1.2.mell._HKÖH_Mérleg2020'!G54+'1.3.mell._HVÓBKI_Mérleg2020'!G54+'1.4.mell._HKK_Mérleg2020'!G54+'1.5._mell._MŐSZ_Mérleg2020'!G54+'1.6._mell._HVGYKCSSZ_Mérleg2020'!G54</f>
        <v>0</v>
      </c>
      <c r="H54" s="11">
        <f>+'1.1.mell._ÖNK_Mérleg2020'!H54+'1.2.mell._HKÖH_Mérleg2020'!H54+'1.3.mell._HVÓBKI_Mérleg2020'!H54+'1.4.mell._HKK_Mérleg2020'!H54+'1.5._mell._MŐSZ_Mérleg2020'!H54+'1.6._mell._HVGYKCSSZ_Mérleg2020'!H54</f>
        <v>0</v>
      </c>
      <c r="I54" s="16">
        <f>+'1.1.mell._ÖNK_Mérleg2020'!I54+'1.2.mell._HKÖH_Mérleg2020'!I54+'1.3.mell._HVÓBKI_Mérleg2020'!I54+'1.4.mell._HKK_Mérleg2020'!I54+'1.5._mell._MŐSZ_Mérleg2020'!I54+'1.6._mell._HVGYKCSSZ_Mérleg2020'!I54</f>
        <v>0</v>
      </c>
      <c r="K54" s="4">
        <f t="shared" si="10"/>
        <v>0</v>
      </c>
    </row>
    <row r="55" spans="1:11">
      <c r="A55" s="85" t="s">
        <v>187</v>
      </c>
      <c r="B55" s="67" t="s">
        <v>118</v>
      </c>
      <c r="C55" s="402">
        <f>+'1.1.mell._ÖNK_Mérleg2020'!C55+'1.2.mell._HKÖH_Mérleg2020'!C55+'1.3.mell._HVÓBKI_Mérleg2020'!C55+'1.4.mell._HKK_Mérleg2020'!C55+'1.5._mell._MŐSZ_Mérleg2020'!C55+'1.6._mell._HVGYKCSSZ_Mérleg2020'!C55</f>
        <v>0</v>
      </c>
      <c r="D55" s="1174">
        <f>+'1.1.mell._ÖNK_Mérleg2020'!D55+'1.2.mell._HKÖH_Mérleg2020'!D55+'1.3.mell._HVÓBKI_Mérleg2020'!D55+'1.4.mell._HKK_Mérleg2020'!D55+'1.5._mell._MŐSZ_Mérleg2020'!D55+'1.6._mell._HVGYKCSSZ_Mérleg2020'!D55</f>
        <v>0</v>
      </c>
      <c r="E55" s="1174">
        <f>+'1.1.mell._ÖNK_Mérleg2020'!E55+'1.2.mell._HKÖH_Mérleg2020'!E55+'1.3.mell._HVÓBKI_Mérleg2020'!E55+'1.4.mell._HKK_Mérleg2020'!E55+'1.5._mell._MŐSZ_Mérleg2020'!E55+'1.6._mell._HVGYKCSSZ_Mérleg2020'!E55</f>
        <v>0</v>
      </c>
      <c r="F55" s="16">
        <f>+'1.1.mell._ÖNK_Mérleg2020'!F55+'1.2.mell._HKÖH_Mérleg2020'!F55+'1.3.mell._HVÓBKI_Mérleg2020'!F55+'1.4.mell._HKK_Mérleg2020'!F55+'1.5._mell._MŐSZ_Mérleg2020'!F55+'1.6._mell._HVGYKCSSZ_Mérleg2020'!F55</f>
        <v>0</v>
      </c>
      <c r="G55" s="20">
        <f>+'1.1.mell._ÖNK_Mérleg2020'!G55+'1.2.mell._HKÖH_Mérleg2020'!G55+'1.3.mell._HVÓBKI_Mérleg2020'!G55+'1.4.mell._HKK_Mérleg2020'!G55+'1.5._mell._MŐSZ_Mérleg2020'!G55+'1.6._mell._HVGYKCSSZ_Mérleg2020'!G55</f>
        <v>0</v>
      </c>
      <c r="H55" s="11">
        <f>+'1.1.mell._ÖNK_Mérleg2020'!H55+'1.2.mell._HKÖH_Mérleg2020'!H55+'1.3.mell._HVÓBKI_Mérleg2020'!H55+'1.4.mell._HKK_Mérleg2020'!H55+'1.5._mell._MŐSZ_Mérleg2020'!H55+'1.6._mell._HVGYKCSSZ_Mérleg2020'!H55</f>
        <v>0</v>
      </c>
      <c r="I55" s="16">
        <f>+'1.1.mell._ÖNK_Mérleg2020'!I55+'1.2.mell._HKÖH_Mérleg2020'!I55+'1.3.mell._HVÓBKI_Mérleg2020'!I55+'1.4.mell._HKK_Mérleg2020'!I55+'1.5._mell._MŐSZ_Mérleg2020'!I55+'1.6._mell._HVGYKCSSZ_Mérleg2020'!I55</f>
        <v>0</v>
      </c>
      <c r="K55" s="4">
        <f t="shared" si="10"/>
        <v>0</v>
      </c>
    </row>
    <row r="56" spans="1:11">
      <c r="A56" s="78" t="s">
        <v>188</v>
      </c>
      <c r="B56" s="68" t="s">
        <v>119</v>
      </c>
      <c r="C56" s="403">
        <f>+'1.1.mell._ÖNK_Mérleg2020'!C56+'1.2.mell._HKÖH_Mérleg2020'!C56+'1.3.mell._HVÓBKI_Mérleg2020'!C56+'1.4.mell._HKK_Mérleg2020'!C56+'1.5._mell._MŐSZ_Mérleg2020'!C56+'1.6._mell._HVGYKCSSZ_Mérleg2020'!C56</f>
        <v>32276</v>
      </c>
      <c r="D56" s="1175">
        <f>+'1.1.mell._ÖNK_Mérleg2020'!D56+'1.2.mell._HKÖH_Mérleg2020'!D56+'1.3.mell._HVÓBKI_Mérleg2020'!D56+'1.4.mell._HKK_Mérleg2020'!D56+'1.5._mell._MŐSZ_Mérleg2020'!D56+'1.6._mell._HVGYKCSSZ_Mérleg2020'!D56</f>
        <v>32276</v>
      </c>
      <c r="E56" s="1175">
        <f>+'1.1.mell._ÖNK_Mérleg2020'!E56+'1.2.mell._HKÖH_Mérleg2020'!E56+'1.3.mell._HVÓBKI_Mérleg2020'!E56+'1.4.mell._HKK_Mérleg2020'!E56+'1.5._mell._MŐSZ_Mérleg2020'!E56+'1.6._mell._HVGYKCSSZ_Mérleg2020'!E56</f>
        <v>0</v>
      </c>
      <c r="F56" s="23">
        <f>+'1.1.mell._ÖNK_Mérleg2020'!F56+'1.2.mell._HKÖH_Mérleg2020'!F56+'1.3.mell._HVÓBKI_Mérleg2020'!F56+'1.4.mell._HKK_Mérleg2020'!F56+'1.5._mell._MŐSZ_Mérleg2020'!F56+'1.6._mell._HVGYKCSSZ_Mérleg2020'!F56</f>
        <v>32276</v>
      </c>
      <c r="G56" s="21">
        <f>+'1.1.mell._ÖNK_Mérleg2020'!G56+'1.2.mell._HKÖH_Mérleg2020'!G56+'1.3.mell._HVÓBKI_Mérleg2020'!G56+'1.4.mell._HKK_Mérleg2020'!G56+'1.5._mell._MŐSZ_Mérleg2020'!G56+'1.6._mell._HVGYKCSSZ_Mérleg2020'!G56</f>
        <v>32276</v>
      </c>
      <c r="H56" s="22">
        <f>+'1.1.mell._ÖNK_Mérleg2020'!H56+'1.2.mell._HKÖH_Mérleg2020'!H56+'1.3.mell._HVÓBKI_Mérleg2020'!H56+'1.4.mell._HKK_Mérleg2020'!H56+'1.5._mell._MŐSZ_Mérleg2020'!H56+'1.6._mell._HVGYKCSSZ_Mérleg2020'!H56</f>
        <v>0</v>
      </c>
      <c r="I56" s="23">
        <f>+'1.1.mell._ÖNK_Mérleg2020'!I56+'1.2.mell._HKÖH_Mérleg2020'!I56+'1.3.mell._HVÓBKI_Mérleg2020'!I56+'1.4.mell._HKK_Mérleg2020'!I56+'1.5._mell._MŐSZ_Mérleg2020'!I56+'1.6._mell._HVGYKCSSZ_Mérleg2020'!I56</f>
        <v>0</v>
      </c>
      <c r="K56" s="4">
        <f t="shared" si="10"/>
        <v>0</v>
      </c>
    </row>
    <row r="57" spans="1:11" s="13" customFormat="1" ht="12.75" thickBot="1">
      <c r="A57" s="89" t="s">
        <v>333</v>
      </c>
      <c r="B57" s="787" t="s">
        <v>337</v>
      </c>
      <c r="C57" s="401">
        <f>+'1.1.mell._ÖNK_Mérleg2020'!C57+'1.2.mell._HKÖH_Mérleg2020'!C57+'1.3.mell._HVÓBKI_Mérleg2020'!C57+'1.4.mell._HKK_Mérleg2020'!C57+'1.5._mell._MŐSZ_Mérleg2020'!C57+'1.6._mell._HVGYKCSSZ_Mérleg2020'!C57</f>
        <v>0</v>
      </c>
      <c r="D57" s="1176">
        <f>+'1.1.mell._ÖNK_Mérleg2020'!D57+'1.2.mell._HKÖH_Mérleg2020'!D57+'1.3.mell._HVÓBKI_Mérleg2020'!D57+'1.4.mell._HKK_Mérleg2020'!D57+'1.5._mell._MŐSZ_Mérleg2020'!D57+'1.6._mell._HVGYKCSSZ_Mérleg2020'!D57</f>
        <v>0</v>
      </c>
      <c r="E57" s="1176">
        <f>+'1.1.mell._ÖNK_Mérleg2020'!E57+'1.2.mell._HKÖH_Mérleg2020'!E57+'1.3.mell._HVÓBKI_Mérleg2020'!E57+'1.4.mell._HKK_Mérleg2020'!E57+'1.5._mell._MŐSZ_Mérleg2020'!E57+'1.6._mell._HVGYKCSSZ_Mérleg2020'!E57</f>
        <v>0</v>
      </c>
      <c r="F57" s="44">
        <f>+'1.1.mell._ÖNK_Mérleg2020'!F57+'1.2.mell._HKÖH_Mérleg2020'!F57+'1.3.mell._HVÓBKI_Mérleg2020'!F57+'1.4.mell._HKK_Mérleg2020'!F57+'1.5._mell._MŐSZ_Mérleg2020'!F57+'1.6._mell._HVGYKCSSZ_Mérleg2020'!F57</f>
        <v>0</v>
      </c>
      <c r="G57" s="45">
        <f>+'1.1.mell._ÖNK_Mérleg2020'!G57+'1.2.mell._HKÖH_Mérleg2020'!G57+'1.3.mell._HVÓBKI_Mérleg2020'!G57+'1.4.mell._HKK_Mérleg2020'!G57+'1.5._mell._MŐSZ_Mérleg2020'!G57+'1.6._mell._HVGYKCSSZ_Mérleg2020'!G57</f>
        <v>0</v>
      </c>
      <c r="H57" s="43">
        <f>+'1.1.mell._ÖNK_Mérleg2020'!H57+'1.2.mell._HKÖH_Mérleg2020'!H57+'1.3.mell._HVÓBKI_Mérleg2020'!H57+'1.4.mell._HKK_Mérleg2020'!H57+'1.5._mell._MŐSZ_Mérleg2020'!H57+'1.6._mell._HVGYKCSSZ_Mérleg2020'!H57</f>
        <v>0</v>
      </c>
      <c r="I57" s="44">
        <f>+'1.1.mell._ÖNK_Mérleg2020'!I57+'1.2.mell._HKÖH_Mérleg2020'!I57+'1.3.mell._HVÓBKI_Mérleg2020'!I57+'1.4.mell._HKK_Mérleg2020'!I57+'1.5._mell._MŐSZ_Mérleg2020'!I57+'1.6._mell._HVGYKCSSZ_Mérleg2020'!I57</f>
        <v>0</v>
      </c>
      <c r="K57" s="13">
        <f t="shared" si="10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 t="shared" ref="C58" si="41">+C59+C60+C61+C62+C63</f>
        <v>40350</v>
      </c>
      <c r="D58" s="1171">
        <f t="shared" ref="D58" si="42">+D59+D60+D61+D62+D63</f>
        <v>40350</v>
      </c>
      <c r="E58" s="1171">
        <f t="shared" ref="E58" si="43">+E59+E60+E61+E62+E63</f>
        <v>0</v>
      </c>
      <c r="F58" s="29">
        <f t="shared" ref="F58" si="44">+F59+F60+F61+F62+F63</f>
        <v>40350</v>
      </c>
      <c r="G58" s="27">
        <f t="shared" ref="G58:I58" si="45">+G59+G60+G61+G62+G63</f>
        <v>40350</v>
      </c>
      <c r="H58" s="28">
        <f t="shared" si="45"/>
        <v>0</v>
      </c>
      <c r="I58" s="29">
        <f t="shared" si="45"/>
        <v>0</v>
      </c>
      <c r="J58" s="689">
        <f>+F58/$F$102</f>
        <v>7.7576163065671538E-3</v>
      </c>
      <c r="K58" s="3">
        <f t="shared" si="10"/>
        <v>0</v>
      </c>
    </row>
    <row r="59" spans="1:11" ht="12.75" customHeight="1">
      <c r="A59" s="84" t="s">
        <v>66</v>
      </c>
      <c r="B59" s="65" t="s">
        <v>120</v>
      </c>
      <c r="C59" s="404">
        <f>+'1.1.mell._ÖNK_Mérleg2020'!C59+'1.2.mell._HKÖH_Mérleg2020'!C59+'1.3.mell._HVÓBKI_Mérleg2020'!C59+'1.4.mell._HKK_Mérleg2020'!C59+'1.5._mell._MŐSZ_Mérleg2020'!C59+'1.6._mell._HVGYKCSSZ_Mérleg2020'!C59</f>
        <v>0</v>
      </c>
      <c r="D59" s="1172">
        <f>+'1.1.mell._ÖNK_Mérleg2020'!D59+'1.2.mell._HKÖH_Mérleg2020'!D59+'1.3.mell._HVÓBKI_Mérleg2020'!D59+'1.4.mell._HKK_Mérleg2020'!D59+'1.5._mell._MŐSZ_Mérleg2020'!D59+'1.6._mell._HVGYKCSSZ_Mérleg2020'!D59</f>
        <v>0</v>
      </c>
      <c r="E59" s="1172">
        <f>+'1.1.mell._ÖNK_Mérleg2020'!E59+'1.2.mell._HKÖH_Mérleg2020'!E59+'1.3.mell._HVÓBKI_Mérleg2020'!E59+'1.4.mell._HKK_Mérleg2020'!E59+'1.5._mell._MŐSZ_Mérleg2020'!E59+'1.6._mell._HVGYKCSSZ_Mérleg2020'!E59</f>
        <v>0</v>
      </c>
      <c r="F59" s="35">
        <f>+'1.1.mell._ÖNK_Mérleg2020'!F59+'1.2.mell._HKÖH_Mérleg2020'!F59+'1.3.mell._HVÓBKI_Mérleg2020'!F59+'1.4.mell._HKK_Mérleg2020'!F59+'1.5._mell._MŐSZ_Mérleg2020'!F59+'1.6._mell._HVGYKCSSZ_Mérleg2020'!F59</f>
        <v>0</v>
      </c>
      <c r="G59" s="34">
        <f>+'1.1.mell._ÖNK_Mérleg2020'!G59+'1.2.mell._HKÖH_Mérleg2020'!G59+'1.3.mell._HVÓBKI_Mérleg2020'!G59+'1.4.mell._HKK_Mérleg2020'!G59+'1.5._mell._MŐSZ_Mérleg2020'!G59+'1.6._mell._HVGYKCSSZ_Mérleg2020'!G59</f>
        <v>0</v>
      </c>
      <c r="H59" s="10">
        <f>+'1.1.mell._ÖNK_Mérleg2020'!H59+'1.2.mell._HKÖH_Mérleg2020'!H59+'1.3.mell._HVÓBKI_Mérleg2020'!H59+'1.4.mell._HKK_Mérleg2020'!H59+'1.5._mell._MŐSZ_Mérleg2020'!H59+'1.6._mell._HVGYKCSSZ_Mérleg2020'!H59</f>
        <v>0</v>
      </c>
      <c r="I59" s="35">
        <f>+'1.1.mell._ÖNK_Mérleg2020'!I59+'1.2.mell._HKÖH_Mérleg2020'!I59+'1.3.mell._HVÓBKI_Mérleg2020'!I59+'1.4.mell._HKK_Mérleg2020'!I59+'1.5._mell._MŐSZ_Mérleg2020'!I59+'1.6._mell._HVGYKCSSZ_Mérleg2020'!I59</f>
        <v>0</v>
      </c>
      <c r="K59" s="4">
        <f t="shared" si="10"/>
        <v>0</v>
      </c>
    </row>
    <row r="60" spans="1:11" ht="12.75" customHeight="1">
      <c r="A60" s="85" t="s">
        <v>67</v>
      </c>
      <c r="B60" s="67" t="s">
        <v>121</v>
      </c>
      <c r="C60" s="402">
        <f>+'1.1.mell._ÖNK_Mérleg2020'!C60+'1.2.mell._HKÖH_Mérleg2020'!C60+'1.3.mell._HVÓBKI_Mérleg2020'!C60+'1.4.mell._HKK_Mérleg2020'!C60+'1.5._mell._MŐSZ_Mérleg2020'!C60+'1.6._mell._HVGYKCSSZ_Mérleg2020'!C60</f>
        <v>40350</v>
      </c>
      <c r="D60" s="1174">
        <f>+'1.1.mell._ÖNK_Mérleg2020'!D60+'1.2.mell._HKÖH_Mérleg2020'!D60+'1.3.mell._HVÓBKI_Mérleg2020'!D60+'1.4.mell._HKK_Mérleg2020'!D60+'1.5._mell._MŐSZ_Mérleg2020'!D60+'1.6._mell._HVGYKCSSZ_Mérleg2020'!D60</f>
        <v>40350</v>
      </c>
      <c r="E60" s="1174">
        <f>+'1.1.mell._ÖNK_Mérleg2020'!E60+'1.2.mell._HKÖH_Mérleg2020'!E60+'1.3.mell._HVÓBKI_Mérleg2020'!E60+'1.4.mell._HKK_Mérleg2020'!E60+'1.5._mell._MŐSZ_Mérleg2020'!E60+'1.6._mell._HVGYKCSSZ_Mérleg2020'!E60</f>
        <v>0</v>
      </c>
      <c r="F60" s="16">
        <f>+'1.1.mell._ÖNK_Mérleg2020'!F60+'1.2.mell._HKÖH_Mérleg2020'!F60+'1.3.mell._HVÓBKI_Mérleg2020'!F60+'1.4.mell._HKK_Mérleg2020'!F60+'1.5._mell._MŐSZ_Mérleg2020'!F60+'1.6._mell._HVGYKCSSZ_Mérleg2020'!F60</f>
        <v>40350</v>
      </c>
      <c r="G60" s="20">
        <f>+'1.1.mell._ÖNK_Mérleg2020'!G60+'1.2.mell._HKÖH_Mérleg2020'!G60+'1.3.mell._HVÓBKI_Mérleg2020'!G60+'1.4.mell._HKK_Mérleg2020'!G60+'1.5._mell._MŐSZ_Mérleg2020'!G60+'1.6._mell._HVGYKCSSZ_Mérleg2020'!G60</f>
        <v>40350</v>
      </c>
      <c r="H60" s="11">
        <f>+'1.1.mell._ÖNK_Mérleg2020'!H60+'1.2.mell._HKÖH_Mérleg2020'!H60+'1.3.mell._HVÓBKI_Mérleg2020'!H60+'1.4.mell._HKK_Mérleg2020'!H60+'1.5._mell._MŐSZ_Mérleg2020'!H60+'1.6._mell._HVGYKCSSZ_Mérleg2020'!H60</f>
        <v>0</v>
      </c>
      <c r="I60" s="16">
        <f>+'1.1.mell._ÖNK_Mérleg2020'!I60+'1.2.mell._HKÖH_Mérleg2020'!I60+'1.3.mell._HVÓBKI_Mérleg2020'!I60+'1.4.mell._HKK_Mérleg2020'!I60+'1.5._mell._MŐSZ_Mérleg2020'!I60+'1.6._mell._HVGYKCSSZ_Mérleg2020'!I60</f>
        <v>0</v>
      </c>
      <c r="K60" s="4">
        <f t="shared" si="10"/>
        <v>0</v>
      </c>
    </row>
    <row r="61" spans="1:11" ht="12.75" customHeight="1">
      <c r="A61" s="85" t="s">
        <v>68</v>
      </c>
      <c r="B61" s="67" t="s">
        <v>122</v>
      </c>
      <c r="C61" s="402">
        <f>+'1.1.mell._ÖNK_Mérleg2020'!C61+'1.2.mell._HKÖH_Mérleg2020'!C61+'1.3.mell._HVÓBKI_Mérleg2020'!C61+'1.4.mell._HKK_Mérleg2020'!C61+'1.5._mell._MŐSZ_Mérleg2020'!C61+'1.6._mell._HVGYKCSSZ_Mérleg2020'!C61</f>
        <v>0</v>
      </c>
      <c r="D61" s="1174">
        <f>+'1.1.mell._ÖNK_Mérleg2020'!D61+'1.2.mell._HKÖH_Mérleg2020'!D61+'1.3.mell._HVÓBKI_Mérleg2020'!D61+'1.4.mell._HKK_Mérleg2020'!D61+'1.5._mell._MŐSZ_Mérleg2020'!D61+'1.6._mell._HVGYKCSSZ_Mérleg2020'!D61</f>
        <v>0</v>
      </c>
      <c r="E61" s="1174">
        <f>+'1.1.mell._ÖNK_Mérleg2020'!E61+'1.2.mell._HKÖH_Mérleg2020'!E61+'1.3.mell._HVÓBKI_Mérleg2020'!E61+'1.4.mell._HKK_Mérleg2020'!E61+'1.5._mell._MŐSZ_Mérleg2020'!E61+'1.6._mell._HVGYKCSSZ_Mérleg2020'!E61</f>
        <v>0</v>
      </c>
      <c r="F61" s="16">
        <f>+'1.1.mell._ÖNK_Mérleg2020'!F61+'1.2.mell._HKÖH_Mérleg2020'!F61+'1.3.mell._HVÓBKI_Mérleg2020'!F61+'1.4.mell._HKK_Mérleg2020'!F61+'1.5._mell._MŐSZ_Mérleg2020'!F61+'1.6._mell._HVGYKCSSZ_Mérleg2020'!F61</f>
        <v>0</v>
      </c>
      <c r="G61" s="20">
        <f>+'1.1.mell._ÖNK_Mérleg2020'!G61+'1.2.mell._HKÖH_Mérleg2020'!G61+'1.3.mell._HVÓBKI_Mérleg2020'!G61+'1.4.mell._HKK_Mérleg2020'!G61+'1.5._mell._MŐSZ_Mérleg2020'!G61+'1.6._mell._HVGYKCSSZ_Mérleg2020'!G61</f>
        <v>0</v>
      </c>
      <c r="H61" s="11">
        <f>+'1.1.mell._ÖNK_Mérleg2020'!H61+'1.2.mell._HKÖH_Mérleg2020'!H61+'1.3.mell._HVÓBKI_Mérleg2020'!H61+'1.4.mell._HKK_Mérleg2020'!H61+'1.5._mell._MŐSZ_Mérleg2020'!H61+'1.6._mell._HVGYKCSSZ_Mérleg2020'!H61</f>
        <v>0</v>
      </c>
      <c r="I61" s="16">
        <f>+'1.1.mell._ÖNK_Mérleg2020'!I61+'1.2.mell._HKÖH_Mérleg2020'!I61+'1.3.mell._HVÓBKI_Mérleg2020'!I61+'1.4.mell._HKK_Mérleg2020'!I61+'1.5._mell._MŐSZ_Mérleg2020'!I61+'1.6._mell._HVGYKCSSZ_Mérleg2020'!I61</f>
        <v>0</v>
      </c>
      <c r="K61" s="4">
        <f t="shared" si="10"/>
        <v>0</v>
      </c>
    </row>
    <row r="62" spans="1:11" ht="12.75" customHeight="1">
      <c r="A62" s="85" t="s">
        <v>229</v>
      </c>
      <c r="B62" s="67" t="s">
        <v>123</v>
      </c>
      <c r="C62" s="402">
        <f>+'1.1.mell._ÖNK_Mérleg2020'!C62+'1.2.mell._HKÖH_Mérleg2020'!C62+'1.3.mell._HVÓBKI_Mérleg2020'!C62+'1.4.mell._HKK_Mérleg2020'!C62+'1.5._mell._MŐSZ_Mérleg2020'!C62+'1.6._mell._HVGYKCSSZ_Mérleg2020'!C62</f>
        <v>0</v>
      </c>
      <c r="D62" s="1174">
        <f>+'1.1.mell._ÖNK_Mérleg2020'!D62+'1.2.mell._HKÖH_Mérleg2020'!D62+'1.3.mell._HVÓBKI_Mérleg2020'!D62+'1.4.mell._HKK_Mérleg2020'!D62+'1.5._mell._MŐSZ_Mérleg2020'!D62+'1.6._mell._HVGYKCSSZ_Mérleg2020'!D62</f>
        <v>0</v>
      </c>
      <c r="E62" s="1174">
        <f>+'1.1.mell._ÖNK_Mérleg2020'!E62+'1.2.mell._HKÖH_Mérleg2020'!E62+'1.3.mell._HVÓBKI_Mérleg2020'!E62+'1.4.mell._HKK_Mérleg2020'!E62+'1.5._mell._MŐSZ_Mérleg2020'!E62+'1.6._mell._HVGYKCSSZ_Mérleg2020'!E62</f>
        <v>0</v>
      </c>
      <c r="F62" s="16">
        <f>+'1.1.mell._ÖNK_Mérleg2020'!F62+'1.2.mell._HKÖH_Mérleg2020'!F62+'1.3.mell._HVÓBKI_Mérleg2020'!F62+'1.4.mell._HKK_Mérleg2020'!F62+'1.5._mell._MŐSZ_Mérleg2020'!F62+'1.6._mell._HVGYKCSSZ_Mérleg2020'!F62</f>
        <v>0</v>
      </c>
      <c r="G62" s="20">
        <f>+'1.1.mell._ÖNK_Mérleg2020'!G62+'1.2.mell._HKÖH_Mérleg2020'!G62+'1.3.mell._HVÓBKI_Mérleg2020'!G62+'1.4.mell._HKK_Mérleg2020'!G62+'1.5._mell._MŐSZ_Mérleg2020'!G62+'1.6._mell._HVGYKCSSZ_Mérleg2020'!G62</f>
        <v>0</v>
      </c>
      <c r="H62" s="11">
        <f>+'1.1.mell._ÖNK_Mérleg2020'!H62+'1.2.mell._HKÖH_Mérleg2020'!H62+'1.3.mell._HVÓBKI_Mérleg2020'!H62+'1.4.mell._HKK_Mérleg2020'!H62+'1.5._mell._MŐSZ_Mérleg2020'!H62+'1.6._mell._HVGYKCSSZ_Mérleg2020'!H62</f>
        <v>0</v>
      </c>
      <c r="I62" s="16">
        <f>+'1.1.mell._ÖNK_Mérleg2020'!I62+'1.2.mell._HKÖH_Mérleg2020'!I62+'1.3.mell._HVÓBKI_Mérleg2020'!I62+'1.4.mell._HKK_Mérleg2020'!I62+'1.5._mell._MŐSZ_Mérleg2020'!I62+'1.6._mell._HVGYKCSSZ_Mérleg2020'!I62</f>
        <v>0</v>
      </c>
      <c r="K62" s="4">
        <f t="shared" si="10"/>
        <v>0</v>
      </c>
    </row>
    <row r="63" spans="1:11" ht="12.75" customHeight="1" thickBot="1">
      <c r="A63" s="78" t="s">
        <v>230</v>
      </c>
      <c r="B63" s="68" t="s">
        <v>124</v>
      </c>
      <c r="C63" s="403">
        <f>+'1.1.mell._ÖNK_Mérleg2020'!C63+'1.2.mell._HKÖH_Mérleg2020'!C63+'1.3.mell._HVÓBKI_Mérleg2020'!C63+'1.4.mell._HKK_Mérleg2020'!C63+'1.5._mell._MŐSZ_Mérleg2020'!C63+'1.6._mell._HVGYKCSSZ_Mérleg2020'!C63</f>
        <v>0</v>
      </c>
      <c r="D63" s="1175">
        <f>+'1.1.mell._ÖNK_Mérleg2020'!D63+'1.2.mell._HKÖH_Mérleg2020'!D63+'1.3.mell._HVÓBKI_Mérleg2020'!D63+'1.4.mell._HKK_Mérleg2020'!D63+'1.5._mell._MŐSZ_Mérleg2020'!D63+'1.6._mell._HVGYKCSSZ_Mérleg2020'!D63</f>
        <v>0</v>
      </c>
      <c r="E63" s="1175">
        <f>+'1.1.mell._ÖNK_Mérleg2020'!E63+'1.2.mell._HKÖH_Mérleg2020'!E63+'1.3.mell._HVÓBKI_Mérleg2020'!E63+'1.4.mell._HKK_Mérleg2020'!E63+'1.5._mell._MŐSZ_Mérleg2020'!E63+'1.6._mell._HVGYKCSSZ_Mérleg2020'!E63</f>
        <v>0</v>
      </c>
      <c r="F63" s="23">
        <f>+'1.1.mell._ÖNK_Mérleg2020'!F63+'1.2.mell._HKÖH_Mérleg2020'!F63+'1.3.mell._HVÓBKI_Mérleg2020'!F63+'1.4.mell._HKK_Mérleg2020'!F63+'1.5._mell._MŐSZ_Mérleg2020'!F63+'1.6._mell._HVGYKCSSZ_Mérleg2020'!F63</f>
        <v>0</v>
      </c>
      <c r="G63" s="21">
        <f>+'1.1.mell._ÖNK_Mérleg2020'!G63+'1.2.mell._HKÖH_Mérleg2020'!G63+'1.3.mell._HVÓBKI_Mérleg2020'!G63+'1.4.mell._HKK_Mérleg2020'!G63+'1.5._mell._MŐSZ_Mérleg2020'!G63+'1.6._mell._HVGYKCSSZ_Mérleg2020'!G63</f>
        <v>0</v>
      </c>
      <c r="H63" s="22">
        <f>+'1.1.mell._ÖNK_Mérleg2020'!H63+'1.2.mell._HKÖH_Mérleg2020'!H63+'1.3.mell._HVÓBKI_Mérleg2020'!H63+'1.4.mell._HKK_Mérleg2020'!H63+'1.5._mell._MŐSZ_Mérleg2020'!H63+'1.6._mell._HVGYKCSSZ_Mérleg2020'!H63</f>
        <v>0</v>
      </c>
      <c r="I63" s="23">
        <f>+'1.1.mell._ÖNK_Mérleg2020'!I63+'1.2.mell._HKÖH_Mérleg2020'!I63+'1.3.mell._HVÓBKI_Mérleg2020'!I63+'1.4.mell._HKK_Mérleg2020'!I63+'1.5._mell._MŐSZ_Mérleg2020'!I63+'1.6._mell._HVGYKCSSZ_Mérleg2020'!I63</f>
        <v>0</v>
      </c>
      <c r="K63" s="4">
        <f t="shared" si="10"/>
        <v>0</v>
      </c>
    </row>
    <row r="64" spans="1:11" s="3" customFormat="1" ht="12.75" thickBot="1">
      <c r="A64" s="83" t="s">
        <v>12</v>
      </c>
      <c r="B64" s="64" t="s">
        <v>907</v>
      </c>
      <c r="C64" s="129">
        <f t="shared" ref="C64" si="46">+C65+C66+C67+C68+C69</f>
        <v>1100</v>
      </c>
      <c r="D64" s="1171">
        <f t="shared" ref="D64" si="47">+D65+D66+D67+D68+D69</f>
        <v>1100</v>
      </c>
      <c r="E64" s="1171">
        <f t="shared" ref="E64" si="48">+E65+E66+E67+E68+E69</f>
        <v>0</v>
      </c>
      <c r="F64" s="29">
        <f t="shared" ref="F64" si="49">+F65+F66+F67+F68+F69</f>
        <v>1100</v>
      </c>
      <c r="G64" s="27">
        <f t="shared" ref="G64:I64" si="50">+G65+G66+G67+G68+G69</f>
        <v>0</v>
      </c>
      <c r="H64" s="28">
        <f t="shared" si="50"/>
        <v>1100</v>
      </c>
      <c r="I64" s="29">
        <f t="shared" si="50"/>
        <v>0</v>
      </c>
      <c r="J64" s="689">
        <f>+F64/$F$102</f>
        <v>2.1148396374780345E-4</v>
      </c>
      <c r="K64" s="3">
        <f t="shared" si="10"/>
        <v>0</v>
      </c>
    </row>
    <row r="65" spans="1:11">
      <c r="A65" s="84" t="s">
        <v>69</v>
      </c>
      <c r="B65" s="65" t="s">
        <v>125</v>
      </c>
      <c r="C65" s="404">
        <f>+'1.1.mell._ÖNK_Mérleg2020'!C65+'1.2.mell._HKÖH_Mérleg2020'!C65+'1.3.mell._HVÓBKI_Mérleg2020'!C65+'1.4.mell._HKK_Mérleg2020'!C65+'1.5._mell._MŐSZ_Mérleg2020'!C65+'1.6._mell._HVGYKCSSZ_Mérleg2020'!C65</f>
        <v>0</v>
      </c>
      <c r="D65" s="1172">
        <f>+'1.1.mell._ÖNK_Mérleg2020'!D65+'1.2.mell._HKÖH_Mérleg2020'!D65+'1.3.mell._HVÓBKI_Mérleg2020'!D65+'1.4.mell._HKK_Mérleg2020'!D65+'1.5._mell._MŐSZ_Mérleg2020'!D65+'1.6._mell._HVGYKCSSZ_Mérleg2020'!D65</f>
        <v>0</v>
      </c>
      <c r="E65" s="1172">
        <f>+'1.1.mell._ÖNK_Mérleg2020'!E65+'1.2.mell._HKÖH_Mérleg2020'!E65+'1.3.mell._HVÓBKI_Mérleg2020'!E65+'1.4.mell._HKK_Mérleg2020'!E65+'1.5._mell._MŐSZ_Mérleg2020'!E65+'1.6._mell._HVGYKCSSZ_Mérleg2020'!E65</f>
        <v>0</v>
      </c>
      <c r="F65" s="35">
        <f>+'1.1.mell._ÖNK_Mérleg2020'!F65+'1.2.mell._HKÖH_Mérleg2020'!F65+'1.3.mell._HVÓBKI_Mérleg2020'!F65+'1.4.mell._HKK_Mérleg2020'!F65+'1.5._mell._MŐSZ_Mérleg2020'!F65+'1.6._mell._HVGYKCSSZ_Mérleg2020'!F65</f>
        <v>0</v>
      </c>
      <c r="G65" s="34">
        <f>+'1.1.mell._ÖNK_Mérleg2020'!G65+'1.2.mell._HKÖH_Mérleg2020'!G65+'1.3.mell._HVÓBKI_Mérleg2020'!G65+'1.4.mell._HKK_Mérleg2020'!G65+'1.5._mell._MŐSZ_Mérleg2020'!G65+'1.6._mell._HVGYKCSSZ_Mérleg2020'!G65</f>
        <v>0</v>
      </c>
      <c r="H65" s="10">
        <f>+'1.1.mell._ÖNK_Mérleg2020'!H65+'1.2.mell._HKÖH_Mérleg2020'!H65+'1.3.mell._HVÓBKI_Mérleg2020'!H65+'1.4.mell._HKK_Mérleg2020'!H65+'1.5._mell._MŐSZ_Mérleg2020'!H65+'1.6._mell._HVGYKCSSZ_Mérleg2020'!H65</f>
        <v>0</v>
      </c>
      <c r="I65" s="35">
        <f>+'1.1.mell._ÖNK_Mérleg2020'!I65+'1.2.mell._HKÖH_Mérleg2020'!I65+'1.3.mell._HVÓBKI_Mérleg2020'!I65+'1.4.mell._HKK_Mérleg2020'!I65+'1.5._mell._MŐSZ_Mérleg2020'!I65+'1.6._mell._HVGYKCSSZ_Mérleg2020'!I65</f>
        <v>0</v>
      </c>
      <c r="K65" s="4">
        <f t="shared" si="10"/>
        <v>0</v>
      </c>
    </row>
    <row r="66" spans="1:11">
      <c r="A66" s="84" t="s">
        <v>70</v>
      </c>
      <c r="B66" s="65" t="s">
        <v>908</v>
      </c>
      <c r="C66" s="404">
        <f>+'1.1.mell._ÖNK_Mérleg2020'!C66+'1.2.mell._HKÖH_Mérleg2020'!C66+'1.3.mell._HVÓBKI_Mérleg2020'!C66+'1.4.mell._HKK_Mérleg2020'!C66+'1.5._mell._MŐSZ_Mérleg2020'!C66+'1.6._mell._HVGYKCSSZ_Mérleg2020'!C66</f>
        <v>0</v>
      </c>
      <c r="D66" s="1172">
        <f>+'1.1.mell._ÖNK_Mérleg2020'!D66+'1.2.mell._HKÖH_Mérleg2020'!D66+'1.3.mell._HVÓBKI_Mérleg2020'!D66+'1.4.mell._HKK_Mérleg2020'!D66+'1.5._mell._MŐSZ_Mérleg2020'!D66+'1.6._mell._HVGYKCSSZ_Mérleg2020'!D66</f>
        <v>0</v>
      </c>
      <c r="E66" s="1172">
        <f>+'1.1.mell._ÖNK_Mérleg2020'!E66+'1.2.mell._HKÖH_Mérleg2020'!E66+'1.3.mell._HVÓBKI_Mérleg2020'!E66+'1.4.mell._HKK_Mérleg2020'!E66+'1.5._mell._MŐSZ_Mérleg2020'!E66+'1.6._mell._HVGYKCSSZ_Mérleg2020'!E66</f>
        <v>0</v>
      </c>
      <c r="F66" s="35">
        <f>+'1.1.mell._ÖNK_Mérleg2020'!F66+'1.2.mell._HKÖH_Mérleg2020'!F66+'1.3.mell._HVÓBKI_Mérleg2020'!F66+'1.4.mell._HKK_Mérleg2020'!F66+'1.5._mell._MŐSZ_Mérleg2020'!F66+'1.6._mell._HVGYKCSSZ_Mérleg2020'!F66</f>
        <v>0</v>
      </c>
      <c r="G66" s="34">
        <f>+'1.1.mell._ÖNK_Mérleg2020'!G66+'1.2.mell._HKÖH_Mérleg2020'!G66+'1.3.mell._HVÓBKI_Mérleg2020'!G66+'1.4.mell._HKK_Mérleg2020'!G66+'1.5._mell._MŐSZ_Mérleg2020'!G66+'1.6._mell._HVGYKCSSZ_Mérleg2020'!G66</f>
        <v>0</v>
      </c>
      <c r="H66" s="10">
        <f>+'1.1.mell._ÖNK_Mérleg2020'!H66+'1.2.mell._HKÖH_Mérleg2020'!H66+'1.3.mell._HVÓBKI_Mérleg2020'!H66+'1.4.mell._HKK_Mérleg2020'!H66+'1.5._mell._MŐSZ_Mérleg2020'!H66+'1.6._mell._HVGYKCSSZ_Mérleg2020'!H66</f>
        <v>0</v>
      </c>
      <c r="I66" s="35">
        <f>+'1.1.mell._ÖNK_Mérleg2020'!I66+'1.2.mell._HKÖH_Mérleg2020'!I66+'1.3.mell._HVÓBKI_Mérleg2020'!I66+'1.4.mell._HKK_Mérleg2020'!I66+'1.5._mell._MŐSZ_Mérleg2020'!I66+'1.6._mell._HVGYKCSSZ_Mérleg2020'!I66</f>
        <v>0</v>
      </c>
      <c r="K66" s="4">
        <f t="shared" si="10"/>
        <v>0</v>
      </c>
    </row>
    <row r="67" spans="1:11">
      <c r="A67" s="84" t="s">
        <v>71</v>
      </c>
      <c r="B67" s="65" t="s">
        <v>909</v>
      </c>
      <c r="C67" s="404">
        <f>+'1.1.mell._ÖNK_Mérleg2020'!C67+'1.2.mell._HKÖH_Mérleg2020'!C67+'1.3.mell._HVÓBKI_Mérleg2020'!C67+'1.4.mell._HKK_Mérleg2020'!C67+'1.5._mell._MŐSZ_Mérleg2020'!C67+'1.6._mell._HVGYKCSSZ_Mérleg2020'!C67</f>
        <v>0</v>
      </c>
      <c r="D67" s="1172">
        <f>+'1.1.mell._ÖNK_Mérleg2020'!D67+'1.2.mell._HKÖH_Mérleg2020'!D67+'1.3.mell._HVÓBKI_Mérleg2020'!D67+'1.4.mell._HKK_Mérleg2020'!D67+'1.5._mell._MŐSZ_Mérleg2020'!D67+'1.6._mell._HVGYKCSSZ_Mérleg2020'!D67</f>
        <v>0</v>
      </c>
      <c r="E67" s="1172">
        <f>+'1.1.mell._ÖNK_Mérleg2020'!E67+'1.2.mell._HKÖH_Mérleg2020'!E67+'1.3.mell._HVÓBKI_Mérleg2020'!E67+'1.4.mell._HKK_Mérleg2020'!E67+'1.5._mell._MŐSZ_Mérleg2020'!E67+'1.6._mell._HVGYKCSSZ_Mérleg2020'!E67</f>
        <v>0</v>
      </c>
      <c r="F67" s="35">
        <f>+'1.1.mell._ÖNK_Mérleg2020'!F67+'1.2.mell._HKÖH_Mérleg2020'!F67+'1.3.mell._HVÓBKI_Mérleg2020'!F67+'1.4.mell._HKK_Mérleg2020'!F67+'1.5._mell._MŐSZ_Mérleg2020'!F67+'1.6._mell._HVGYKCSSZ_Mérleg2020'!F67</f>
        <v>0</v>
      </c>
      <c r="G67" s="34">
        <f>+'1.1.mell._ÖNK_Mérleg2020'!G67+'1.2.mell._HKÖH_Mérleg2020'!G67+'1.3.mell._HVÓBKI_Mérleg2020'!G67+'1.4.mell._HKK_Mérleg2020'!G67+'1.5._mell._MŐSZ_Mérleg2020'!G67+'1.6._mell._HVGYKCSSZ_Mérleg2020'!G67</f>
        <v>0</v>
      </c>
      <c r="H67" s="10">
        <f>+'1.1.mell._ÖNK_Mérleg2020'!H67+'1.2.mell._HKÖH_Mérleg2020'!H67+'1.3.mell._HVÓBKI_Mérleg2020'!H67+'1.4.mell._HKK_Mérleg2020'!H67+'1.5._mell._MŐSZ_Mérleg2020'!H67+'1.6._mell._HVGYKCSSZ_Mérleg2020'!H67</f>
        <v>0</v>
      </c>
      <c r="I67" s="35">
        <f>+'1.1.mell._ÖNK_Mérleg2020'!I67+'1.2.mell._HKÖH_Mérleg2020'!I67+'1.3.mell._HVÓBKI_Mérleg2020'!I67+'1.4.mell._HKK_Mérleg2020'!I67+'1.5._mell._MŐSZ_Mérleg2020'!I67+'1.6._mell._HVGYKCSSZ_Mérleg2020'!I67</f>
        <v>0</v>
      </c>
      <c r="K67" s="4">
        <f t="shared" si="10"/>
        <v>0</v>
      </c>
    </row>
    <row r="68" spans="1:11">
      <c r="A68" s="85" t="s">
        <v>72</v>
      </c>
      <c r="B68" s="67" t="s">
        <v>905</v>
      </c>
      <c r="C68" s="402">
        <f>+'1.1.mell._ÖNK_Mérleg2020'!C68+'1.2.mell._HKÖH_Mérleg2020'!C68+'1.3.mell._HVÓBKI_Mérleg2020'!C68+'1.4.mell._HKK_Mérleg2020'!C68+'1.5._mell._MŐSZ_Mérleg2020'!C68+'1.6._mell._HVGYKCSSZ_Mérleg2020'!C68</f>
        <v>1100</v>
      </c>
      <c r="D68" s="1174">
        <f>+'1.1.mell._ÖNK_Mérleg2020'!D68+'1.2.mell._HKÖH_Mérleg2020'!D68+'1.3.mell._HVÓBKI_Mérleg2020'!D68+'1.4.mell._HKK_Mérleg2020'!D68+'1.5._mell._MŐSZ_Mérleg2020'!D68+'1.6._mell._HVGYKCSSZ_Mérleg2020'!D68</f>
        <v>1100</v>
      </c>
      <c r="E68" s="1174">
        <f>+'1.1.mell._ÖNK_Mérleg2020'!E68+'1.2.mell._HKÖH_Mérleg2020'!E68+'1.3.mell._HVÓBKI_Mérleg2020'!E68+'1.4.mell._HKK_Mérleg2020'!E68+'1.5._mell._MŐSZ_Mérleg2020'!E68+'1.6._mell._HVGYKCSSZ_Mérleg2020'!E68</f>
        <v>0</v>
      </c>
      <c r="F68" s="16">
        <f>+'1.1.mell._ÖNK_Mérleg2020'!F68+'1.2.mell._HKÖH_Mérleg2020'!F68+'1.3.mell._HVÓBKI_Mérleg2020'!F68+'1.4.mell._HKK_Mérleg2020'!F68+'1.5._mell._MŐSZ_Mérleg2020'!F68+'1.6._mell._HVGYKCSSZ_Mérleg2020'!F68</f>
        <v>1100</v>
      </c>
      <c r="G68" s="20">
        <f>+'1.1.mell._ÖNK_Mérleg2020'!G68+'1.2.mell._HKÖH_Mérleg2020'!G68+'1.3.mell._HVÓBKI_Mérleg2020'!G68+'1.4.mell._HKK_Mérleg2020'!G68+'1.5._mell._MŐSZ_Mérleg2020'!G68+'1.6._mell._HVGYKCSSZ_Mérleg2020'!G68</f>
        <v>0</v>
      </c>
      <c r="H68" s="11">
        <f>+'1.1.mell._ÖNK_Mérleg2020'!H68+'1.2.mell._HKÖH_Mérleg2020'!H68+'1.3.mell._HVÓBKI_Mérleg2020'!H68+'1.4.mell._HKK_Mérleg2020'!H68+'1.5._mell._MŐSZ_Mérleg2020'!H68+'1.6._mell._HVGYKCSSZ_Mérleg2020'!H68</f>
        <v>1100</v>
      </c>
      <c r="I68" s="16">
        <f>+'1.1.mell._ÖNK_Mérleg2020'!I68+'1.2.mell._HKÖH_Mérleg2020'!I68+'1.3.mell._HVÓBKI_Mérleg2020'!I68+'1.4.mell._HKK_Mérleg2020'!I68+'1.5._mell._MŐSZ_Mérleg2020'!I68+'1.6._mell._HVGYKCSSZ_Mérleg2020'!I68</f>
        <v>0</v>
      </c>
      <c r="K68" s="4">
        <f t="shared" si="10"/>
        <v>0</v>
      </c>
    </row>
    <row r="69" spans="1:11" ht="12.75" thickBot="1">
      <c r="A69" s="78" t="s">
        <v>904</v>
      </c>
      <c r="B69" s="68" t="s">
        <v>906</v>
      </c>
      <c r="C69" s="403">
        <f>+'1.1.mell._ÖNK_Mérleg2020'!C69+'1.2.mell._HKÖH_Mérleg2020'!C69+'1.3.mell._HVÓBKI_Mérleg2020'!C69+'1.4.mell._HKK_Mérleg2020'!C69+'1.5._mell._MŐSZ_Mérleg2020'!C69+'1.6._mell._HVGYKCSSZ_Mérleg2020'!C69</f>
        <v>0</v>
      </c>
      <c r="D69" s="1175">
        <f>+'1.1.mell._ÖNK_Mérleg2020'!D69+'1.2.mell._HKÖH_Mérleg2020'!D69+'1.3.mell._HVÓBKI_Mérleg2020'!D69+'1.4.mell._HKK_Mérleg2020'!D69+'1.5._mell._MŐSZ_Mérleg2020'!D69+'1.6._mell._HVGYKCSSZ_Mérleg2020'!D69</f>
        <v>0</v>
      </c>
      <c r="E69" s="1175">
        <f>+'1.1.mell._ÖNK_Mérleg2020'!E69+'1.2.mell._HKÖH_Mérleg2020'!E69+'1.3.mell._HVÓBKI_Mérleg2020'!E69+'1.4.mell._HKK_Mérleg2020'!E69+'1.5._mell._MŐSZ_Mérleg2020'!E69+'1.6._mell._HVGYKCSSZ_Mérleg2020'!E69</f>
        <v>0</v>
      </c>
      <c r="F69" s="23">
        <f>+'1.1.mell._ÖNK_Mérleg2020'!F69+'1.2.mell._HKÖH_Mérleg2020'!F69+'1.3.mell._HVÓBKI_Mérleg2020'!F69+'1.4.mell._HKK_Mérleg2020'!F69+'1.5._mell._MŐSZ_Mérleg2020'!F69+'1.6._mell._HVGYKCSSZ_Mérleg2020'!F69</f>
        <v>0</v>
      </c>
      <c r="G69" s="21">
        <f>+'1.1.mell._ÖNK_Mérleg2020'!G69+'1.2.mell._HKÖH_Mérleg2020'!G69+'1.3.mell._HVÓBKI_Mérleg2020'!G69+'1.4.mell._HKK_Mérleg2020'!G69+'1.5._mell._MŐSZ_Mérleg2020'!G69+'1.6._mell._HVGYKCSSZ_Mérleg2020'!G69</f>
        <v>0</v>
      </c>
      <c r="H69" s="22">
        <f>+'1.1.mell._ÖNK_Mérleg2020'!H69+'1.2.mell._HKÖH_Mérleg2020'!H69+'1.3.mell._HVÓBKI_Mérleg2020'!H69+'1.4.mell._HKK_Mérleg2020'!H69+'1.5._mell._MŐSZ_Mérleg2020'!H69+'1.6._mell._HVGYKCSSZ_Mérleg2020'!H69</f>
        <v>0</v>
      </c>
      <c r="I69" s="23">
        <f>+'1.1.mell._ÖNK_Mérleg2020'!I69+'1.2.mell._HKÖH_Mérleg2020'!I69+'1.3.mell._HVÓBKI_Mérleg2020'!I69+'1.4.mell._HKK_Mérleg2020'!I69+'1.5._mell._MŐSZ_Mérleg2020'!I69+'1.6._mell._HVGYKCSSZ_Mérleg2020'!I69</f>
        <v>0</v>
      </c>
      <c r="K69" s="4">
        <f t="shared" si="10"/>
        <v>0</v>
      </c>
    </row>
    <row r="70" spans="1:11" s="3" customFormat="1" ht="12.75" thickBot="1">
      <c r="A70" s="83" t="s">
        <v>11</v>
      </c>
      <c r="B70" s="69" t="s">
        <v>302</v>
      </c>
      <c r="C70" s="129">
        <f t="shared" ref="C70:F70" si="51">+C10+C50</f>
        <v>1666925</v>
      </c>
      <c r="D70" s="1171">
        <f t="shared" si="51"/>
        <v>1816874</v>
      </c>
      <c r="E70" s="1171">
        <f t="shared" si="51"/>
        <v>20604</v>
      </c>
      <c r="F70" s="29">
        <f t="shared" si="51"/>
        <v>1837478</v>
      </c>
      <c r="G70" s="27">
        <f t="shared" ref="G70:I70" si="52">+G10+G50</f>
        <v>1783434</v>
      </c>
      <c r="H70" s="28">
        <f t="shared" si="52"/>
        <v>54044</v>
      </c>
      <c r="I70" s="29">
        <f t="shared" si="52"/>
        <v>0</v>
      </c>
      <c r="J70" s="689">
        <f>+F70/$F$102</f>
        <v>0.35327011885398762</v>
      </c>
      <c r="K70" s="3">
        <f t="shared" si="10"/>
        <v>0</v>
      </c>
    </row>
    <row r="71" spans="1:11" s="3" customFormat="1" ht="12.75" thickBot="1">
      <c r="A71" s="83" t="s">
        <v>10</v>
      </c>
      <c r="B71" s="70" t="s">
        <v>303</v>
      </c>
      <c r="C71" s="129">
        <f t="shared" ref="C71" si="53">+C72</f>
        <v>2876249</v>
      </c>
      <c r="D71" s="1171">
        <f t="shared" ref="D71" si="54">+D72</f>
        <v>709830</v>
      </c>
      <c r="E71" s="1171">
        <f t="shared" ref="E71" si="55">+E72</f>
        <v>0</v>
      </c>
      <c r="F71" s="29">
        <f t="shared" ref="F71" si="56">+F72</f>
        <v>709830</v>
      </c>
      <c r="G71" s="27">
        <f t="shared" ref="G71:I71" si="57">+G72</f>
        <v>709806</v>
      </c>
      <c r="H71" s="28">
        <f t="shared" si="57"/>
        <v>24</v>
      </c>
      <c r="I71" s="29">
        <f t="shared" si="57"/>
        <v>0</v>
      </c>
      <c r="J71" s="689">
        <f>+F71/$F$102</f>
        <v>0.13647060180645756</v>
      </c>
      <c r="K71" s="3">
        <f t="shared" si="10"/>
        <v>0</v>
      </c>
    </row>
    <row r="72" spans="1:11" s="3" customFormat="1" ht="12.75" thickBot="1">
      <c r="A72" s="83" t="s">
        <v>9</v>
      </c>
      <c r="B72" s="64" t="s">
        <v>916</v>
      </c>
      <c r="C72" s="129">
        <f t="shared" ref="C72" si="58">+C73+C83+C84+C85</f>
        <v>2876249</v>
      </c>
      <c r="D72" s="1171">
        <f t="shared" ref="D72" si="59">+D73+D83+D84+D85</f>
        <v>709830</v>
      </c>
      <c r="E72" s="1171">
        <f t="shared" ref="E72" si="60">+E73+E83+E84+E85</f>
        <v>0</v>
      </c>
      <c r="F72" s="29">
        <f t="shared" ref="F72" si="61">+F73+F83+F84+F85</f>
        <v>709830</v>
      </c>
      <c r="G72" s="27">
        <f t="shared" ref="G72:I72" si="62">+G73+G83+G84+G85</f>
        <v>709806</v>
      </c>
      <c r="H72" s="28">
        <f t="shared" si="62"/>
        <v>24</v>
      </c>
      <c r="I72" s="29">
        <f t="shared" si="62"/>
        <v>0</v>
      </c>
      <c r="J72" s="689">
        <f>+F72/$F$102</f>
        <v>0.13647060180645756</v>
      </c>
      <c r="K72" s="3">
        <f t="shared" si="10"/>
        <v>0</v>
      </c>
    </row>
    <row r="73" spans="1:11">
      <c r="A73" s="84" t="s">
        <v>73</v>
      </c>
      <c r="B73" s="65" t="s">
        <v>911</v>
      </c>
      <c r="C73" s="404">
        <f t="shared" ref="C73" si="63">+C74+C75+C76+C77+C78+C79+C80+C81+C82</f>
        <v>2876249</v>
      </c>
      <c r="D73" s="1172">
        <f t="shared" ref="D73" si="64">+D74+D75+D76+D77+D78+D79+D80+D81+D82</f>
        <v>709830</v>
      </c>
      <c r="E73" s="1172">
        <f t="shared" ref="E73" si="65">+E74+E75+E76+E77+E78+E79+E80+E81+E82</f>
        <v>0</v>
      </c>
      <c r="F73" s="35">
        <f t="shared" ref="F73" si="66">+F74+F75+F76+F77+F78+F79+F80+F81+F82</f>
        <v>709830</v>
      </c>
      <c r="G73" s="34">
        <f t="shared" ref="G73:I73" si="67">+G74+G75+G76+G77+G78+G79+G80+G81+G82</f>
        <v>709806</v>
      </c>
      <c r="H73" s="10">
        <f t="shared" si="67"/>
        <v>24</v>
      </c>
      <c r="I73" s="35">
        <f t="shared" si="67"/>
        <v>0</v>
      </c>
      <c r="K73" s="4">
        <f t="shared" si="10"/>
        <v>0</v>
      </c>
    </row>
    <row r="74" spans="1:11" s="13" customFormat="1">
      <c r="A74" s="86" t="s">
        <v>195</v>
      </c>
      <c r="B74" s="66" t="s">
        <v>910</v>
      </c>
      <c r="C74" s="400">
        <f>+'1.1.mell._ÖNK_Mérleg2020'!C74+'1.2.mell._HKÖH_Mérleg2020'!C74+'1.3.mell._HVÓBKI_Mérleg2020'!C74+'1.4.mell._HKK_Mérleg2020'!C74+'1.5._mell._MŐSZ_Mérleg2020'!C74+'1.6._mell._HVGYKCSSZ_Mérleg2020'!C74</f>
        <v>0</v>
      </c>
      <c r="D74" s="1173">
        <f>+'1.1.mell._ÖNK_Mérleg2020'!D74+'1.2.mell._HKÖH_Mérleg2020'!D74+'1.3.mell._HVÓBKI_Mérleg2020'!D74+'1.4.mell._HKK_Mérleg2020'!D74+'1.5._mell._MŐSZ_Mérleg2020'!D74+'1.6._mell._HVGYKCSSZ_Mérleg2020'!D74</f>
        <v>0</v>
      </c>
      <c r="E74" s="1173">
        <f>+'1.1.mell._ÖNK_Mérleg2020'!E74+'1.2.mell._HKÖH_Mérleg2020'!E74+'1.3.mell._HVÓBKI_Mérleg2020'!E74+'1.4.mell._HKK_Mérleg2020'!E74+'1.5._mell._MŐSZ_Mérleg2020'!E74+'1.6._mell._HVGYKCSSZ_Mérleg2020'!E74</f>
        <v>0</v>
      </c>
      <c r="F74" s="15">
        <f>+'1.1.mell._ÖNK_Mérleg2020'!F74+'1.2.mell._HKÖH_Mérleg2020'!F74+'1.3.mell._HVÓBKI_Mérleg2020'!F74+'1.4.mell._HKK_Mérleg2020'!F74+'1.5._mell._MŐSZ_Mérleg2020'!F74+'1.6._mell._HVGYKCSSZ_Mérleg2020'!F74</f>
        <v>0</v>
      </c>
      <c r="G74" s="19">
        <f>+'1.1.mell._ÖNK_Mérleg2020'!G74+'1.2.mell._HKÖH_Mérleg2020'!G74+'1.3.mell._HVÓBKI_Mérleg2020'!G74+'1.4.mell._HKK_Mérleg2020'!G74+'1.5._mell._MŐSZ_Mérleg2020'!G74+'1.6._mell._HVGYKCSSZ_Mérleg2020'!G74</f>
        <v>0</v>
      </c>
      <c r="H74" s="12">
        <f>+'1.1.mell._ÖNK_Mérleg2020'!H74+'1.2.mell._HKÖH_Mérleg2020'!H74+'1.3.mell._HVÓBKI_Mérleg2020'!H74+'1.4.mell._HKK_Mérleg2020'!H74+'1.5._mell._MŐSZ_Mérleg2020'!H74+'1.6._mell._HVGYKCSSZ_Mérleg2020'!H74</f>
        <v>0</v>
      </c>
      <c r="I74" s="15">
        <f>+'1.1.mell._ÖNK_Mérleg2020'!I74+'1.2.mell._HKÖH_Mérleg2020'!I74+'1.3.mell._HVÓBKI_Mérleg2020'!I74+'1.4.mell._HKK_Mérleg2020'!I74+'1.5._mell._MŐSZ_Mérleg2020'!I74+'1.6._mell._HVGYKCSSZ_Mérleg2020'!I74</f>
        <v>0</v>
      </c>
      <c r="K74" s="13">
        <f t="shared" si="10"/>
        <v>0</v>
      </c>
    </row>
    <row r="75" spans="1:11" s="13" customFormat="1">
      <c r="A75" s="86" t="s">
        <v>196</v>
      </c>
      <c r="B75" s="66" t="s">
        <v>246</v>
      </c>
      <c r="C75" s="400">
        <f>+'1.1.mell._ÖNK_Mérleg2020'!C75+'1.2.mell._HKÖH_Mérleg2020'!C75+'1.3.mell._HVÓBKI_Mérleg2020'!C75+'1.4.mell._HKK_Mérleg2020'!C75+'1.5._mell._MŐSZ_Mérleg2020'!C75+'1.6._mell._HVGYKCSSZ_Mérleg2020'!C75</f>
        <v>0</v>
      </c>
      <c r="D75" s="1173">
        <f>+'1.1.mell._ÖNK_Mérleg2020'!D75+'1.2.mell._HKÖH_Mérleg2020'!D75+'1.3.mell._HVÓBKI_Mérleg2020'!D75+'1.4.mell._HKK_Mérleg2020'!D75+'1.5._mell._MŐSZ_Mérleg2020'!D75+'1.6._mell._HVGYKCSSZ_Mérleg2020'!D75</f>
        <v>0</v>
      </c>
      <c r="E75" s="1173">
        <f>+'1.1.mell._ÖNK_Mérleg2020'!E75+'1.2.mell._HKÖH_Mérleg2020'!E75+'1.3.mell._HVÓBKI_Mérleg2020'!E75+'1.4.mell._HKK_Mérleg2020'!E75+'1.5._mell._MŐSZ_Mérleg2020'!E75+'1.6._mell._HVGYKCSSZ_Mérleg2020'!E75</f>
        <v>0</v>
      </c>
      <c r="F75" s="15">
        <f>+'1.1.mell._ÖNK_Mérleg2020'!F75+'1.2.mell._HKÖH_Mérleg2020'!F75+'1.3.mell._HVÓBKI_Mérleg2020'!F75+'1.4.mell._HKK_Mérleg2020'!F75+'1.5._mell._MŐSZ_Mérleg2020'!F75+'1.6._mell._HVGYKCSSZ_Mérleg2020'!F75</f>
        <v>0</v>
      </c>
      <c r="G75" s="19">
        <f>+'1.1.mell._ÖNK_Mérleg2020'!G75+'1.2.mell._HKÖH_Mérleg2020'!G75+'1.3.mell._HVÓBKI_Mérleg2020'!G75+'1.4.mell._HKK_Mérleg2020'!G75+'1.5._mell._MŐSZ_Mérleg2020'!G75+'1.6._mell._HVGYKCSSZ_Mérleg2020'!G75</f>
        <v>0</v>
      </c>
      <c r="H75" s="12">
        <f>+'1.1.mell._ÖNK_Mérleg2020'!H75+'1.2.mell._HKÖH_Mérleg2020'!H75+'1.3.mell._HVÓBKI_Mérleg2020'!H75+'1.4.mell._HKK_Mérleg2020'!H75+'1.5._mell._MŐSZ_Mérleg2020'!H75+'1.6._mell._HVGYKCSSZ_Mérleg2020'!H75</f>
        <v>0</v>
      </c>
      <c r="I75" s="15">
        <f>+'1.1.mell._ÖNK_Mérleg2020'!I75+'1.2.mell._HKÖH_Mérleg2020'!I75+'1.3.mell._HVÓBKI_Mérleg2020'!I75+'1.4.mell._HKK_Mérleg2020'!I75+'1.5._mell._MŐSZ_Mérleg2020'!I75+'1.6._mell._HVGYKCSSZ_Mérleg2020'!I75</f>
        <v>0</v>
      </c>
      <c r="K75" s="13">
        <f t="shared" ref="K75:K138" si="68">+F75-G75-H75-I75</f>
        <v>0</v>
      </c>
    </row>
    <row r="76" spans="1:11" s="13" customFormat="1">
      <c r="A76" s="86" t="s">
        <v>197</v>
      </c>
      <c r="B76" s="66" t="s">
        <v>247</v>
      </c>
      <c r="C76" s="400">
        <f>+'1.1.mell._ÖNK_Mérleg2020'!C76+'1.2.mell._HKÖH_Mérleg2020'!C76+'1.3.mell._HVÓBKI_Mérleg2020'!C76+'1.4.mell._HKK_Mérleg2020'!C76+'1.5._mell._MŐSZ_Mérleg2020'!C76+'1.6._mell._HVGYKCSSZ_Mérleg2020'!C76</f>
        <v>2876249</v>
      </c>
      <c r="D76" s="1173">
        <f>+'1.1.mell._ÖNK_Mérleg2020'!D76+'1.2.mell._HKÖH_Mérleg2020'!D76+'1.3.mell._HVÓBKI_Mérleg2020'!D76+'1.4.mell._HKK_Mérleg2020'!D76+'1.5._mell._MŐSZ_Mérleg2020'!D76+'1.6._mell._HVGYKCSSZ_Mérleg2020'!D76</f>
        <v>709830</v>
      </c>
      <c r="E76" s="1173">
        <f>+'1.1.mell._ÖNK_Mérleg2020'!E76+'1.2.mell._HKÖH_Mérleg2020'!E76+'1.3.mell._HVÓBKI_Mérleg2020'!E76+'1.4.mell._HKK_Mérleg2020'!E76+'1.5._mell._MŐSZ_Mérleg2020'!E76+'1.6._mell._HVGYKCSSZ_Mérleg2020'!E76</f>
        <v>0</v>
      </c>
      <c r="F76" s="15">
        <f>+'1.1.mell._ÖNK_Mérleg2020'!F76+'1.2.mell._HKÖH_Mérleg2020'!F76+'1.3.mell._HVÓBKI_Mérleg2020'!F76+'1.4.mell._HKK_Mérleg2020'!F76+'1.5._mell._MŐSZ_Mérleg2020'!F76+'1.6._mell._HVGYKCSSZ_Mérleg2020'!F76</f>
        <v>709830</v>
      </c>
      <c r="G76" s="19">
        <f>+'1.1.mell._ÖNK_Mérleg2020'!G76+'1.2.mell._HKÖH_Mérleg2020'!G76+'1.3.mell._HVÓBKI_Mérleg2020'!G76+'1.4.mell._HKK_Mérleg2020'!G76+'1.5._mell._MŐSZ_Mérleg2020'!G76+'1.6._mell._HVGYKCSSZ_Mérleg2020'!G76</f>
        <v>709806</v>
      </c>
      <c r="H76" s="12">
        <f>+'1.1.mell._ÖNK_Mérleg2020'!H76+'1.2.mell._HKÖH_Mérleg2020'!H76+'1.3.mell._HVÓBKI_Mérleg2020'!H76+'1.4.mell._HKK_Mérleg2020'!H76+'1.5._mell._MŐSZ_Mérleg2020'!H76+'1.6._mell._HVGYKCSSZ_Mérleg2020'!H76</f>
        <v>24</v>
      </c>
      <c r="I76" s="15">
        <f>+'1.1.mell._ÖNK_Mérleg2020'!I76+'1.2.mell._HKÖH_Mérleg2020'!I76+'1.3.mell._HVÓBKI_Mérleg2020'!I76+'1.4.mell._HKK_Mérleg2020'!I76+'1.5._mell._MŐSZ_Mérleg2020'!I76+'1.6._mell._HVGYKCSSZ_Mérleg2020'!I76</f>
        <v>0</v>
      </c>
      <c r="K76" s="13">
        <f t="shared" si="68"/>
        <v>0</v>
      </c>
    </row>
    <row r="77" spans="1:11" s="13" customFormat="1">
      <c r="A77" s="86" t="s">
        <v>198</v>
      </c>
      <c r="B77" s="66" t="s">
        <v>248</v>
      </c>
      <c r="C77" s="400">
        <f>+'1.1.mell._ÖNK_Mérleg2020'!C77+'1.2.mell._HKÖH_Mérleg2020'!C77+'1.3.mell._HVÓBKI_Mérleg2020'!C77+'1.4.mell._HKK_Mérleg2020'!C77+'1.5._mell._MŐSZ_Mérleg2020'!C77+'1.6._mell._HVGYKCSSZ_Mérleg2020'!C77</f>
        <v>0</v>
      </c>
      <c r="D77" s="1173">
        <f>+'1.1.mell._ÖNK_Mérleg2020'!D77+'1.2.mell._HKÖH_Mérleg2020'!D77+'1.3.mell._HVÓBKI_Mérleg2020'!D77+'1.4.mell._HKK_Mérleg2020'!D77+'1.5._mell._MŐSZ_Mérleg2020'!D77+'1.6._mell._HVGYKCSSZ_Mérleg2020'!D77</f>
        <v>0</v>
      </c>
      <c r="E77" s="1173">
        <f>+'1.1.mell._ÖNK_Mérleg2020'!E77+'1.2.mell._HKÖH_Mérleg2020'!E77+'1.3.mell._HVÓBKI_Mérleg2020'!E77+'1.4.mell._HKK_Mérleg2020'!E77+'1.5._mell._MŐSZ_Mérleg2020'!E77+'1.6._mell._HVGYKCSSZ_Mérleg2020'!E77</f>
        <v>0</v>
      </c>
      <c r="F77" s="15">
        <f>+'1.1.mell._ÖNK_Mérleg2020'!F77+'1.2.mell._HKÖH_Mérleg2020'!F77+'1.3.mell._HVÓBKI_Mérleg2020'!F77+'1.4.mell._HKK_Mérleg2020'!F77+'1.5._mell._MŐSZ_Mérleg2020'!F77+'1.6._mell._HVGYKCSSZ_Mérleg2020'!F77</f>
        <v>0</v>
      </c>
      <c r="G77" s="19">
        <f>+'1.1.mell._ÖNK_Mérleg2020'!G77+'1.2.mell._HKÖH_Mérleg2020'!G77+'1.3.mell._HVÓBKI_Mérleg2020'!G77+'1.4.mell._HKK_Mérleg2020'!G77+'1.5._mell._MŐSZ_Mérleg2020'!G77+'1.6._mell._HVGYKCSSZ_Mérleg2020'!G77</f>
        <v>0</v>
      </c>
      <c r="H77" s="12">
        <f>+'1.1.mell._ÖNK_Mérleg2020'!H77+'1.2.mell._HKÖH_Mérleg2020'!H77+'1.3.mell._HVÓBKI_Mérleg2020'!H77+'1.4.mell._HKK_Mérleg2020'!H77+'1.5._mell._MŐSZ_Mérleg2020'!H77+'1.6._mell._HVGYKCSSZ_Mérleg2020'!H77</f>
        <v>0</v>
      </c>
      <c r="I77" s="15">
        <f>+'1.1.mell._ÖNK_Mérleg2020'!I77+'1.2.mell._HKÖH_Mérleg2020'!I77+'1.3.mell._HVÓBKI_Mérleg2020'!I77+'1.4.mell._HKK_Mérleg2020'!I77+'1.5._mell._MŐSZ_Mérleg2020'!I77+'1.6._mell._HVGYKCSSZ_Mérleg2020'!I77</f>
        <v>0</v>
      </c>
      <c r="K77" s="13">
        <f t="shared" si="68"/>
        <v>0</v>
      </c>
    </row>
    <row r="78" spans="1:11" s="13" customFormat="1">
      <c r="A78" s="86" t="s">
        <v>199</v>
      </c>
      <c r="B78" s="66" t="s">
        <v>249</v>
      </c>
      <c r="C78" s="400">
        <f>+'1.1.mell._ÖNK_Mérleg2020'!C78+'1.2.mell._HKÖH_Mérleg2020'!C78+'1.3.mell._HVÓBKI_Mérleg2020'!C78+'1.4.mell._HKK_Mérleg2020'!C78+'1.5._mell._MŐSZ_Mérleg2020'!C78+'1.6._mell._HVGYKCSSZ_Mérleg2020'!C78</f>
        <v>0</v>
      </c>
      <c r="D78" s="1173">
        <f>+'1.1.mell._ÖNK_Mérleg2020'!D78+'1.2.mell._HKÖH_Mérleg2020'!D78+'1.3.mell._HVÓBKI_Mérleg2020'!D78+'1.4.mell._HKK_Mérleg2020'!D78+'1.5._mell._MŐSZ_Mérleg2020'!D78+'1.6._mell._HVGYKCSSZ_Mérleg2020'!D78</f>
        <v>0</v>
      </c>
      <c r="E78" s="1173">
        <f>+'1.1.mell._ÖNK_Mérleg2020'!E78+'1.2.mell._HKÖH_Mérleg2020'!E78+'1.3.mell._HVÓBKI_Mérleg2020'!E78+'1.4.mell._HKK_Mérleg2020'!E78+'1.5._mell._MŐSZ_Mérleg2020'!E78+'1.6._mell._HVGYKCSSZ_Mérleg2020'!E78</f>
        <v>0</v>
      </c>
      <c r="F78" s="15">
        <f>+'1.1.mell._ÖNK_Mérleg2020'!F78+'1.2.mell._HKÖH_Mérleg2020'!F78+'1.3.mell._HVÓBKI_Mérleg2020'!F78+'1.4.mell._HKK_Mérleg2020'!F78+'1.5._mell._MŐSZ_Mérleg2020'!F78+'1.6._mell._HVGYKCSSZ_Mérleg2020'!F78</f>
        <v>0</v>
      </c>
      <c r="G78" s="19">
        <f>+'1.1.mell._ÖNK_Mérleg2020'!G78+'1.2.mell._HKÖH_Mérleg2020'!G78+'1.3.mell._HVÓBKI_Mérleg2020'!G78+'1.4.mell._HKK_Mérleg2020'!G78+'1.5._mell._MŐSZ_Mérleg2020'!G78+'1.6._mell._HVGYKCSSZ_Mérleg2020'!G78</f>
        <v>0</v>
      </c>
      <c r="H78" s="12">
        <f>+'1.1.mell._ÖNK_Mérleg2020'!H78+'1.2.mell._HKÖH_Mérleg2020'!H78+'1.3.mell._HVÓBKI_Mérleg2020'!H78+'1.4.mell._HKK_Mérleg2020'!H78+'1.5._mell._MŐSZ_Mérleg2020'!H78+'1.6._mell._HVGYKCSSZ_Mérleg2020'!H78</f>
        <v>0</v>
      </c>
      <c r="I78" s="15">
        <f>+'1.1.mell._ÖNK_Mérleg2020'!I78+'1.2.mell._HKÖH_Mérleg2020'!I78+'1.3.mell._HVÓBKI_Mérleg2020'!I78+'1.4.mell._HKK_Mérleg2020'!I78+'1.5._mell._MŐSZ_Mérleg2020'!I78+'1.6._mell._HVGYKCSSZ_Mérleg2020'!I78</f>
        <v>0</v>
      </c>
      <c r="K78" s="13">
        <f t="shared" si="68"/>
        <v>0</v>
      </c>
    </row>
    <row r="79" spans="1:11" s="13" customFormat="1">
      <c r="A79" s="103" t="s">
        <v>200</v>
      </c>
      <c r="B79" s="104" t="s">
        <v>250</v>
      </c>
      <c r="C79" s="399"/>
      <c r="D79" s="1282"/>
      <c r="E79" s="1282"/>
      <c r="F79" s="107"/>
      <c r="G79" s="105"/>
      <c r="H79" s="106"/>
      <c r="I79" s="107"/>
      <c r="K79" s="117">
        <f t="shared" si="68"/>
        <v>0</v>
      </c>
    </row>
    <row r="80" spans="1:11" s="13" customFormat="1">
      <c r="A80" s="86" t="s">
        <v>203</v>
      </c>
      <c r="B80" s="66" t="s">
        <v>251</v>
      </c>
      <c r="C80" s="400">
        <f>+'1.1.mell._ÖNK_Mérleg2020'!C80+'1.2.mell._HKÖH_Mérleg2020'!C80+'1.3.mell._HVÓBKI_Mérleg2020'!C80+'1.4.mell._HKK_Mérleg2020'!C80+'1.5._mell._MŐSZ_Mérleg2020'!C80+'1.6._mell._HVGYKCSSZ_Mérleg2020'!C80</f>
        <v>0</v>
      </c>
      <c r="D80" s="1173">
        <f>+'1.1.mell._ÖNK_Mérleg2020'!D80+'1.2.mell._HKÖH_Mérleg2020'!D80+'1.3.mell._HVÓBKI_Mérleg2020'!D80+'1.4.mell._HKK_Mérleg2020'!D80+'1.5._mell._MŐSZ_Mérleg2020'!D80+'1.6._mell._HVGYKCSSZ_Mérleg2020'!D80</f>
        <v>0</v>
      </c>
      <c r="E80" s="1173">
        <f>+'1.1.mell._ÖNK_Mérleg2020'!E80+'1.2.mell._HKÖH_Mérleg2020'!E80+'1.3.mell._HVÓBKI_Mérleg2020'!E80+'1.4.mell._HKK_Mérleg2020'!E80+'1.5._mell._MŐSZ_Mérleg2020'!E80+'1.6._mell._HVGYKCSSZ_Mérleg2020'!E80</f>
        <v>0</v>
      </c>
      <c r="F80" s="15">
        <f>+'1.1.mell._ÖNK_Mérleg2020'!F80+'1.2.mell._HKÖH_Mérleg2020'!F80+'1.3.mell._HVÓBKI_Mérleg2020'!F80+'1.4.mell._HKK_Mérleg2020'!F80+'1.5._mell._MŐSZ_Mérleg2020'!F80+'1.6._mell._HVGYKCSSZ_Mérleg2020'!F80</f>
        <v>0</v>
      </c>
      <c r="G80" s="19">
        <f>+'1.1.mell._ÖNK_Mérleg2020'!G80+'1.2.mell._HKÖH_Mérleg2020'!G80+'1.3.mell._HVÓBKI_Mérleg2020'!G80+'1.4.mell._HKK_Mérleg2020'!G80+'1.5._mell._MŐSZ_Mérleg2020'!G80+'1.6._mell._HVGYKCSSZ_Mérleg2020'!G80</f>
        <v>0</v>
      </c>
      <c r="H80" s="12">
        <f>+'1.1.mell._ÖNK_Mérleg2020'!H80+'1.2.mell._HKÖH_Mérleg2020'!H80+'1.3.mell._HVÓBKI_Mérleg2020'!H80+'1.4.mell._HKK_Mérleg2020'!H80+'1.5._mell._MŐSZ_Mérleg2020'!H80+'1.6._mell._HVGYKCSSZ_Mérleg2020'!H80</f>
        <v>0</v>
      </c>
      <c r="I80" s="15">
        <f>+'1.1.mell._ÖNK_Mérleg2020'!I80+'1.2.mell._HKÖH_Mérleg2020'!I80+'1.3.mell._HVÓBKI_Mérleg2020'!I80+'1.4.mell._HKK_Mérleg2020'!I80+'1.5._mell._MŐSZ_Mérleg2020'!I80+'1.6._mell._HVGYKCSSZ_Mérleg2020'!I80</f>
        <v>0</v>
      </c>
      <c r="K80" s="117">
        <f t="shared" si="68"/>
        <v>0</v>
      </c>
    </row>
    <row r="81" spans="1:11" s="13" customFormat="1">
      <c r="A81" s="86" t="s">
        <v>201</v>
      </c>
      <c r="B81" s="66" t="s">
        <v>244</v>
      </c>
      <c r="C81" s="400">
        <f>+'1.1.mell._ÖNK_Mérleg2020'!C81+'1.2.mell._HKÖH_Mérleg2020'!C81+'1.3.mell._HVÓBKI_Mérleg2020'!C81+'1.4.mell._HKK_Mérleg2020'!C81+'1.5._mell._MŐSZ_Mérleg2020'!C81+'1.6._mell._HVGYKCSSZ_Mérleg2020'!C81</f>
        <v>0</v>
      </c>
      <c r="D81" s="1173">
        <f>+'1.1.mell._ÖNK_Mérleg2020'!D81+'1.2.mell._HKÖH_Mérleg2020'!D81+'1.3.mell._HVÓBKI_Mérleg2020'!D81+'1.4.mell._HKK_Mérleg2020'!D81+'1.5._mell._MŐSZ_Mérleg2020'!D81+'1.6._mell._HVGYKCSSZ_Mérleg2020'!D81</f>
        <v>0</v>
      </c>
      <c r="E81" s="1173">
        <f>+'1.1.mell._ÖNK_Mérleg2020'!E81+'1.2.mell._HKÖH_Mérleg2020'!E81+'1.3.mell._HVÓBKI_Mérleg2020'!E81+'1.4.mell._HKK_Mérleg2020'!E81+'1.5._mell._MŐSZ_Mérleg2020'!E81+'1.6._mell._HVGYKCSSZ_Mérleg2020'!E81</f>
        <v>0</v>
      </c>
      <c r="F81" s="15">
        <f>+'1.1.mell._ÖNK_Mérleg2020'!F81+'1.2.mell._HKÖH_Mérleg2020'!F81+'1.3.mell._HVÓBKI_Mérleg2020'!F81+'1.4.mell._HKK_Mérleg2020'!F81+'1.5._mell._MŐSZ_Mérleg2020'!F81+'1.6._mell._HVGYKCSSZ_Mérleg2020'!F81</f>
        <v>0</v>
      </c>
      <c r="G81" s="19">
        <f>+'1.1.mell._ÖNK_Mérleg2020'!G81+'1.2.mell._HKÖH_Mérleg2020'!G81+'1.3.mell._HVÓBKI_Mérleg2020'!G81+'1.4.mell._HKK_Mérleg2020'!G81+'1.5._mell._MŐSZ_Mérleg2020'!G81+'1.6._mell._HVGYKCSSZ_Mérleg2020'!G81</f>
        <v>0</v>
      </c>
      <c r="H81" s="12">
        <f>+'1.1.mell._ÖNK_Mérleg2020'!H81+'1.2.mell._HKÖH_Mérleg2020'!H81+'1.3.mell._HVÓBKI_Mérleg2020'!H81+'1.4.mell._HKK_Mérleg2020'!H81+'1.5._mell._MŐSZ_Mérleg2020'!H81+'1.6._mell._HVGYKCSSZ_Mérleg2020'!H81</f>
        <v>0</v>
      </c>
      <c r="I81" s="15">
        <f>+'1.1.mell._ÖNK_Mérleg2020'!I81+'1.2.mell._HKÖH_Mérleg2020'!I81+'1.3.mell._HVÓBKI_Mérleg2020'!I81+'1.4.mell._HKK_Mérleg2020'!I81+'1.5._mell._MŐSZ_Mérleg2020'!I81+'1.6._mell._HVGYKCSSZ_Mérleg2020'!I81</f>
        <v>0</v>
      </c>
      <c r="K81" s="117">
        <f t="shared" si="68"/>
        <v>0</v>
      </c>
    </row>
    <row r="82" spans="1:11" s="13" customFormat="1">
      <c r="A82" s="86" t="s">
        <v>912</v>
      </c>
      <c r="B82" s="66" t="s">
        <v>913</v>
      </c>
      <c r="C82" s="400">
        <f>+'1.1.mell._ÖNK_Mérleg2020'!C82+'1.2.mell._HKÖH_Mérleg2020'!C82+'1.3.mell._HVÓBKI_Mérleg2020'!C82+'1.4.mell._HKK_Mérleg2020'!C82+'1.5._mell._MŐSZ_Mérleg2020'!C82+'1.6._mell._HVGYKCSSZ_Mérleg2020'!C82</f>
        <v>0</v>
      </c>
      <c r="D82" s="1173">
        <f>+'1.1.mell._ÖNK_Mérleg2020'!D82+'1.2.mell._HKÖH_Mérleg2020'!D82+'1.3.mell._HVÓBKI_Mérleg2020'!D82+'1.4.mell._HKK_Mérleg2020'!D82+'1.5._mell._MŐSZ_Mérleg2020'!D82+'1.6._mell._HVGYKCSSZ_Mérleg2020'!D82</f>
        <v>0</v>
      </c>
      <c r="E82" s="1173">
        <f>+'1.1.mell._ÖNK_Mérleg2020'!E82+'1.2.mell._HKÖH_Mérleg2020'!E82+'1.3.mell._HVÓBKI_Mérleg2020'!E82+'1.4.mell._HKK_Mérleg2020'!E82+'1.5._mell._MŐSZ_Mérleg2020'!E82+'1.6._mell._HVGYKCSSZ_Mérleg2020'!E82</f>
        <v>0</v>
      </c>
      <c r="F82" s="15">
        <f>+'1.1.mell._ÖNK_Mérleg2020'!F82+'1.2.mell._HKÖH_Mérleg2020'!F82+'1.3.mell._HVÓBKI_Mérleg2020'!F82+'1.4.mell._HKK_Mérleg2020'!F82+'1.5._mell._MŐSZ_Mérleg2020'!F82+'1.6._mell._HVGYKCSSZ_Mérleg2020'!F82</f>
        <v>0</v>
      </c>
      <c r="G82" s="19">
        <f>+'1.1.mell._ÖNK_Mérleg2020'!G82+'1.2.mell._HKÖH_Mérleg2020'!G82+'1.3.mell._HVÓBKI_Mérleg2020'!G82+'1.4.mell._HKK_Mérleg2020'!G82+'1.5._mell._MŐSZ_Mérleg2020'!G82+'1.6._mell._HVGYKCSSZ_Mérleg2020'!G82</f>
        <v>0</v>
      </c>
      <c r="H82" s="12">
        <f>+'1.1.mell._ÖNK_Mérleg2020'!H82+'1.2.mell._HKÖH_Mérleg2020'!H82+'1.3.mell._HVÓBKI_Mérleg2020'!H82+'1.4.mell._HKK_Mérleg2020'!H82+'1.5._mell._MŐSZ_Mérleg2020'!H82+'1.6._mell._HVGYKCSSZ_Mérleg2020'!H82</f>
        <v>0</v>
      </c>
      <c r="I82" s="15">
        <f>+'1.1.mell._ÖNK_Mérleg2020'!I82+'1.2.mell._HKÖH_Mérleg2020'!I82+'1.3.mell._HVÓBKI_Mérleg2020'!I82+'1.4.mell._HKK_Mérleg2020'!I82+'1.5._mell._MŐSZ_Mérleg2020'!I82+'1.6._mell._HVGYKCSSZ_Mérleg2020'!I82</f>
        <v>0</v>
      </c>
      <c r="K82" s="117">
        <f t="shared" si="68"/>
        <v>0</v>
      </c>
    </row>
    <row r="83" spans="1:11">
      <c r="A83" s="85" t="s">
        <v>74</v>
      </c>
      <c r="B83" s="67" t="s">
        <v>242</v>
      </c>
      <c r="C83" s="402">
        <f>+'1.1.mell._ÖNK_Mérleg2020'!C83+'1.2.mell._HKÖH_Mérleg2020'!C83+'1.3.mell._HVÓBKI_Mérleg2020'!C83+'1.4.mell._HKK_Mérleg2020'!C83+'1.5._mell._MŐSZ_Mérleg2020'!C83+'1.6._mell._HVGYKCSSZ_Mérleg2020'!C83</f>
        <v>0</v>
      </c>
      <c r="D83" s="1174">
        <f>+'1.1.mell._ÖNK_Mérleg2020'!D83+'1.2.mell._HKÖH_Mérleg2020'!D83+'1.3.mell._HVÓBKI_Mérleg2020'!D83+'1.4.mell._HKK_Mérleg2020'!D83+'1.5._mell._MŐSZ_Mérleg2020'!D83+'1.6._mell._HVGYKCSSZ_Mérleg2020'!D83</f>
        <v>0</v>
      </c>
      <c r="E83" s="1174">
        <f>+'1.1.mell._ÖNK_Mérleg2020'!E83+'1.2.mell._HKÖH_Mérleg2020'!E83+'1.3.mell._HVÓBKI_Mérleg2020'!E83+'1.4.mell._HKK_Mérleg2020'!E83+'1.5._mell._MŐSZ_Mérleg2020'!E83+'1.6._mell._HVGYKCSSZ_Mérleg2020'!E83</f>
        <v>0</v>
      </c>
      <c r="F83" s="16">
        <f>+'1.1.mell._ÖNK_Mérleg2020'!F83+'1.2.mell._HKÖH_Mérleg2020'!F83+'1.3.mell._HVÓBKI_Mérleg2020'!F83+'1.4.mell._HKK_Mérleg2020'!F83+'1.5._mell._MŐSZ_Mérleg2020'!F83+'1.6._mell._HVGYKCSSZ_Mérleg2020'!F83</f>
        <v>0</v>
      </c>
      <c r="G83" s="20">
        <f>+'1.1.mell._ÖNK_Mérleg2020'!G83+'1.2.mell._HKÖH_Mérleg2020'!G83+'1.3.mell._HVÓBKI_Mérleg2020'!G83+'1.4.mell._HKK_Mérleg2020'!G83+'1.5._mell._MŐSZ_Mérleg2020'!G83+'1.6._mell._HVGYKCSSZ_Mérleg2020'!G83</f>
        <v>0</v>
      </c>
      <c r="H83" s="11">
        <f>+'1.1.mell._ÖNK_Mérleg2020'!H83+'1.2.mell._HKÖH_Mérleg2020'!H83+'1.3.mell._HVÓBKI_Mérleg2020'!H83+'1.4.mell._HKK_Mérleg2020'!H83+'1.5._mell._MŐSZ_Mérleg2020'!H83+'1.6._mell._HVGYKCSSZ_Mérleg2020'!H83</f>
        <v>0</v>
      </c>
      <c r="I83" s="16">
        <f>+'1.1.mell._ÖNK_Mérleg2020'!I83+'1.2.mell._HKÖH_Mérleg2020'!I83+'1.3.mell._HVÓBKI_Mérleg2020'!I83+'1.4.mell._HKK_Mérleg2020'!I83+'1.5._mell._MŐSZ_Mérleg2020'!I83+'1.6._mell._HVGYKCSSZ_Mérleg2020'!I83</f>
        <v>0</v>
      </c>
      <c r="K83" s="118">
        <f t="shared" si="68"/>
        <v>0</v>
      </c>
    </row>
    <row r="84" spans="1:11">
      <c r="A84" s="78" t="s">
        <v>202</v>
      </c>
      <c r="B84" s="68" t="s">
        <v>243</v>
      </c>
      <c r="C84" s="403">
        <f>+'1.1.mell._ÖNK_Mérleg2020'!C84+'1.2.mell._HKÖH_Mérleg2020'!C84+'1.3.mell._HVÓBKI_Mérleg2020'!C84+'1.4.mell._HKK_Mérleg2020'!C84+'1.5._mell._MŐSZ_Mérleg2020'!C84+'1.6._mell._HVGYKCSSZ_Mérleg2020'!C84</f>
        <v>0</v>
      </c>
      <c r="D84" s="1175">
        <f>+'1.1.mell._ÖNK_Mérleg2020'!D84+'1.2.mell._HKÖH_Mérleg2020'!D84+'1.3.mell._HVÓBKI_Mérleg2020'!D84+'1.4.mell._HKK_Mérleg2020'!D84+'1.5._mell._MŐSZ_Mérleg2020'!D84+'1.6._mell._HVGYKCSSZ_Mérleg2020'!D84</f>
        <v>0</v>
      </c>
      <c r="E84" s="1175">
        <f>+'1.1.mell._ÖNK_Mérleg2020'!E84+'1.2.mell._HKÖH_Mérleg2020'!E84+'1.3.mell._HVÓBKI_Mérleg2020'!E84+'1.4.mell._HKK_Mérleg2020'!E84+'1.5._mell._MŐSZ_Mérleg2020'!E84+'1.6._mell._HVGYKCSSZ_Mérleg2020'!E84</f>
        <v>0</v>
      </c>
      <c r="F84" s="23">
        <f>+'1.1.mell._ÖNK_Mérleg2020'!F84+'1.2.mell._HKÖH_Mérleg2020'!F84+'1.3.mell._HVÓBKI_Mérleg2020'!F84+'1.4.mell._HKK_Mérleg2020'!F84+'1.5._mell._MŐSZ_Mérleg2020'!F84+'1.6._mell._HVGYKCSSZ_Mérleg2020'!F84</f>
        <v>0</v>
      </c>
      <c r="G84" s="21">
        <f>+'1.1.mell._ÖNK_Mérleg2020'!G84+'1.2.mell._HKÖH_Mérleg2020'!G84+'1.3.mell._HVÓBKI_Mérleg2020'!G84+'1.4.mell._HKK_Mérleg2020'!G84+'1.5._mell._MŐSZ_Mérleg2020'!G84+'1.6._mell._HVGYKCSSZ_Mérleg2020'!G84</f>
        <v>0</v>
      </c>
      <c r="H84" s="22">
        <f>+'1.1.mell._ÖNK_Mérleg2020'!H84+'1.2.mell._HKÖH_Mérleg2020'!H84+'1.3.mell._HVÓBKI_Mérleg2020'!H84+'1.4.mell._HKK_Mérleg2020'!H84+'1.5._mell._MŐSZ_Mérleg2020'!H84+'1.6._mell._HVGYKCSSZ_Mérleg2020'!H84</f>
        <v>0</v>
      </c>
      <c r="I84" s="23">
        <f>+'1.1.mell._ÖNK_Mérleg2020'!I84+'1.2.mell._HKÖH_Mérleg2020'!I84+'1.3.mell._HVÓBKI_Mérleg2020'!I84+'1.4.mell._HKK_Mérleg2020'!I84+'1.5._mell._MŐSZ_Mérleg2020'!I84+'1.6._mell._HVGYKCSSZ_Mérleg2020'!I84</f>
        <v>0</v>
      </c>
      <c r="K84" s="118">
        <f t="shared" si="68"/>
        <v>0</v>
      </c>
    </row>
    <row r="85" spans="1:11" ht="12.75" thickBot="1">
      <c r="A85" s="78" t="s">
        <v>914</v>
      </c>
      <c r="B85" s="68" t="s">
        <v>915</v>
      </c>
      <c r="C85" s="403">
        <f>+'1.1.mell._ÖNK_Mérleg2020'!C85+'1.2.mell._HKÖH_Mérleg2020'!C85+'1.3.mell._HVÓBKI_Mérleg2020'!C85+'1.4.mell._HKK_Mérleg2020'!C85+'1.5._mell._MŐSZ_Mérleg2020'!C85+'1.6._mell._HVGYKCSSZ_Mérleg2020'!C85</f>
        <v>0</v>
      </c>
      <c r="D85" s="1175">
        <f>+'1.1.mell._ÖNK_Mérleg2020'!D85+'1.2.mell._HKÖH_Mérleg2020'!D85+'1.3.mell._HVÓBKI_Mérleg2020'!D85+'1.4.mell._HKK_Mérleg2020'!D85+'1.5._mell._MŐSZ_Mérleg2020'!D85+'1.6._mell._HVGYKCSSZ_Mérleg2020'!D85</f>
        <v>0</v>
      </c>
      <c r="E85" s="1175">
        <f>+'1.1.mell._ÖNK_Mérleg2020'!E85+'1.2.mell._HKÖH_Mérleg2020'!E85+'1.3.mell._HVÓBKI_Mérleg2020'!E85+'1.4.mell._HKK_Mérleg2020'!E85+'1.5._mell._MŐSZ_Mérleg2020'!E85+'1.6._mell._HVGYKCSSZ_Mérleg2020'!E85</f>
        <v>0</v>
      </c>
      <c r="F85" s="23">
        <f>+'1.1.mell._ÖNK_Mérleg2020'!F85+'1.2.mell._HKÖH_Mérleg2020'!F85+'1.3.mell._HVÓBKI_Mérleg2020'!F85+'1.4.mell._HKK_Mérleg2020'!F85+'1.5._mell._MŐSZ_Mérleg2020'!F85+'1.6._mell._HVGYKCSSZ_Mérleg2020'!F85</f>
        <v>0</v>
      </c>
      <c r="G85" s="21">
        <f>+'1.1.mell._ÖNK_Mérleg2020'!G85+'1.2.mell._HKÖH_Mérleg2020'!G85+'1.3.mell._HVÓBKI_Mérleg2020'!G85+'1.4.mell._HKK_Mérleg2020'!G85+'1.5._mell._MŐSZ_Mérleg2020'!G85+'1.6._mell._HVGYKCSSZ_Mérleg2020'!G85</f>
        <v>0</v>
      </c>
      <c r="H85" s="22">
        <f>+'1.1.mell._ÖNK_Mérleg2020'!H85+'1.2.mell._HKÖH_Mérleg2020'!H85+'1.3.mell._HVÓBKI_Mérleg2020'!H85+'1.4.mell._HKK_Mérleg2020'!H85+'1.5._mell._MŐSZ_Mérleg2020'!H85+'1.6._mell._HVGYKCSSZ_Mérleg2020'!H85</f>
        <v>0</v>
      </c>
      <c r="I85" s="23">
        <f>+'1.1.mell._ÖNK_Mérleg2020'!I85+'1.2.mell._HKÖH_Mérleg2020'!I85+'1.3.mell._HVÓBKI_Mérleg2020'!I85+'1.4.mell._HKK_Mérleg2020'!I85+'1.5._mell._MŐSZ_Mérleg2020'!I85+'1.6._mell._HVGYKCSSZ_Mérleg2020'!I85</f>
        <v>0</v>
      </c>
      <c r="K85" s="118">
        <f t="shared" si="68"/>
        <v>0</v>
      </c>
    </row>
    <row r="86" spans="1:11" s="3" customFormat="1" ht="12.75" thickBot="1">
      <c r="A86" s="83" t="s">
        <v>45</v>
      </c>
      <c r="B86" s="70" t="s">
        <v>304</v>
      </c>
      <c r="C86" s="129">
        <f t="shared" ref="C86" si="69">+C87</f>
        <v>10000</v>
      </c>
      <c r="D86" s="1171">
        <f t="shared" ref="D86" si="70">+D87</f>
        <v>2654032</v>
      </c>
      <c r="E86" s="1171">
        <f t="shared" ref="E86" si="71">+E87</f>
        <v>0</v>
      </c>
      <c r="F86" s="29">
        <f t="shared" ref="F86" si="72">+F87</f>
        <v>2654032</v>
      </c>
      <c r="G86" s="27">
        <f t="shared" ref="G86:I86" si="73">+G87</f>
        <v>2654032</v>
      </c>
      <c r="H86" s="28">
        <f t="shared" si="73"/>
        <v>0</v>
      </c>
      <c r="I86" s="29">
        <f t="shared" si="73"/>
        <v>0</v>
      </c>
      <c r="J86" s="689">
        <f>+F86/$F$102</f>
        <v>0.51025927933955484</v>
      </c>
      <c r="K86" s="119">
        <f t="shared" si="68"/>
        <v>0</v>
      </c>
    </row>
    <row r="87" spans="1:11" s="3" customFormat="1" ht="12.75" thickBot="1">
      <c r="A87" s="83" t="s">
        <v>44</v>
      </c>
      <c r="B87" s="64" t="s">
        <v>918</v>
      </c>
      <c r="C87" s="129">
        <f t="shared" ref="C87" si="74">+C88+C98+C99+C100</f>
        <v>10000</v>
      </c>
      <c r="D87" s="1171">
        <f t="shared" ref="D87" si="75">+D88+D98+D99+D100</f>
        <v>2654032</v>
      </c>
      <c r="E87" s="1171">
        <f t="shared" ref="E87" si="76">+E88+E98+E99+E100</f>
        <v>0</v>
      </c>
      <c r="F87" s="29">
        <f t="shared" ref="F87" si="77">+F88+F98+F99+F100</f>
        <v>2654032</v>
      </c>
      <c r="G87" s="27">
        <f t="shared" ref="G87:I87" si="78">+G88+G98+G99+G100</f>
        <v>2654032</v>
      </c>
      <c r="H87" s="28">
        <f t="shared" si="78"/>
        <v>0</v>
      </c>
      <c r="I87" s="29">
        <f t="shared" si="78"/>
        <v>0</v>
      </c>
      <c r="J87" s="689">
        <f>+F87/$F$102</f>
        <v>0.51025927933955484</v>
      </c>
      <c r="K87" s="119">
        <f t="shared" si="68"/>
        <v>0</v>
      </c>
    </row>
    <row r="88" spans="1:11">
      <c r="A88" s="84" t="s">
        <v>231</v>
      </c>
      <c r="B88" s="65" t="s">
        <v>970</v>
      </c>
      <c r="C88" s="404">
        <f t="shared" ref="C88" si="79">+C89+C90+C91+C92+C93+C94+C95+C96+C97</f>
        <v>10000</v>
      </c>
      <c r="D88" s="1172">
        <f t="shared" ref="D88" si="80">+D89+D90+D91+D92+D93+D94+D95+D96+D97</f>
        <v>2654032</v>
      </c>
      <c r="E88" s="1172">
        <f t="shared" ref="E88" si="81">+E89+E90+E91+E92+E93+E94+E95+E96+E97</f>
        <v>0</v>
      </c>
      <c r="F88" s="35">
        <f t="shared" ref="F88" si="82">+F89+F90+F91+F92+F93+F94+F95+F96+F97</f>
        <v>2654032</v>
      </c>
      <c r="G88" s="34">
        <f t="shared" ref="G88:I88" si="83">+G89+G90+G91+G92+G93+G94+G95+G96+G97</f>
        <v>2654032</v>
      </c>
      <c r="H88" s="10">
        <f t="shared" si="83"/>
        <v>0</v>
      </c>
      <c r="I88" s="35">
        <f t="shared" si="83"/>
        <v>0</v>
      </c>
      <c r="K88" s="118">
        <f t="shared" si="68"/>
        <v>0</v>
      </c>
    </row>
    <row r="89" spans="1:11" s="13" customFormat="1">
      <c r="A89" s="86" t="s">
        <v>232</v>
      </c>
      <c r="B89" s="66" t="s">
        <v>910</v>
      </c>
      <c r="C89" s="400">
        <f>+'1.1.mell._ÖNK_Mérleg2020'!C89+'1.2.mell._HKÖH_Mérleg2020'!C89+'1.3.mell._HVÓBKI_Mérleg2020'!C89+'1.4.mell._HKK_Mérleg2020'!C89+'1.5._mell._MŐSZ_Mérleg2020'!C89+'1.6._mell._HVGYKCSSZ_Mérleg2020'!C89</f>
        <v>10000</v>
      </c>
      <c r="D89" s="1173">
        <f>+'1.1.mell._ÖNK_Mérleg2020'!D89+'1.2.mell._HKÖH_Mérleg2020'!D89+'1.3.mell._HVÓBKI_Mérleg2020'!D89+'1.4.mell._HKK_Mérleg2020'!D89+'1.5._mell._MŐSZ_Mérleg2020'!D89+'1.6._mell._HVGYKCSSZ_Mérleg2020'!D89</f>
        <v>10000</v>
      </c>
      <c r="E89" s="1173">
        <f>+'1.1.mell._ÖNK_Mérleg2020'!E89+'1.2.mell._HKÖH_Mérleg2020'!E89+'1.3.mell._HVÓBKI_Mérleg2020'!E89+'1.4.mell._HKK_Mérleg2020'!E89+'1.5._mell._MŐSZ_Mérleg2020'!E89+'1.6._mell._HVGYKCSSZ_Mérleg2020'!E89</f>
        <v>0</v>
      </c>
      <c r="F89" s="15">
        <f>+'1.1.mell._ÖNK_Mérleg2020'!F89+'1.2.mell._HKÖH_Mérleg2020'!F89+'1.3.mell._HVÓBKI_Mérleg2020'!F89+'1.4.mell._HKK_Mérleg2020'!F89+'1.5._mell._MŐSZ_Mérleg2020'!F89+'1.6._mell._HVGYKCSSZ_Mérleg2020'!F89</f>
        <v>10000</v>
      </c>
      <c r="G89" s="19">
        <f>+'1.1.mell._ÖNK_Mérleg2020'!G89+'1.2.mell._HKÖH_Mérleg2020'!G89+'1.3.mell._HVÓBKI_Mérleg2020'!G89+'1.4.mell._HKK_Mérleg2020'!G89+'1.5._mell._MŐSZ_Mérleg2020'!G89+'1.6._mell._HVGYKCSSZ_Mérleg2020'!G89</f>
        <v>10000</v>
      </c>
      <c r="H89" s="12">
        <f>+'1.1.mell._ÖNK_Mérleg2020'!H89+'1.2.mell._HKÖH_Mérleg2020'!H89+'1.3.mell._HVÓBKI_Mérleg2020'!H89+'1.4.mell._HKK_Mérleg2020'!H89+'1.5._mell._MŐSZ_Mérleg2020'!H89+'1.6._mell._HVGYKCSSZ_Mérleg2020'!H89</f>
        <v>0</v>
      </c>
      <c r="I89" s="15">
        <f>+'1.1.mell._ÖNK_Mérleg2020'!I89+'1.2.mell._HKÖH_Mérleg2020'!I89+'1.3.mell._HVÓBKI_Mérleg2020'!I89+'1.4.mell._HKK_Mérleg2020'!I89+'1.5._mell._MŐSZ_Mérleg2020'!I89+'1.6._mell._HVGYKCSSZ_Mérleg2020'!I89</f>
        <v>0</v>
      </c>
      <c r="K89" s="117">
        <f t="shared" si="68"/>
        <v>0</v>
      </c>
    </row>
    <row r="90" spans="1:11" s="13" customFormat="1">
      <c r="A90" s="86" t="s">
        <v>233</v>
      </c>
      <c r="B90" s="66" t="s">
        <v>246</v>
      </c>
      <c r="C90" s="400">
        <f>+'1.1.mell._ÖNK_Mérleg2020'!C90+'1.2.mell._HKÖH_Mérleg2020'!C90+'1.3.mell._HVÓBKI_Mérleg2020'!C90+'1.4.mell._HKK_Mérleg2020'!C90+'1.5._mell._MŐSZ_Mérleg2020'!C90+'1.6._mell._HVGYKCSSZ_Mérleg2020'!C90</f>
        <v>0</v>
      </c>
      <c r="D90" s="1173">
        <f>+'1.1.mell._ÖNK_Mérleg2020'!D90+'1.2.mell._HKÖH_Mérleg2020'!D90+'1.3.mell._HVÓBKI_Mérleg2020'!D90+'1.4.mell._HKK_Mérleg2020'!D90+'1.5._mell._MŐSZ_Mérleg2020'!D90+'1.6._mell._HVGYKCSSZ_Mérleg2020'!D90</f>
        <v>0</v>
      </c>
      <c r="E90" s="1173">
        <f>+'1.1.mell._ÖNK_Mérleg2020'!E90+'1.2.mell._HKÖH_Mérleg2020'!E90+'1.3.mell._HVÓBKI_Mérleg2020'!E90+'1.4.mell._HKK_Mérleg2020'!E90+'1.5._mell._MŐSZ_Mérleg2020'!E90+'1.6._mell._HVGYKCSSZ_Mérleg2020'!E90</f>
        <v>0</v>
      </c>
      <c r="F90" s="15">
        <f>+'1.1.mell._ÖNK_Mérleg2020'!F90+'1.2.mell._HKÖH_Mérleg2020'!F90+'1.3.mell._HVÓBKI_Mérleg2020'!F90+'1.4.mell._HKK_Mérleg2020'!F90+'1.5._mell._MŐSZ_Mérleg2020'!F90+'1.6._mell._HVGYKCSSZ_Mérleg2020'!F90</f>
        <v>0</v>
      </c>
      <c r="G90" s="19">
        <f>+'1.1.mell._ÖNK_Mérleg2020'!G90+'1.2.mell._HKÖH_Mérleg2020'!G90+'1.3.mell._HVÓBKI_Mérleg2020'!G90+'1.4.mell._HKK_Mérleg2020'!G90+'1.5._mell._MŐSZ_Mérleg2020'!G90+'1.6._mell._HVGYKCSSZ_Mérleg2020'!G90</f>
        <v>0</v>
      </c>
      <c r="H90" s="12">
        <f>+'1.1.mell._ÖNK_Mérleg2020'!H90+'1.2.mell._HKÖH_Mérleg2020'!H90+'1.3.mell._HVÓBKI_Mérleg2020'!H90+'1.4.mell._HKK_Mérleg2020'!H90+'1.5._mell._MŐSZ_Mérleg2020'!H90+'1.6._mell._HVGYKCSSZ_Mérleg2020'!H90</f>
        <v>0</v>
      </c>
      <c r="I90" s="15">
        <f>+'1.1.mell._ÖNK_Mérleg2020'!I90+'1.2.mell._HKÖH_Mérleg2020'!I90+'1.3.mell._HVÓBKI_Mérleg2020'!I90+'1.4.mell._HKK_Mérleg2020'!I90+'1.5._mell._MŐSZ_Mérleg2020'!I90+'1.6._mell._HVGYKCSSZ_Mérleg2020'!I90</f>
        <v>0</v>
      </c>
      <c r="K90" s="117">
        <f t="shared" si="68"/>
        <v>0</v>
      </c>
    </row>
    <row r="91" spans="1:11" s="13" customFormat="1">
      <c r="A91" s="86" t="s">
        <v>234</v>
      </c>
      <c r="B91" s="66" t="s">
        <v>247</v>
      </c>
      <c r="C91" s="400">
        <f>+'1.1.mell._ÖNK_Mérleg2020'!C91+'1.2.mell._HKÖH_Mérleg2020'!C91+'1.3.mell._HVÓBKI_Mérleg2020'!C91+'1.4.mell._HKK_Mérleg2020'!C91+'1.5._mell._MŐSZ_Mérleg2020'!C91+'1.6._mell._HVGYKCSSZ_Mérleg2020'!C91</f>
        <v>0</v>
      </c>
      <c r="D91" s="1173">
        <f>+'1.1.mell._ÖNK_Mérleg2020'!D91+'1.2.mell._HKÖH_Mérleg2020'!D91+'1.3.mell._HVÓBKI_Mérleg2020'!D91+'1.4.mell._HKK_Mérleg2020'!D91+'1.5._mell._MŐSZ_Mérleg2020'!D91+'1.6._mell._HVGYKCSSZ_Mérleg2020'!D91</f>
        <v>2644032</v>
      </c>
      <c r="E91" s="1173">
        <f>+'1.1.mell._ÖNK_Mérleg2020'!E91+'1.2.mell._HKÖH_Mérleg2020'!E91+'1.3.mell._HVÓBKI_Mérleg2020'!E91+'1.4.mell._HKK_Mérleg2020'!E91+'1.5._mell._MŐSZ_Mérleg2020'!E91+'1.6._mell._HVGYKCSSZ_Mérleg2020'!E91</f>
        <v>0</v>
      </c>
      <c r="F91" s="15">
        <f>+'1.1.mell._ÖNK_Mérleg2020'!F91+'1.2.mell._HKÖH_Mérleg2020'!F91+'1.3.mell._HVÓBKI_Mérleg2020'!F91+'1.4.mell._HKK_Mérleg2020'!F91+'1.5._mell._MŐSZ_Mérleg2020'!F91+'1.6._mell._HVGYKCSSZ_Mérleg2020'!F91</f>
        <v>2644032</v>
      </c>
      <c r="G91" s="19">
        <f>+'1.1.mell._ÖNK_Mérleg2020'!G91+'1.2.mell._HKÖH_Mérleg2020'!G91+'1.3.mell._HVÓBKI_Mérleg2020'!G91+'1.4.mell._HKK_Mérleg2020'!G91+'1.5._mell._MŐSZ_Mérleg2020'!G91+'1.6._mell._HVGYKCSSZ_Mérleg2020'!G91</f>
        <v>2644032</v>
      </c>
      <c r="H91" s="12">
        <f>+'1.1.mell._ÖNK_Mérleg2020'!H91+'1.2.mell._HKÖH_Mérleg2020'!H91+'1.3.mell._HVÓBKI_Mérleg2020'!H91+'1.4.mell._HKK_Mérleg2020'!H91+'1.5._mell._MŐSZ_Mérleg2020'!H91+'1.6._mell._HVGYKCSSZ_Mérleg2020'!H91</f>
        <v>0</v>
      </c>
      <c r="I91" s="15">
        <f>+'1.1.mell._ÖNK_Mérleg2020'!I91+'1.2.mell._HKÖH_Mérleg2020'!I91+'1.3.mell._HVÓBKI_Mérleg2020'!I91+'1.4.mell._HKK_Mérleg2020'!I91+'1.5._mell._MŐSZ_Mérleg2020'!I91+'1.6._mell._HVGYKCSSZ_Mérleg2020'!I91</f>
        <v>0</v>
      </c>
      <c r="K91" s="117">
        <f t="shared" si="68"/>
        <v>0</v>
      </c>
    </row>
    <row r="92" spans="1:11" s="13" customFormat="1">
      <c r="A92" s="86" t="s">
        <v>235</v>
      </c>
      <c r="B92" s="66" t="s">
        <v>248</v>
      </c>
      <c r="C92" s="400">
        <f>+'1.1.mell._ÖNK_Mérleg2020'!C92+'1.2.mell._HKÖH_Mérleg2020'!C92+'1.3.mell._HVÓBKI_Mérleg2020'!C92+'1.4.mell._HKK_Mérleg2020'!C92+'1.5._mell._MŐSZ_Mérleg2020'!C92+'1.6._mell._HVGYKCSSZ_Mérleg2020'!C92</f>
        <v>0</v>
      </c>
      <c r="D92" s="1173">
        <f>+'1.1.mell._ÖNK_Mérleg2020'!D92+'1.2.mell._HKÖH_Mérleg2020'!D92+'1.3.mell._HVÓBKI_Mérleg2020'!D92+'1.4.mell._HKK_Mérleg2020'!D92+'1.5._mell._MŐSZ_Mérleg2020'!D92+'1.6._mell._HVGYKCSSZ_Mérleg2020'!D92</f>
        <v>0</v>
      </c>
      <c r="E92" s="1173">
        <f>+'1.1.mell._ÖNK_Mérleg2020'!E92+'1.2.mell._HKÖH_Mérleg2020'!E92+'1.3.mell._HVÓBKI_Mérleg2020'!E92+'1.4.mell._HKK_Mérleg2020'!E92+'1.5._mell._MŐSZ_Mérleg2020'!E92+'1.6._mell._HVGYKCSSZ_Mérleg2020'!E92</f>
        <v>0</v>
      </c>
      <c r="F92" s="15">
        <f>+'1.1.mell._ÖNK_Mérleg2020'!F92+'1.2.mell._HKÖH_Mérleg2020'!F92+'1.3.mell._HVÓBKI_Mérleg2020'!F92+'1.4.mell._HKK_Mérleg2020'!F92+'1.5._mell._MŐSZ_Mérleg2020'!F92+'1.6._mell._HVGYKCSSZ_Mérleg2020'!F92</f>
        <v>0</v>
      </c>
      <c r="G92" s="19">
        <f>+'1.1.mell._ÖNK_Mérleg2020'!G92+'1.2.mell._HKÖH_Mérleg2020'!G92+'1.3.mell._HVÓBKI_Mérleg2020'!G92+'1.4.mell._HKK_Mérleg2020'!G92+'1.5._mell._MŐSZ_Mérleg2020'!G92+'1.6._mell._HVGYKCSSZ_Mérleg2020'!G92</f>
        <v>0</v>
      </c>
      <c r="H92" s="12">
        <f>+'1.1.mell._ÖNK_Mérleg2020'!H92+'1.2.mell._HKÖH_Mérleg2020'!H92+'1.3.mell._HVÓBKI_Mérleg2020'!H92+'1.4.mell._HKK_Mérleg2020'!H92+'1.5._mell._MŐSZ_Mérleg2020'!H92+'1.6._mell._HVGYKCSSZ_Mérleg2020'!H92</f>
        <v>0</v>
      </c>
      <c r="I92" s="15">
        <f>+'1.1.mell._ÖNK_Mérleg2020'!I92+'1.2.mell._HKÖH_Mérleg2020'!I92+'1.3.mell._HVÓBKI_Mérleg2020'!I92+'1.4.mell._HKK_Mérleg2020'!I92+'1.5._mell._MŐSZ_Mérleg2020'!I92+'1.6._mell._HVGYKCSSZ_Mérleg2020'!I92</f>
        <v>0</v>
      </c>
      <c r="K92" s="117">
        <f t="shared" si="68"/>
        <v>0</v>
      </c>
    </row>
    <row r="93" spans="1:11" s="13" customFormat="1">
      <c r="A93" s="86" t="s">
        <v>236</v>
      </c>
      <c r="B93" s="66" t="s">
        <v>249</v>
      </c>
      <c r="C93" s="400">
        <f>+'1.1.mell._ÖNK_Mérleg2020'!C93+'1.2.mell._HKÖH_Mérleg2020'!C93+'1.3.mell._HVÓBKI_Mérleg2020'!C93+'1.4.mell._HKK_Mérleg2020'!C93+'1.5._mell._MŐSZ_Mérleg2020'!C93+'1.6._mell._HVGYKCSSZ_Mérleg2020'!C93</f>
        <v>0</v>
      </c>
      <c r="D93" s="1173">
        <f>+'1.1.mell._ÖNK_Mérleg2020'!D93+'1.2.mell._HKÖH_Mérleg2020'!D93+'1.3.mell._HVÓBKI_Mérleg2020'!D93+'1.4.mell._HKK_Mérleg2020'!D93+'1.5._mell._MŐSZ_Mérleg2020'!D93+'1.6._mell._HVGYKCSSZ_Mérleg2020'!D93</f>
        <v>0</v>
      </c>
      <c r="E93" s="1173">
        <f>+'1.1.mell._ÖNK_Mérleg2020'!E93+'1.2.mell._HKÖH_Mérleg2020'!E93+'1.3.mell._HVÓBKI_Mérleg2020'!E93+'1.4.mell._HKK_Mérleg2020'!E93+'1.5._mell._MŐSZ_Mérleg2020'!E93+'1.6._mell._HVGYKCSSZ_Mérleg2020'!E93</f>
        <v>0</v>
      </c>
      <c r="F93" s="15">
        <f>+'1.1.mell._ÖNK_Mérleg2020'!F93+'1.2.mell._HKÖH_Mérleg2020'!F93+'1.3.mell._HVÓBKI_Mérleg2020'!F93+'1.4.mell._HKK_Mérleg2020'!F93+'1.5._mell._MŐSZ_Mérleg2020'!F93+'1.6._mell._HVGYKCSSZ_Mérleg2020'!F93</f>
        <v>0</v>
      </c>
      <c r="G93" s="19">
        <f>+'1.1.mell._ÖNK_Mérleg2020'!G93+'1.2.mell._HKÖH_Mérleg2020'!G93+'1.3.mell._HVÓBKI_Mérleg2020'!G93+'1.4.mell._HKK_Mérleg2020'!G93+'1.5._mell._MŐSZ_Mérleg2020'!G93+'1.6._mell._HVGYKCSSZ_Mérleg2020'!G93</f>
        <v>0</v>
      </c>
      <c r="H93" s="12">
        <f>+'1.1.mell._ÖNK_Mérleg2020'!H93+'1.2.mell._HKÖH_Mérleg2020'!H93+'1.3.mell._HVÓBKI_Mérleg2020'!H93+'1.4.mell._HKK_Mérleg2020'!H93+'1.5._mell._MŐSZ_Mérleg2020'!H93+'1.6._mell._HVGYKCSSZ_Mérleg2020'!H93</f>
        <v>0</v>
      </c>
      <c r="I93" s="15">
        <f>+'1.1.mell._ÖNK_Mérleg2020'!I93+'1.2.mell._HKÖH_Mérleg2020'!I93+'1.3.mell._HVÓBKI_Mérleg2020'!I93+'1.4.mell._HKK_Mérleg2020'!I93+'1.5._mell._MŐSZ_Mérleg2020'!I93+'1.6._mell._HVGYKCSSZ_Mérleg2020'!I93</f>
        <v>0</v>
      </c>
      <c r="K93" s="117">
        <f t="shared" si="68"/>
        <v>0</v>
      </c>
    </row>
    <row r="94" spans="1:11" s="13" customFormat="1">
      <c r="A94" s="103" t="s">
        <v>237</v>
      </c>
      <c r="B94" s="104" t="s">
        <v>250</v>
      </c>
      <c r="C94" s="399"/>
      <c r="D94" s="1282"/>
      <c r="E94" s="1282"/>
      <c r="F94" s="107"/>
      <c r="G94" s="105"/>
      <c r="H94" s="106"/>
      <c r="I94" s="107"/>
      <c r="K94" s="117">
        <f t="shared" si="68"/>
        <v>0</v>
      </c>
    </row>
    <row r="95" spans="1:11" s="13" customFormat="1">
      <c r="A95" s="86" t="s">
        <v>238</v>
      </c>
      <c r="B95" s="66" t="s">
        <v>251</v>
      </c>
      <c r="C95" s="400">
        <f>+'1.1.mell._ÖNK_Mérleg2020'!C95+'1.2.mell._HKÖH_Mérleg2020'!C95+'1.3.mell._HVÓBKI_Mérleg2020'!C95+'1.4.mell._HKK_Mérleg2020'!C95+'1.5._mell._MŐSZ_Mérleg2020'!C95+'1.6._mell._HVGYKCSSZ_Mérleg2020'!C95</f>
        <v>0</v>
      </c>
      <c r="D95" s="1173">
        <f>+'1.1.mell._ÖNK_Mérleg2020'!D95+'1.2.mell._HKÖH_Mérleg2020'!D95+'1.3.mell._HVÓBKI_Mérleg2020'!D95+'1.4.mell._HKK_Mérleg2020'!D95+'1.5._mell._MŐSZ_Mérleg2020'!D95+'1.6._mell._HVGYKCSSZ_Mérleg2020'!D95</f>
        <v>0</v>
      </c>
      <c r="E95" s="1173">
        <f>+'1.1.mell._ÖNK_Mérleg2020'!E95+'1.2.mell._HKÖH_Mérleg2020'!E95+'1.3.mell._HVÓBKI_Mérleg2020'!E95+'1.4.mell._HKK_Mérleg2020'!E95+'1.5._mell._MŐSZ_Mérleg2020'!E95+'1.6._mell._HVGYKCSSZ_Mérleg2020'!E95</f>
        <v>0</v>
      </c>
      <c r="F95" s="15">
        <f>+'1.1.mell._ÖNK_Mérleg2020'!F95+'1.2.mell._HKÖH_Mérleg2020'!F95+'1.3.mell._HVÓBKI_Mérleg2020'!F95+'1.4.mell._HKK_Mérleg2020'!F95+'1.5._mell._MŐSZ_Mérleg2020'!F95+'1.6._mell._HVGYKCSSZ_Mérleg2020'!F95</f>
        <v>0</v>
      </c>
      <c r="G95" s="19">
        <f>+'1.1.mell._ÖNK_Mérleg2020'!G95+'1.2.mell._HKÖH_Mérleg2020'!G95+'1.3.mell._HVÓBKI_Mérleg2020'!G95+'1.4.mell._HKK_Mérleg2020'!G95+'1.5._mell._MŐSZ_Mérleg2020'!G95+'1.6._mell._HVGYKCSSZ_Mérleg2020'!G95</f>
        <v>0</v>
      </c>
      <c r="H95" s="12">
        <f>+'1.1.mell._ÖNK_Mérleg2020'!H95+'1.2.mell._HKÖH_Mérleg2020'!H95+'1.3.mell._HVÓBKI_Mérleg2020'!H95+'1.4.mell._HKK_Mérleg2020'!H95+'1.5._mell._MŐSZ_Mérleg2020'!H95+'1.6._mell._HVGYKCSSZ_Mérleg2020'!H95</f>
        <v>0</v>
      </c>
      <c r="I95" s="15">
        <f>+'1.1.mell._ÖNK_Mérleg2020'!I95+'1.2.mell._HKÖH_Mérleg2020'!I95+'1.3.mell._HVÓBKI_Mérleg2020'!I95+'1.4.mell._HKK_Mérleg2020'!I95+'1.5._mell._MŐSZ_Mérleg2020'!I95+'1.6._mell._HVGYKCSSZ_Mérleg2020'!I95</f>
        <v>0</v>
      </c>
      <c r="K95" s="13">
        <f t="shared" si="68"/>
        <v>0</v>
      </c>
    </row>
    <row r="96" spans="1:11" s="13" customFormat="1">
      <c r="A96" s="86" t="s">
        <v>239</v>
      </c>
      <c r="B96" s="66" t="s">
        <v>244</v>
      </c>
      <c r="C96" s="400">
        <f>+'1.1.mell._ÖNK_Mérleg2020'!C96+'1.2.mell._HKÖH_Mérleg2020'!C96+'1.3.mell._HVÓBKI_Mérleg2020'!C96+'1.4.mell._HKK_Mérleg2020'!C96+'1.5._mell._MŐSZ_Mérleg2020'!C96+'1.6._mell._HVGYKCSSZ_Mérleg2020'!C96</f>
        <v>0</v>
      </c>
      <c r="D96" s="1173">
        <f>+'1.1.mell._ÖNK_Mérleg2020'!D96+'1.2.mell._HKÖH_Mérleg2020'!D96+'1.3.mell._HVÓBKI_Mérleg2020'!D96+'1.4.mell._HKK_Mérleg2020'!D96+'1.5._mell._MŐSZ_Mérleg2020'!D96+'1.6._mell._HVGYKCSSZ_Mérleg2020'!D96</f>
        <v>0</v>
      </c>
      <c r="E96" s="1173">
        <f>+'1.1.mell._ÖNK_Mérleg2020'!E96+'1.2.mell._HKÖH_Mérleg2020'!E96+'1.3.mell._HVÓBKI_Mérleg2020'!E96+'1.4.mell._HKK_Mérleg2020'!E96+'1.5._mell._MŐSZ_Mérleg2020'!E96+'1.6._mell._HVGYKCSSZ_Mérleg2020'!E96</f>
        <v>0</v>
      </c>
      <c r="F96" s="15">
        <f>+'1.1.mell._ÖNK_Mérleg2020'!F96+'1.2.mell._HKÖH_Mérleg2020'!F96+'1.3.mell._HVÓBKI_Mérleg2020'!F96+'1.4.mell._HKK_Mérleg2020'!F96+'1.5._mell._MŐSZ_Mérleg2020'!F96+'1.6._mell._HVGYKCSSZ_Mérleg2020'!F96</f>
        <v>0</v>
      </c>
      <c r="G96" s="19">
        <f>+'1.1.mell._ÖNK_Mérleg2020'!G96+'1.2.mell._HKÖH_Mérleg2020'!G96+'1.3.mell._HVÓBKI_Mérleg2020'!G96+'1.4.mell._HKK_Mérleg2020'!G96+'1.5._mell._MŐSZ_Mérleg2020'!G96+'1.6._mell._HVGYKCSSZ_Mérleg2020'!G96</f>
        <v>0</v>
      </c>
      <c r="H96" s="12">
        <f>+'1.1.mell._ÖNK_Mérleg2020'!H96+'1.2.mell._HKÖH_Mérleg2020'!H96+'1.3.mell._HVÓBKI_Mérleg2020'!H96+'1.4.mell._HKK_Mérleg2020'!H96+'1.5._mell._MŐSZ_Mérleg2020'!H96+'1.6._mell._HVGYKCSSZ_Mérleg2020'!H96</f>
        <v>0</v>
      </c>
      <c r="I96" s="15">
        <f>+'1.1.mell._ÖNK_Mérleg2020'!I96+'1.2.mell._HKÖH_Mérleg2020'!I96+'1.3.mell._HVÓBKI_Mérleg2020'!I96+'1.4.mell._HKK_Mérleg2020'!I96+'1.5._mell._MŐSZ_Mérleg2020'!I96+'1.6._mell._HVGYKCSSZ_Mérleg2020'!I96</f>
        <v>0</v>
      </c>
      <c r="K96" s="13">
        <f t="shared" si="68"/>
        <v>0</v>
      </c>
    </row>
    <row r="97" spans="1:12" s="13" customFormat="1">
      <c r="A97" s="86" t="s">
        <v>917</v>
      </c>
      <c r="B97" s="66" t="s">
        <v>913</v>
      </c>
      <c r="C97" s="400">
        <f>+'1.1.mell._ÖNK_Mérleg2020'!C97+'1.2.mell._HKÖH_Mérleg2020'!C97+'1.3.mell._HVÓBKI_Mérleg2020'!C97+'1.4.mell._HKK_Mérleg2020'!C97+'1.5._mell._MŐSZ_Mérleg2020'!C97+'1.6._mell._HVGYKCSSZ_Mérleg2020'!C97</f>
        <v>0</v>
      </c>
      <c r="D97" s="1173">
        <f>+'1.1.mell._ÖNK_Mérleg2020'!D97+'1.2.mell._HKÖH_Mérleg2020'!D97+'1.3.mell._HVÓBKI_Mérleg2020'!D97+'1.4.mell._HKK_Mérleg2020'!D97+'1.5._mell._MŐSZ_Mérleg2020'!D97+'1.6._mell._HVGYKCSSZ_Mérleg2020'!D97</f>
        <v>0</v>
      </c>
      <c r="E97" s="1173">
        <f>+'1.1.mell._ÖNK_Mérleg2020'!E97+'1.2.mell._HKÖH_Mérleg2020'!E97+'1.3.mell._HVÓBKI_Mérleg2020'!E97+'1.4.mell._HKK_Mérleg2020'!E97+'1.5._mell._MŐSZ_Mérleg2020'!E97+'1.6._mell._HVGYKCSSZ_Mérleg2020'!E97</f>
        <v>0</v>
      </c>
      <c r="F97" s="15">
        <f>+'1.1.mell._ÖNK_Mérleg2020'!F97+'1.2.mell._HKÖH_Mérleg2020'!F97+'1.3.mell._HVÓBKI_Mérleg2020'!F97+'1.4.mell._HKK_Mérleg2020'!F97+'1.5._mell._MŐSZ_Mérleg2020'!F97+'1.6._mell._HVGYKCSSZ_Mérleg2020'!F97</f>
        <v>0</v>
      </c>
      <c r="G97" s="19">
        <f>+'1.1.mell._ÖNK_Mérleg2020'!G97+'1.2.mell._HKÖH_Mérleg2020'!G97+'1.3.mell._HVÓBKI_Mérleg2020'!G97+'1.4.mell._HKK_Mérleg2020'!G97+'1.5._mell._MŐSZ_Mérleg2020'!G97+'1.6._mell._HVGYKCSSZ_Mérleg2020'!G97</f>
        <v>0</v>
      </c>
      <c r="H97" s="12">
        <f>+'1.1.mell._ÖNK_Mérleg2020'!H97+'1.2.mell._HKÖH_Mérleg2020'!H97+'1.3.mell._HVÓBKI_Mérleg2020'!H97+'1.4.mell._HKK_Mérleg2020'!H97+'1.5._mell._MŐSZ_Mérleg2020'!H97+'1.6._mell._HVGYKCSSZ_Mérleg2020'!H97</f>
        <v>0</v>
      </c>
      <c r="I97" s="15">
        <f>+'1.1.mell._ÖNK_Mérleg2020'!I97+'1.2.mell._HKÖH_Mérleg2020'!I97+'1.3.mell._HVÓBKI_Mérleg2020'!I97+'1.4.mell._HKK_Mérleg2020'!I97+'1.5._mell._MŐSZ_Mérleg2020'!I97+'1.6._mell._HVGYKCSSZ_Mérleg2020'!I97</f>
        <v>0</v>
      </c>
      <c r="K97" s="13">
        <f t="shared" si="68"/>
        <v>0</v>
      </c>
    </row>
    <row r="98" spans="1:12">
      <c r="A98" s="85" t="s">
        <v>240</v>
      </c>
      <c r="B98" s="67" t="s">
        <v>242</v>
      </c>
      <c r="C98" s="402">
        <f>+'1.1.mell._ÖNK_Mérleg2020'!C98+'1.2.mell._HKÖH_Mérleg2020'!C98+'1.3.mell._HVÓBKI_Mérleg2020'!C98+'1.4.mell._HKK_Mérleg2020'!C98+'1.5._mell._MŐSZ_Mérleg2020'!C98+'1.6._mell._HVGYKCSSZ_Mérleg2020'!C98</f>
        <v>0</v>
      </c>
      <c r="D98" s="1174">
        <f>+'1.1.mell._ÖNK_Mérleg2020'!D98+'1.2.mell._HKÖH_Mérleg2020'!D98+'1.3.mell._HVÓBKI_Mérleg2020'!D98+'1.4.mell._HKK_Mérleg2020'!D98+'1.5._mell._MŐSZ_Mérleg2020'!D98+'1.6._mell._HVGYKCSSZ_Mérleg2020'!D98</f>
        <v>0</v>
      </c>
      <c r="E98" s="1174">
        <f>+'1.1.mell._ÖNK_Mérleg2020'!E98+'1.2.mell._HKÖH_Mérleg2020'!E98+'1.3.mell._HVÓBKI_Mérleg2020'!E98+'1.4.mell._HKK_Mérleg2020'!E98+'1.5._mell._MŐSZ_Mérleg2020'!E98+'1.6._mell._HVGYKCSSZ_Mérleg2020'!E98</f>
        <v>0</v>
      </c>
      <c r="F98" s="16">
        <f>+'1.1.mell._ÖNK_Mérleg2020'!F98+'1.2.mell._HKÖH_Mérleg2020'!F98+'1.3.mell._HVÓBKI_Mérleg2020'!F98+'1.4.mell._HKK_Mérleg2020'!F98+'1.5._mell._MŐSZ_Mérleg2020'!F98+'1.6._mell._HVGYKCSSZ_Mérleg2020'!F98</f>
        <v>0</v>
      </c>
      <c r="G98" s="20">
        <f>+'1.1.mell._ÖNK_Mérleg2020'!G98+'1.2.mell._HKÖH_Mérleg2020'!G98+'1.3.mell._HVÓBKI_Mérleg2020'!G98+'1.4.mell._HKK_Mérleg2020'!G98+'1.5._mell._MŐSZ_Mérleg2020'!G98+'1.6._mell._HVGYKCSSZ_Mérleg2020'!G98</f>
        <v>0</v>
      </c>
      <c r="H98" s="11">
        <f>+'1.1.mell._ÖNK_Mérleg2020'!H98+'1.2.mell._HKÖH_Mérleg2020'!H98+'1.3.mell._HVÓBKI_Mérleg2020'!H98+'1.4.mell._HKK_Mérleg2020'!H98+'1.5._mell._MŐSZ_Mérleg2020'!H98+'1.6._mell._HVGYKCSSZ_Mérleg2020'!H98</f>
        <v>0</v>
      </c>
      <c r="I98" s="16">
        <f>+'1.1.mell._ÖNK_Mérleg2020'!I98+'1.2.mell._HKÖH_Mérleg2020'!I98+'1.3.mell._HVÓBKI_Mérleg2020'!I98+'1.4.mell._HKK_Mérleg2020'!I98+'1.5._mell._MŐSZ_Mérleg2020'!I98+'1.6._mell._HVGYKCSSZ_Mérleg2020'!I98</f>
        <v>0</v>
      </c>
      <c r="K98" s="4">
        <f t="shared" si="68"/>
        <v>0</v>
      </c>
    </row>
    <row r="99" spans="1:12">
      <c r="A99" s="78" t="s">
        <v>241</v>
      </c>
      <c r="B99" s="68" t="s">
        <v>243</v>
      </c>
      <c r="C99" s="403">
        <f>+'1.1.mell._ÖNK_Mérleg2020'!C99+'1.2.mell._HKÖH_Mérleg2020'!C99+'1.3.mell._HVÓBKI_Mérleg2020'!C99+'1.4.mell._HKK_Mérleg2020'!C99+'1.5._mell._MŐSZ_Mérleg2020'!C99+'1.6._mell._HVGYKCSSZ_Mérleg2020'!C99</f>
        <v>0</v>
      </c>
      <c r="D99" s="1175">
        <f>+'1.1.mell._ÖNK_Mérleg2020'!D99+'1.2.mell._HKÖH_Mérleg2020'!D99+'1.3.mell._HVÓBKI_Mérleg2020'!D99+'1.4.mell._HKK_Mérleg2020'!D99+'1.5._mell._MŐSZ_Mérleg2020'!D99+'1.6._mell._HVGYKCSSZ_Mérleg2020'!D99</f>
        <v>0</v>
      </c>
      <c r="E99" s="1175">
        <f>+'1.1.mell._ÖNK_Mérleg2020'!E99+'1.2.mell._HKÖH_Mérleg2020'!E99+'1.3.mell._HVÓBKI_Mérleg2020'!E99+'1.4.mell._HKK_Mérleg2020'!E99+'1.5._mell._MŐSZ_Mérleg2020'!E99+'1.6._mell._HVGYKCSSZ_Mérleg2020'!E99</f>
        <v>0</v>
      </c>
      <c r="F99" s="23">
        <f>+'1.1.mell._ÖNK_Mérleg2020'!F99+'1.2.mell._HKÖH_Mérleg2020'!F99+'1.3.mell._HVÓBKI_Mérleg2020'!F99+'1.4.mell._HKK_Mérleg2020'!F99+'1.5._mell._MŐSZ_Mérleg2020'!F99+'1.6._mell._HVGYKCSSZ_Mérleg2020'!F99</f>
        <v>0</v>
      </c>
      <c r="G99" s="21">
        <f>+'1.1.mell._ÖNK_Mérleg2020'!G99+'1.2.mell._HKÖH_Mérleg2020'!G99+'1.3.mell._HVÓBKI_Mérleg2020'!G99+'1.4.mell._HKK_Mérleg2020'!G99+'1.5._mell._MŐSZ_Mérleg2020'!G99+'1.6._mell._HVGYKCSSZ_Mérleg2020'!G99</f>
        <v>0</v>
      </c>
      <c r="H99" s="22">
        <f>+'1.1.mell._ÖNK_Mérleg2020'!H99+'1.2.mell._HKÖH_Mérleg2020'!H99+'1.3.mell._HVÓBKI_Mérleg2020'!H99+'1.4.mell._HKK_Mérleg2020'!H99+'1.5._mell._MŐSZ_Mérleg2020'!H99+'1.6._mell._HVGYKCSSZ_Mérleg2020'!H99</f>
        <v>0</v>
      </c>
      <c r="I99" s="23">
        <f>+'1.1.mell._ÖNK_Mérleg2020'!I99+'1.2.mell._HKÖH_Mérleg2020'!I99+'1.3.mell._HVÓBKI_Mérleg2020'!I99+'1.4.mell._HKK_Mérleg2020'!I99+'1.5._mell._MŐSZ_Mérleg2020'!I99+'1.6._mell._HVGYKCSSZ_Mérleg2020'!I99</f>
        <v>0</v>
      </c>
      <c r="K99" s="4">
        <f t="shared" si="68"/>
        <v>0</v>
      </c>
    </row>
    <row r="100" spans="1:12" ht="12.75" thickBot="1">
      <c r="A100" s="78" t="s">
        <v>919</v>
      </c>
      <c r="B100" s="68" t="s">
        <v>915</v>
      </c>
      <c r="C100" s="403">
        <f>+'1.1.mell._ÖNK_Mérleg2020'!C100+'1.2.mell._HKÖH_Mérleg2020'!C100+'1.3.mell._HVÓBKI_Mérleg2020'!C100+'1.4.mell._HKK_Mérleg2020'!C100+'1.5._mell._MŐSZ_Mérleg2020'!C100+'1.6._mell._HVGYKCSSZ_Mérleg2020'!C100</f>
        <v>0</v>
      </c>
      <c r="D100" s="1175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1175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23">
        <f>+'1.1.mell._ÖNK_Mérleg2020'!F100+'1.2.mell._HKÖH_Mérleg2020'!F100+'1.3.mell._HVÓBKI_Mérleg2020'!F100+'1.4.mell._HKK_Mérleg2020'!F100+'1.5._mell._MŐSZ_Mérleg2020'!F100+'1.6._mell._HVGYKCSSZ_Mérleg2020'!F100</f>
        <v>0</v>
      </c>
      <c r="G100" s="21">
        <f>+'1.1.mell._ÖNK_Mérleg2020'!G100+'1.2.mell._HKÖH_Mérleg2020'!G100+'1.3.mell._HVÓBKI_Mérleg2020'!G100+'1.4.mell._HKK_Mérleg2020'!G100+'1.5._mell._MŐSZ_Mérleg2020'!G100+'1.6._mell._HVGYKCSSZ_Mérleg2020'!G100</f>
        <v>0</v>
      </c>
      <c r="H100" s="22">
        <f>+'1.1.mell._ÖNK_Mérleg2020'!H100+'1.2.mell._HKÖH_Mérleg2020'!H100+'1.3.mell._HVÓBKI_Mérleg2020'!H100+'1.4.mell._HKK_Mérleg2020'!H100+'1.5._mell._MŐSZ_Mérleg2020'!H100+'1.6._mell._HVGYKCSSZ_Mérleg2020'!H100</f>
        <v>0</v>
      </c>
      <c r="I100" s="23">
        <f>+'1.1.mell._ÖNK_Mérleg2020'!I100+'1.2.mell._HKÖH_Mérleg2020'!I100+'1.3.mell._HVÓBKI_Mérleg2020'!I100+'1.4.mell._HKK_Mérleg2020'!I100+'1.5._mell._MŐSZ_Mérleg2020'!I100+'1.6._mell._HVGYKCSSZ_Mérleg2020'!I100</f>
        <v>0</v>
      </c>
      <c r="K100" s="4">
        <f t="shared" si="68"/>
        <v>0</v>
      </c>
    </row>
    <row r="101" spans="1:12" s="3" customFormat="1" ht="12.75" thickBot="1">
      <c r="A101" s="83" t="s">
        <v>43</v>
      </c>
      <c r="B101" s="69" t="s">
        <v>305</v>
      </c>
      <c r="C101" s="129">
        <f t="shared" ref="C101:F101" si="84">+C71+C86</f>
        <v>2886249</v>
      </c>
      <c r="D101" s="1171">
        <f t="shared" si="84"/>
        <v>3363862</v>
      </c>
      <c r="E101" s="1171">
        <f t="shared" si="84"/>
        <v>0</v>
      </c>
      <c r="F101" s="29">
        <f t="shared" si="84"/>
        <v>3363862</v>
      </c>
      <c r="G101" s="27">
        <f t="shared" ref="G101:I101" si="85">+G71+G86</f>
        <v>3363838</v>
      </c>
      <c r="H101" s="28">
        <f t="shared" si="85"/>
        <v>24</v>
      </c>
      <c r="I101" s="29">
        <f t="shared" si="85"/>
        <v>0</v>
      </c>
      <c r="J101" s="689">
        <f>+F101/$F$102</f>
        <v>0.64672988114601238</v>
      </c>
      <c r="K101" s="3">
        <f t="shared" si="68"/>
        <v>0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" si="86">+C70+C101</f>
        <v>4553174</v>
      </c>
      <c r="D102" s="1182">
        <f t="shared" ref="D102" si="87">+D70+D101</f>
        <v>5180736</v>
      </c>
      <c r="E102" s="1182">
        <f t="shared" ref="E102" si="88">+E70+E101</f>
        <v>20604</v>
      </c>
      <c r="F102" s="26">
        <f t="shared" ref="F102" si="89">+F70+F101</f>
        <v>5201340</v>
      </c>
      <c r="G102" s="24">
        <f t="shared" ref="G102:I102" si="90">+G70+G101</f>
        <v>5147272</v>
      </c>
      <c r="H102" s="25">
        <f t="shared" si="90"/>
        <v>54068</v>
      </c>
      <c r="I102" s="26">
        <f t="shared" si="90"/>
        <v>0</v>
      </c>
      <c r="J102" s="689">
        <f>+F102/$F$102</f>
        <v>1</v>
      </c>
      <c r="K102" s="3">
        <f t="shared" si="68"/>
        <v>0</v>
      </c>
    </row>
    <row r="103" spans="1:12" s="3" customFormat="1" ht="15.75">
      <c r="A103" s="53"/>
      <c r="B103" s="30"/>
      <c r="G103" s="30"/>
      <c r="H103" s="30"/>
      <c r="I103" s="30"/>
      <c r="K103" s="3">
        <f>+F102-F208</f>
        <v>0</v>
      </c>
      <c r="L103" s="52"/>
    </row>
    <row r="104" spans="1:12" s="3" customFormat="1">
      <c r="A104" s="53"/>
      <c r="B104" s="30"/>
      <c r="C104" s="30"/>
      <c r="D104" s="30"/>
      <c r="E104" s="30"/>
      <c r="F104" s="30"/>
      <c r="G104" s="30"/>
      <c r="H104" s="30"/>
      <c r="I104" s="30"/>
      <c r="L104" s="36"/>
    </row>
    <row r="105" spans="1:12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  <c r="L105" s="3"/>
    </row>
    <row r="106" spans="1:12" s="36" customFormat="1" ht="12.75" thickBot="1">
      <c r="A106" s="38" t="s">
        <v>278</v>
      </c>
      <c r="I106" s="37" t="s">
        <v>280</v>
      </c>
      <c r="L106" s="3"/>
    </row>
    <row r="107" spans="1:12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2" s="3" customFormat="1" ht="12.75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2" s="3" customFormat="1" ht="12.75" thickBot="1">
      <c r="A109" s="83" t="s">
        <v>4</v>
      </c>
      <c r="B109" s="69" t="s">
        <v>307</v>
      </c>
      <c r="C109" s="129">
        <f t="shared" ref="C109" si="91">+C110+C114+C116+C123+C132</f>
        <v>4018748</v>
      </c>
      <c r="D109" s="1171">
        <f t="shared" ref="D109" si="92">+D110+D114+D116+D123+D132</f>
        <v>4625310</v>
      </c>
      <c r="E109" s="1171">
        <f t="shared" ref="E109" si="93">+E110+E114+E116+E123+E132</f>
        <v>-15096</v>
      </c>
      <c r="F109" s="29">
        <f t="shared" ref="F109" si="94">+F110+F114+F116+F123+F132</f>
        <v>4610214</v>
      </c>
      <c r="G109" s="27">
        <f t="shared" ref="G109:I109" si="95">+G110+G114+G116+G123+G132</f>
        <v>4542725</v>
      </c>
      <c r="H109" s="28">
        <f t="shared" si="95"/>
        <v>67489</v>
      </c>
      <c r="I109" s="29">
        <f t="shared" si="95"/>
        <v>0</v>
      </c>
      <c r="J109" s="689">
        <f>+F109/$F$208</f>
        <v>0.88635120949601454</v>
      </c>
      <c r="K109" s="3">
        <f t="shared" si="68"/>
        <v>0</v>
      </c>
      <c r="L109" s="36"/>
    </row>
    <row r="110" spans="1:12" s="3" customFormat="1" ht="12.75" thickBot="1">
      <c r="A110" s="83" t="s">
        <v>5</v>
      </c>
      <c r="B110" s="64" t="s">
        <v>308</v>
      </c>
      <c r="C110" s="129">
        <f t="shared" ref="C110:F110" si="96">+C112+C113</f>
        <v>715534</v>
      </c>
      <c r="D110" s="1171">
        <f t="shared" si="96"/>
        <v>821897</v>
      </c>
      <c r="E110" s="1171">
        <f t="shared" si="96"/>
        <v>5506</v>
      </c>
      <c r="F110" s="29">
        <f t="shared" si="96"/>
        <v>827403</v>
      </c>
      <c r="G110" s="27">
        <f t="shared" ref="G110:I110" si="97">+G112+G113</f>
        <v>803419</v>
      </c>
      <c r="H110" s="28">
        <f t="shared" si="97"/>
        <v>23984</v>
      </c>
      <c r="I110" s="29">
        <f t="shared" si="97"/>
        <v>0</v>
      </c>
      <c r="J110" s="689">
        <f>+F110/$F$208</f>
        <v>0.15907496914256711</v>
      </c>
      <c r="K110" s="3">
        <f t="shared" si="68"/>
        <v>0</v>
      </c>
      <c r="L110" s="4"/>
    </row>
    <row r="111" spans="1:12" s="36" customFormat="1">
      <c r="A111" s="788" t="s">
        <v>348</v>
      </c>
      <c r="B111" s="789" t="s">
        <v>349</v>
      </c>
      <c r="C111" s="1183">
        <f>+'1.1.mell._ÖNK_Mérleg2020'!C111+'1.2.mell._HKÖH_Mérleg2020'!C111+'1.3.mell._HVÓBKI_Mérleg2020'!C111+'1.4.mell._HKK_Mérleg2020'!C111+'1.5._mell._MŐSZ_Mérleg2020'!C111+'1.6._mell._HVGYKCSSZ_Mérleg2020'!C111</f>
        <v>0</v>
      </c>
      <c r="D111" s="1184">
        <f>+'1.1.mell._ÖNK_Mérleg2020'!D111+'1.2.mell._HKÖH_Mérleg2020'!D111+'1.3.mell._HVÓBKI_Mérleg2020'!D111+'1.4.mell._HKK_Mérleg2020'!D111+'1.5._mell._MŐSZ_Mérleg2020'!D111+'1.6._mell._HVGYKCSSZ_Mérleg2020'!D111</f>
        <v>0</v>
      </c>
      <c r="E111" s="1184">
        <f>+'1.1.mell._ÖNK_Mérleg2020'!E111+'1.2.mell._HKÖH_Mérleg2020'!E111+'1.3.mell._HVÓBKI_Mérleg2020'!E111+'1.4.mell._HKK_Mérleg2020'!E111+'1.5._mell._MŐSZ_Mérleg2020'!E111+'1.6._mell._HVGYKCSSZ_Mérleg2020'!E111</f>
        <v>0</v>
      </c>
      <c r="F111" s="98">
        <f>+'1.1.mell._ÖNK_Mérleg2020'!F111+'1.2.mell._HKÖH_Mérleg2020'!F111+'1.3.mell._HVÓBKI_Mérleg2020'!F111+'1.4.mell._HKK_Mérleg2020'!F111+'1.5._mell._MŐSZ_Mérleg2020'!F111+'1.6._mell._HVGYKCSSZ_Mérleg2020'!F111</f>
        <v>0</v>
      </c>
      <c r="G111" s="96">
        <f>+'1.1.mell._ÖNK_Mérleg2020'!G111+'1.2.mell._HKÖH_Mérleg2020'!G111+'1.3.mell._HVÓBKI_Mérleg2020'!G111+'1.4.mell._HKK_Mérleg2020'!G111+'1.5._mell._MŐSZ_Mérleg2020'!G111+'1.6._mell._HVGYKCSSZ_Mérleg2020'!G111</f>
        <v>0</v>
      </c>
      <c r="H111" s="97">
        <f>+'1.1.mell._ÖNK_Mérleg2020'!H111+'1.2.mell._HKÖH_Mérleg2020'!H111+'1.3.mell._HVÓBKI_Mérleg2020'!H111+'1.4.mell._HKK_Mérleg2020'!H111+'1.5._mell._MŐSZ_Mérleg2020'!H111+'1.6._mell._HVGYKCSSZ_Mérleg2020'!H111</f>
        <v>0</v>
      </c>
      <c r="I111" s="98">
        <f>+'1.1.mell._ÖNK_Mérleg2020'!I111+'1.2.mell._HKÖH_Mérleg2020'!I111+'1.3.mell._HVÓBKI_Mérleg2020'!I111+'1.4.mell._HKK_Mérleg2020'!I111+'1.5._mell._MŐSZ_Mérleg2020'!I111+'1.6._mell._HVGYKCSSZ_Mérleg2020'!I111</f>
        <v>0</v>
      </c>
      <c r="K111" s="36">
        <f t="shared" si="68"/>
        <v>0</v>
      </c>
      <c r="L111" s="4"/>
    </row>
    <row r="112" spans="1:12">
      <c r="A112" s="84" t="s">
        <v>54</v>
      </c>
      <c r="B112" s="65" t="s">
        <v>126</v>
      </c>
      <c r="C112" s="404">
        <f>+'1.1.mell._ÖNK_Mérleg2020'!C112+'1.2.mell._HKÖH_Mérleg2020'!C112+'1.3.mell._HVÓBKI_Mérleg2020'!C112+'1.4.mell._HKK_Mérleg2020'!C112+'1.5._mell._MŐSZ_Mérleg2020'!C112+'1.6._mell._HVGYKCSSZ_Mérleg2020'!C112</f>
        <v>670542</v>
      </c>
      <c r="D112" s="1172">
        <f>+'1.1.mell._ÖNK_Mérleg2020'!D112+'1.2.mell._HKÖH_Mérleg2020'!D112+'1.3.mell._HVÓBKI_Mérleg2020'!D112+'1.4.mell._HKK_Mérleg2020'!D112+'1.5._mell._MŐSZ_Mérleg2020'!D112+'1.6._mell._HVGYKCSSZ_Mérleg2020'!D112</f>
        <v>776905</v>
      </c>
      <c r="E112" s="1172">
        <f>+'1.1.mell._ÖNK_Mérleg2020'!E112+'1.2.mell._HKÖH_Mérleg2020'!E112+'1.3.mell._HVÓBKI_Mérleg2020'!E112+'1.4.mell._HKK_Mérleg2020'!E112+'1.5._mell._MŐSZ_Mérleg2020'!E112+'1.6._mell._HVGYKCSSZ_Mérleg2020'!E112</f>
        <v>5506</v>
      </c>
      <c r="F112" s="35">
        <f>+'1.1.mell._ÖNK_Mérleg2020'!F112+'1.2.mell._HKÖH_Mérleg2020'!F112+'1.3.mell._HVÓBKI_Mérleg2020'!F112+'1.4.mell._HKK_Mérleg2020'!F112+'1.5._mell._MŐSZ_Mérleg2020'!F112+'1.6._mell._HVGYKCSSZ_Mérleg2020'!F112</f>
        <v>782411</v>
      </c>
      <c r="G112" s="34">
        <f>+'1.1.mell._ÖNK_Mérleg2020'!G112+'1.2.mell._HKÖH_Mérleg2020'!G112+'1.3.mell._HVÓBKI_Mérleg2020'!G112+'1.4.mell._HKK_Mérleg2020'!G112+'1.5._mell._MŐSZ_Mérleg2020'!G112+'1.6._mell._HVGYKCSSZ_Mérleg2020'!G112</f>
        <v>758427</v>
      </c>
      <c r="H112" s="10">
        <f>+'1.1.mell._ÖNK_Mérleg2020'!H112+'1.2.mell._HKÖH_Mérleg2020'!H112+'1.3.mell._HVÓBKI_Mérleg2020'!H112+'1.4.mell._HKK_Mérleg2020'!H112+'1.5._mell._MŐSZ_Mérleg2020'!H112+'1.6._mell._HVGYKCSSZ_Mérleg2020'!H112</f>
        <v>23984</v>
      </c>
      <c r="I112" s="35">
        <f>+'1.1.mell._ÖNK_Mérleg2020'!I112+'1.2.mell._HKÖH_Mérleg2020'!I112+'1.3.mell._HVÓBKI_Mérleg2020'!I112+'1.4.mell._HKK_Mérleg2020'!I112+'1.5._mell._MŐSZ_Mérleg2020'!I112+'1.6._mell._HVGYKCSSZ_Mérleg2020'!I112</f>
        <v>0</v>
      </c>
      <c r="K112" s="4">
        <f t="shared" si="68"/>
        <v>0</v>
      </c>
      <c r="L112" s="3"/>
    </row>
    <row r="113" spans="1:12" ht="12.75" thickBot="1">
      <c r="A113" s="78" t="s">
        <v>55</v>
      </c>
      <c r="B113" s="68" t="s">
        <v>127</v>
      </c>
      <c r="C113" s="403">
        <f>+'1.1.mell._ÖNK_Mérleg2020'!C113+'1.2.mell._HKÖH_Mérleg2020'!C113+'1.3.mell._HVÓBKI_Mérleg2020'!C113+'1.4.mell._HKK_Mérleg2020'!C113+'1.5._mell._MŐSZ_Mérleg2020'!C113+'1.6._mell._HVGYKCSSZ_Mérleg2020'!C113</f>
        <v>44991.999999999993</v>
      </c>
      <c r="D113" s="1175">
        <f>+'1.1.mell._ÖNK_Mérleg2020'!D113+'1.2.mell._HKÖH_Mérleg2020'!D113+'1.3.mell._HVÓBKI_Mérleg2020'!D113+'1.4.mell._HKK_Mérleg2020'!D113+'1.5._mell._MŐSZ_Mérleg2020'!D113+'1.6._mell._HVGYKCSSZ_Mérleg2020'!D113</f>
        <v>44991.999999999993</v>
      </c>
      <c r="E113" s="1175">
        <f>+'1.1.mell._ÖNK_Mérleg2020'!E113+'1.2.mell._HKÖH_Mérleg2020'!E113+'1.3.mell._HVÓBKI_Mérleg2020'!E113+'1.4.mell._HKK_Mérleg2020'!E113+'1.5._mell._MŐSZ_Mérleg2020'!E113+'1.6._mell._HVGYKCSSZ_Mérleg2020'!E113</f>
        <v>0</v>
      </c>
      <c r="F113" s="23">
        <f>+'1.1.mell._ÖNK_Mérleg2020'!F113+'1.2.mell._HKÖH_Mérleg2020'!F113+'1.3.mell._HVÓBKI_Mérleg2020'!F113+'1.4.mell._HKK_Mérleg2020'!F113+'1.5._mell._MŐSZ_Mérleg2020'!F113+'1.6._mell._HVGYKCSSZ_Mérleg2020'!F113</f>
        <v>44991.999999999993</v>
      </c>
      <c r="G113" s="21">
        <f>+'1.1.mell._ÖNK_Mérleg2020'!G113+'1.2.mell._HKÖH_Mérleg2020'!G113+'1.3.mell._HVÓBKI_Mérleg2020'!G113+'1.4.mell._HKK_Mérleg2020'!G113+'1.5._mell._MŐSZ_Mérleg2020'!G113+'1.6._mell._HVGYKCSSZ_Mérleg2020'!G113</f>
        <v>44991.999999999993</v>
      </c>
      <c r="H113" s="22">
        <f>+'1.1.mell._ÖNK_Mérleg2020'!H113+'1.2.mell._HKÖH_Mérleg2020'!H113+'1.3.mell._HVÓBKI_Mérleg2020'!H113+'1.4.mell._HKK_Mérleg2020'!H113+'1.5._mell._MŐSZ_Mérleg2020'!H113+'1.6._mell._HVGYKCSSZ_Mérleg2020'!H113</f>
        <v>0</v>
      </c>
      <c r="I113" s="23">
        <f>+'1.1.mell._ÖNK_Mérleg2020'!I113+'1.2.mell._HKÖH_Mérleg2020'!I113+'1.3.mell._HVÓBKI_Mérleg2020'!I113+'1.4.mell._HKK_Mérleg2020'!I113+'1.5._mell._MŐSZ_Mérleg2020'!I113+'1.6._mell._HVGYKCSSZ_Mérleg2020'!I113</f>
        <v>0</v>
      </c>
      <c r="K113" s="4">
        <f t="shared" si="68"/>
        <v>0</v>
      </c>
      <c r="L113" s="36"/>
    </row>
    <row r="114" spans="1:12" s="3" customFormat="1" ht="12.75" thickBot="1">
      <c r="A114" s="83" t="s">
        <v>6</v>
      </c>
      <c r="B114" s="64" t="s">
        <v>255</v>
      </c>
      <c r="C114" s="129">
        <f>+'1.1.mell._ÖNK_Mérleg2020'!C114+'1.2.mell._HKÖH_Mérleg2020'!C114+'1.3.mell._HVÓBKI_Mérleg2020'!C114+'1.4.mell._HKK_Mérleg2020'!C114+'1.5._mell._MŐSZ_Mérleg2020'!C114+'1.6._mell._HVGYKCSSZ_Mérleg2020'!C114</f>
        <v>130817</v>
      </c>
      <c r="D114" s="1171">
        <f>+'1.1.mell._ÖNK_Mérleg2020'!D114+'1.2.mell._HKÖH_Mérleg2020'!D114+'1.3.mell._HVÓBKI_Mérleg2020'!D114+'1.4.mell._HKK_Mérleg2020'!D114+'1.5._mell._MŐSZ_Mérleg2020'!D114+'1.6._mell._HVGYKCSSZ_Mérleg2020'!D114</f>
        <v>142723</v>
      </c>
      <c r="E114" s="1171">
        <f>+'1.1.mell._ÖNK_Mérleg2020'!E114+'1.2.mell._HKÖH_Mérleg2020'!E114+'1.3.mell._HVÓBKI_Mérleg2020'!E114+'1.4.mell._HKK_Mérleg2020'!E114+'1.5._mell._MŐSZ_Mérleg2020'!E114+'1.6._mell._HVGYKCSSZ_Mérleg2020'!E114</f>
        <v>818</v>
      </c>
      <c r="F114" s="29">
        <f>+'1.1.mell._ÖNK_Mérleg2020'!F114+'1.2.mell._HKÖH_Mérleg2020'!F114+'1.3.mell._HVÓBKI_Mérleg2020'!F114+'1.4.mell._HKK_Mérleg2020'!F114+'1.5._mell._MŐSZ_Mérleg2020'!F114+'1.6._mell._HVGYKCSSZ_Mérleg2020'!F114</f>
        <v>143541</v>
      </c>
      <c r="G114" s="27">
        <f>+'1.1.mell._ÖNK_Mérleg2020'!G114+'1.2.mell._HKÖH_Mérleg2020'!G114+'1.3.mell._HVÓBKI_Mérleg2020'!G114+'1.4.mell._HKK_Mérleg2020'!G114+'1.5._mell._MŐSZ_Mérleg2020'!G114+'1.6._mell._HVGYKCSSZ_Mérleg2020'!G114</f>
        <v>139663</v>
      </c>
      <c r="H114" s="28">
        <f>+'1.1.mell._ÖNK_Mérleg2020'!H114+'1.2.mell._HKÖH_Mérleg2020'!H114+'1.3.mell._HVÓBKI_Mérleg2020'!H114+'1.4.mell._HKK_Mérleg2020'!H114+'1.5._mell._MŐSZ_Mérleg2020'!H114+'1.6._mell._HVGYKCSSZ_Mérleg2020'!H114</f>
        <v>3878</v>
      </c>
      <c r="I114" s="29">
        <f>+'1.1.mell._ÖNK_Mérleg2020'!I114+'1.2.mell._HKÖH_Mérleg2020'!I114+'1.3.mell._HVÓBKI_Mérleg2020'!I114+'1.4.mell._HKK_Mérleg2020'!I114+'1.5._mell._MŐSZ_Mérleg2020'!I114+'1.6._mell._HVGYKCSSZ_Mérleg2020'!I114</f>
        <v>0</v>
      </c>
      <c r="J114" s="689">
        <f>+F114/$F$208</f>
        <v>2.7596926945748595E-2</v>
      </c>
      <c r="K114" s="3">
        <f t="shared" si="68"/>
        <v>0</v>
      </c>
    </row>
    <row r="115" spans="1:12" s="36" customFormat="1" ht="12.75" thickBot="1">
      <c r="A115" s="788" t="s">
        <v>345</v>
      </c>
      <c r="B115" s="789" t="s">
        <v>346</v>
      </c>
      <c r="C115" s="1183">
        <f>+'1.1.mell._ÖNK_Mérleg2020'!C115+'1.2.mell._HKÖH_Mérleg2020'!C115+'1.3.mell._HVÓBKI_Mérleg2020'!C115+'1.4.mell._HKK_Mérleg2020'!C115+'1.5._mell._MŐSZ_Mérleg2020'!C115+'1.6._mell._HVGYKCSSZ_Mérleg2020'!C115</f>
        <v>0</v>
      </c>
      <c r="D115" s="1184">
        <f>+'1.1.mell._ÖNK_Mérleg2020'!D115+'1.2.mell._HKÖH_Mérleg2020'!D115+'1.3.mell._HVÓBKI_Mérleg2020'!D115+'1.4.mell._HKK_Mérleg2020'!D115+'1.5._mell._MŐSZ_Mérleg2020'!D115+'1.6._mell._HVGYKCSSZ_Mérleg2020'!D115</f>
        <v>0</v>
      </c>
      <c r="E115" s="1184">
        <f>+'1.1.mell._ÖNK_Mérleg2020'!E115+'1.2.mell._HKÖH_Mérleg2020'!E115+'1.3.mell._HVÓBKI_Mérleg2020'!E115+'1.4.mell._HKK_Mérleg2020'!E115+'1.5._mell._MŐSZ_Mérleg2020'!E115+'1.6._mell._HVGYKCSSZ_Mérleg2020'!E115</f>
        <v>0</v>
      </c>
      <c r="F115" s="98">
        <f>+'1.1.mell._ÖNK_Mérleg2020'!F115+'1.2.mell._HKÖH_Mérleg2020'!F115+'1.3.mell._HVÓBKI_Mérleg2020'!F115+'1.4.mell._HKK_Mérleg2020'!F115+'1.5._mell._MŐSZ_Mérleg2020'!F115+'1.6._mell._HVGYKCSSZ_Mérleg2020'!F115</f>
        <v>0</v>
      </c>
      <c r="G115" s="96">
        <f>+'1.1.mell._ÖNK_Mérleg2020'!G115+'1.2.mell._HKÖH_Mérleg2020'!G115+'1.3.mell._HVÓBKI_Mérleg2020'!G115+'1.4.mell._HKK_Mérleg2020'!G115+'1.5._mell._MŐSZ_Mérleg2020'!G115+'1.6._mell._HVGYKCSSZ_Mérleg2020'!G115</f>
        <v>0</v>
      </c>
      <c r="H115" s="97">
        <f>+'1.1.mell._ÖNK_Mérleg2020'!H115+'1.2.mell._HKÖH_Mérleg2020'!H115+'1.3.mell._HVÓBKI_Mérleg2020'!H115+'1.4.mell._HKK_Mérleg2020'!H115+'1.5._mell._MŐSZ_Mérleg2020'!H115+'1.6._mell._HVGYKCSSZ_Mérleg2020'!H115</f>
        <v>0</v>
      </c>
      <c r="I115" s="98">
        <f>+'1.1.mell._ÖNK_Mérleg2020'!I115+'1.2.mell._HKÖH_Mérleg2020'!I115+'1.3.mell._HVÓBKI_Mérleg2020'!I115+'1.4.mell._HKK_Mérleg2020'!I115+'1.5._mell._MŐSZ_Mérleg2020'!I115+'1.6._mell._HVGYKCSSZ_Mérleg2020'!I115</f>
        <v>0</v>
      </c>
      <c r="K115" s="36">
        <f t="shared" si="68"/>
        <v>0</v>
      </c>
    </row>
    <row r="116" spans="1:12" s="3" customFormat="1" ht="12.75" thickBot="1">
      <c r="A116" s="83" t="s">
        <v>3</v>
      </c>
      <c r="B116" s="64" t="s">
        <v>342</v>
      </c>
      <c r="C116" s="129">
        <f t="shared" ref="C116:F116" si="98">+C118+C119+C120+C121+C122</f>
        <v>401997</v>
      </c>
      <c r="D116" s="1171">
        <f t="shared" si="98"/>
        <v>394387</v>
      </c>
      <c r="E116" s="1171">
        <f t="shared" si="98"/>
        <v>13320</v>
      </c>
      <c r="F116" s="29">
        <f t="shared" si="98"/>
        <v>407707</v>
      </c>
      <c r="G116" s="27">
        <f t="shared" ref="G116:I116" si="99">+G118+G119+G120+G121+G122</f>
        <v>381542</v>
      </c>
      <c r="H116" s="28">
        <f t="shared" si="99"/>
        <v>26165</v>
      </c>
      <c r="I116" s="29">
        <f t="shared" si="99"/>
        <v>0</v>
      </c>
      <c r="J116" s="689">
        <f>+F116/$F$208</f>
        <v>7.8384993097932454E-2</v>
      </c>
      <c r="K116" s="3">
        <f t="shared" si="68"/>
        <v>0</v>
      </c>
      <c r="L116" s="4"/>
    </row>
    <row r="117" spans="1:12" s="36" customFormat="1">
      <c r="A117" s="788" t="s">
        <v>340</v>
      </c>
      <c r="B117" s="789" t="s">
        <v>347</v>
      </c>
      <c r="C117" s="1183">
        <f>+'1.1.mell._ÖNK_Mérleg2020'!C117+'1.2.mell._HKÖH_Mérleg2020'!C117+'1.3.mell._HVÓBKI_Mérleg2020'!C117+'1.4.mell._HKK_Mérleg2020'!C117+'1.5._mell._MŐSZ_Mérleg2020'!C117+'1.6._mell._HVGYKCSSZ_Mérleg2020'!C117</f>
        <v>0</v>
      </c>
      <c r="D117" s="1184">
        <f>+'1.1.mell._ÖNK_Mérleg2020'!D117+'1.2.mell._HKÖH_Mérleg2020'!D117+'1.3.mell._HVÓBKI_Mérleg2020'!D117+'1.4.mell._HKK_Mérleg2020'!D117+'1.5._mell._MŐSZ_Mérleg2020'!D117+'1.6._mell._HVGYKCSSZ_Mérleg2020'!D117</f>
        <v>0</v>
      </c>
      <c r="E117" s="1184">
        <f>+'1.1.mell._ÖNK_Mérleg2020'!E117+'1.2.mell._HKÖH_Mérleg2020'!E117+'1.3.mell._HVÓBKI_Mérleg2020'!E117+'1.4.mell._HKK_Mérleg2020'!E117+'1.5._mell._MŐSZ_Mérleg2020'!E117+'1.6._mell._HVGYKCSSZ_Mérleg2020'!E117</f>
        <v>0</v>
      </c>
      <c r="F117" s="98">
        <f>+'1.1.mell._ÖNK_Mérleg2020'!F117+'1.2.mell._HKÖH_Mérleg2020'!F117+'1.3.mell._HVÓBKI_Mérleg2020'!F117+'1.4.mell._HKK_Mérleg2020'!F117+'1.5._mell._MŐSZ_Mérleg2020'!F117+'1.6._mell._HVGYKCSSZ_Mérleg2020'!F117</f>
        <v>0</v>
      </c>
      <c r="G117" s="96">
        <f>+'1.1.mell._ÖNK_Mérleg2020'!G117+'1.2.mell._HKÖH_Mérleg2020'!G117+'1.3.mell._HVÓBKI_Mérleg2020'!G117+'1.4.mell._HKK_Mérleg2020'!G117+'1.5._mell._MŐSZ_Mérleg2020'!G117+'1.6._mell._HVGYKCSSZ_Mérleg2020'!G117</f>
        <v>0</v>
      </c>
      <c r="H117" s="97">
        <f>+'1.1.mell._ÖNK_Mérleg2020'!H117+'1.2.mell._HKÖH_Mérleg2020'!H117+'1.3.mell._HVÓBKI_Mérleg2020'!H117+'1.4.mell._HKK_Mérleg2020'!H117+'1.5._mell._MŐSZ_Mérleg2020'!H117+'1.6._mell._HVGYKCSSZ_Mérleg2020'!H117</f>
        <v>0</v>
      </c>
      <c r="I117" s="98">
        <f>+'1.1.mell._ÖNK_Mérleg2020'!I117+'1.2.mell._HKÖH_Mérleg2020'!I117+'1.3.mell._HVÓBKI_Mérleg2020'!I117+'1.4.mell._HKK_Mérleg2020'!I117+'1.5._mell._MŐSZ_Mérleg2020'!I117+'1.6._mell._HVGYKCSSZ_Mérleg2020'!I117</f>
        <v>0</v>
      </c>
      <c r="K117" s="36">
        <f t="shared" si="68"/>
        <v>0</v>
      </c>
      <c r="L117" s="4"/>
    </row>
    <row r="118" spans="1:12">
      <c r="A118" s="84" t="s">
        <v>61</v>
      </c>
      <c r="B118" s="65" t="s">
        <v>128</v>
      </c>
      <c r="C118" s="404">
        <f>+'1.1.mell._ÖNK_Mérleg2020'!C118+'1.2.mell._HKÖH_Mérleg2020'!C118+'1.3.mell._HVÓBKI_Mérleg2020'!C118+'1.4.mell._HKK_Mérleg2020'!C118+'1.5._mell._MŐSZ_Mérleg2020'!C118+'1.6._mell._HVGYKCSSZ_Mérleg2020'!C118</f>
        <v>37355</v>
      </c>
      <c r="D118" s="1172">
        <f>+'1.1.mell._ÖNK_Mérleg2020'!D118+'1.2.mell._HKÖH_Mérleg2020'!D118+'1.3.mell._HVÓBKI_Mérleg2020'!D118+'1.4.mell._HKK_Mérleg2020'!D118+'1.5._mell._MŐSZ_Mérleg2020'!D118+'1.6._mell._HVGYKCSSZ_Mérleg2020'!D118</f>
        <v>37355</v>
      </c>
      <c r="E118" s="1172">
        <f>+'1.1.mell._ÖNK_Mérleg2020'!E118+'1.2.mell._HKÖH_Mérleg2020'!E118+'1.3.mell._HVÓBKI_Mérleg2020'!E118+'1.4.mell._HKK_Mérleg2020'!E118+'1.5._mell._MŐSZ_Mérleg2020'!E118+'1.6._mell._HVGYKCSSZ_Mérleg2020'!E118</f>
        <v>0</v>
      </c>
      <c r="F118" s="35">
        <f>+'1.1.mell._ÖNK_Mérleg2020'!F118+'1.2.mell._HKÖH_Mérleg2020'!F118+'1.3.mell._HVÓBKI_Mérleg2020'!F118+'1.4.mell._HKK_Mérleg2020'!F118+'1.5._mell._MŐSZ_Mérleg2020'!F118+'1.6._mell._HVGYKCSSZ_Mérleg2020'!F118</f>
        <v>37355</v>
      </c>
      <c r="G118" s="34">
        <f>+'1.1.mell._ÖNK_Mérleg2020'!G118+'1.2.mell._HKÖH_Mérleg2020'!G118+'1.3.mell._HVÓBKI_Mérleg2020'!G118+'1.4.mell._HKK_Mérleg2020'!G118+'1.5._mell._MŐSZ_Mérleg2020'!G118+'1.6._mell._HVGYKCSSZ_Mérleg2020'!G118</f>
        <v>24567</v>
      </c>
      <c r="H118" s="10">
        <f>+'1.1.mell._ÖNK_Mérleg2020'!H118+'1.2.mell._HKÖH_Mérleg2020'!H118+'1.3.mell._HVÓBKI_Mérleg2020'!H118+'1.4.mell._HKK_Mérleg2020'!H118+'1.5._mell._MŐSZ_Mérleg2020'!H118+'1.6._mell._HVGYKCSSZ_Mérleg2020'!H118</f>
        <v>12788</v>
      </c>
      <c r="I118" s="35">
        <f>+'1.1.mell._ÖNK_Mérleg2020'!I118+'1.2.mell._HKÖH_Mérleg2020'!I118+'1.3.mell._HVÓBKI_Mérleg2020'!I118+'1.4.mell._HKK_Mérleg2020'!I118+'1.5._mell._MŐSZ_Mérleg2020'!I118+'1.6._mell._HVGYKCSSZ_Mérleg2020'!I118</f>
        <v>0</v>
      </c>
      <c r="K118" s="4">
        <f t="shared" si="68"/>
        <v>0</v>
      </c>
    </row>
    <row r="119" spans="1:12">
      <c r="A119" s="85" t="s">
        <v>62</v>
      </c>
      <c r="B119" s="67" t="s">
        <v>129</v>
      </c>
      <c r="C119" s="402">
        <f>+'1.1.mell._ÖNK_Mérleg2020'!C119+'1.2.mell._HKÖH_Mérleg2020'!C119+'1.3.mell._HVÓBKI_Mérleg2020'!C119+'1.4.mell._HKK_Mérleg2020'!C119+'1.5._mell._MŐSZ_Mérleg2020'!C119+'1.6._mell._HVGYKCSSZ_Mérleg2020'!C119</f>
        <v>27387</v>
      </c>
      <c r="D119" s="1174">
        <f>+'1.1.mell._ÖNK_Mérleg2020'!D119+'1.2.mell._HKÖH_Mérleg2020'!D119+'1.3.mell._HVÓBKI_Mérleg2020'!D119+'1.4.mell._HKK_Mérleg2020'!D119+'1.5._mell._MŐSZ_Mérleg2020'!D119+'1.6._mell._HVGYKCSSZ_Mérleg2020'!D119</f>
        <v>27387</v>
      </c>
      <c r="E119" s="1174">
        <f>+'1.1.mell._ÖNK_Mérleg2020'!E119+'1.2.mell._HKÖH_Mérleg2020'!E119+'1.3.mell._HVÓBKI_Mérleg2020'!E119+'1.4.mell._HKK_Mérleg2020'!E119+'1.5._mell._MŐSZ_Mérleg2020'!E119+'1.6._mell._HVGYKCSSZ_Mérleg2020'!E119</f>
        <v>0</v>
      </c>
      <c r="F119" s="16">
        <f>+'1.1.mell._ÖNK_Mérleg2020'!F119+'1.2.mell._HKÖH_Mérleg2020'!F119+'1.3.mell._HVÓBKI_Mérleg2020'!F119+'1.4.mell._HKK_Mérleg2020'!F119+'1.5._mell._MŐSZ_Mérleg2020'!F119+'1.6._mell._HVGYKCSSZ_Mérleg2020'!F119</f>
        <v>27387</v>
      </c>
      <c r="G119" s="20">
        <f>+'1.1.mell._ÖNK_Mérleg2020'!G119+'1.2.mell._HKÖH_Mérleg2020'!G119+'1.3.mell._HVÓBKI_Mérleg2020'!G119+'1.4.mell._HKK_Mérleg2020'!G119+'1.5._mell._MŐSZ_Mérleg2020'!G119+'1.6._mell._HVGYKCSSZ_Mérleg2020'!G119</f>
        <v>27233</v>
      </c>
      <c r="H119" s="11">
        <f>+'1.1.mell._ÖNK_Mérleg2020'!H119+'1.2.mell._HKÖH_Mérleg2020'!H119+'1.3.mell._HVÓBKI_Mérleg2020'!H119+'1.4.mell._HKK_Mérleg2020'!H119+'1.5._mell._MŐSZ_Mérleg2020'!H119+'1.6._mell._HVGYKCSSZ_Mérleg2020'!H119</f>
        <v>154</v>
      </c>
      <c r="I119" s="16">
        <f>+'1.1.mell._ÖNK_Mérleg2020'!I119+'1.2.mell._HKÖH_Mérleg2020'!I119+'1.3.mell._HVÓBKI_Mérleg2020'!I119+'1.4.mell._HKK_Mérleg2020'!I119+'1.5._mell._MŐSZ_Mérleg2020'!I119+'1.6._mell._HVGYKCSSZ_Mérleg2020'!I119</f>
        <v>0</v>
      </c>
      <c r="K119" s="4">
        <f t="shared" si="68"/>
        <v>0</v>
      </c>
    </row>
    <row r="120" spans="1:12">
      <c r="A120" s="85" t="s">
        <v>63</v>
      </c>
      <c r="B120" s="67" t="s">
        <v>130</v>
      </c>
      <c r="C120" s="402">
        <f>+'1.1.mell._ÖNK_Mérleg2020'!C120+'1.2.mell._HKÖH_Mérleg2020'!C120+'1.3.mell._HVÓBKI_Mérleg2020'!C120+'1.4.mell._HKK_Mérleg2020'!C120+'1.5._mell._MŐSZ_Mérleg2020'!C120+'1.6._mell._HVGYKCSSZ_Mérleg2020'!C120</f>
        <v>225919</v>
      </c>
      <c r="D120" s="1174">
        <f>+'1.1.mell._ÖNK_Mérleg2020'!D120+'1.2.mell._HKÖH_Mérleg2020'!D120+'1.3.mell._HVÓBKI_Mérleg2020'!D120+'1.4.mell._HKK_Mérleg2020'!D120+'1.5._mell._MŐSZ_Mérleg2020'!D120+'1.6._mell._HVGYKCSSZ_Mérleg2020'!D120</f>
        <v>220352</v>
      </c>
      <c r="E120" s="1174">
        <f>+'1.1.mell._ÖNK_Mérleg2020'!E120+'1.2.mell._HKÖH_Mérleg2020'!E120+'1.3.mell._HVÓBKI_Mérleg2020'!E120+'1.4.mell._HKK_Mérleg2020'!E120+'1.5._mell._MŐSZ_Mérleg2020'!E120+'1.6._mell._HVGYKCSSZ_Mérleg2020'!E120</f>
        <v>10488</v>
      </c>
      <c r="F120" s="16">
        <f>+'1.1.mell._ÖNK_Mérleg2020'!F120+'1.2.mell._HKÖH_Mérleg2020'!F120+'1.3.mell._HVÓBKI_Mérleg2020'!F120+'1.4.mell._HKK_Mérleg2020'!F120+'1.5._mell._MŐSZ_Mérleg2020'!F120+'1.6._mell._HVGYKCSSZ_Mérleg2020'!F120</f>
        <v>230840</v>
      </c>
      <c r="G120" s="20">
        <f>+'1.1.mell._ÖNK_Mérleg2020'!G120+'1.2.mell._HKÖH_Mérleg2020'!G120+'1.3.mell._HVÓBKI_Mérleg2020'!G120+'1.4.mell._HKK_Mérleg2020'!G120+'1.5._mell._MŐSZ_Mérleg2020'!G120+'1.6._mell._HVGYKCSSZ_Mérleg2020'!G120</f>
        <v>225163</v>
      </c>
      <c r="H120" s="11">
        <f>+'1.1.mell._ÖNK_Mérleg2020'!H120+'1.2.mell._HKÖH_Mérleg2020'!H120+'1.3.mell._HVÓBKI_Mérleg2020'!H120+'1.4.mell._HKK_Mérleg2020'!H120+'1.5._mell._MŐSZ_Mérleg2020'!H120+'1.6._mell._HVGYKCSSZ_Mérleg2020'!H120</f>
        <v>5677</v>
      </c>
      <c r="I120" s="16">
        <f>+'1.1.mell._ÖNK_Mérleg2020'!I120+'1.2.mell._HKÖH_Mérleg2020'!I120+'1.3.mell._HVÓBKI_Mérleg2020'!I120+'1.4.mell._HKK_Mérleg2020'!I120+'1.5._mell._MŐSZ_Mérleg2020'!I120+'1.6._mell._HVGYKCSSZ_Mérleg2020'!I120</f>
        <v>0</v>
      </c>
      <c r="K120" s="4">
        <f t="shared" si="68"/>
        <v>0</v>
      </c>
    </row>
    <row r="121" spans="1:12">
      <c r="A121" s="85" t="s">
        <v>64</v>
      </c>
      <c r="B121" s="67" t="s">
        <v>131</v>
      </c>
      <c r="C121" s="402">
        <f>+'1.1.mell._ÖNK_Mérleg2020'!C121+'1.2.mell._HKÖH_Mérleg2020'!C121+'1.3.mell._HVÓBKI_Mérleg2020'!C121+'1.4.mell._HKK_Mérleg2020'!C121+'1.5._mell._MŐSZ_Mérleg2020'!C121+'1.6._mell._HVGYKCSSZ_Mérleg2020'!C121</f>
        <v>2380</v>
      </c>
      <c r="D121" s="1174">
        <f>+'1.1.mell._ÖNK_Mérleg2020'!D121+'1.2.mell._HKÖH_Mérleg2020'!D121+'1.3.mell._HVÓBKI_Mérleg2020'!D121+'1.4.mell._HKK_Mérleg2020'!D121+'1.5._mell._MŐSZ_Mérleg2020'!D121+'1.6._mell._HVGYKCSSZ_Mérleg2020'!D121</f>
        <v>2380</v>
      </c>
      <c r="E121" s="1174">
        <f>+'1.1.mell._ÖNK_Mérleg2020'!E121+'1.2.mell._HKÖH_Mérleg2020'!E121+'1.3.mell._HVÓBKI_Mérleg2020'!E121+'1.4.mell._HKK_Mérleg2020'!E121+'1.5._mell._MŐSZ_Mérleg2020'!E121+'1.6._mell._HVGYKCSSZ_Mérleg2020'!E121</f>
        <v>0</v>
      </c>
      <c r="F121" s="16">
        <f>+'1.1.mell._ÖNK_Mérleg2020'!F121+'1.2.mell._HKÖH_Mérleg2020'!F121+'1.3.mell._HVÓBKI_Mérleg2020'!F121+'1.4.mell._HKK_Mérleg2020'!F121+'1.5._mell._MŐSZ_Mérleg2020'!F121+'1.6._mell._HVGYKCSSZ_Mérleg2020'!F121</f>
        <v>2380</v>
      </c>
      <c r="G121" s="20">
        <f>+'1.1.mell._ÖNK_Mérleg2020'!G121+'1.2.mell._HKÖH_Mérleg2020'!G121+'1.3.mell._HVÓBKI_Mérleg2020'!G121+'1.4.mell._HKK_Mérleg2020'!G121+'1.5._mell._MŐSZ_Mérleg2020'!G121+'1.6._mell._HVGYKCSSZ_Mérleg2020'!G121</f>
        <v>2380</v>
      </c>
      <c r="H121" s="11">
        <f>+'1.1.mell._ÖNK_Mérleg2020'!H121+'1.2.mell._HKÖH_Mérleg2020'!H121+'1.3.mell._HVÓBKI_Mérleg2020'!H121+'1.4.mell._HKK_Mérleg2020'!H121+'1.5._mell._MŐSZ_Mérleg2020'!H121+'1.6._mell._HVGYKCSSZ_Mérleg2020'!H121</f>
        <v>0</v>
      </c>
      <c r="I121" s="16">
        <f>+'1.1.mell._ÖNK_Mérleg2020'!I121+'1.2.mell._HKÖH_Mérleg2020'!I121+'1.3.mell._HVÓBKI_Mérleg2020'!I121+'1.4.mell._HKK_Mérleg2020'!I121+'1.5._mell._MŐSZ_Mérleg2020'!I121+'1.6._mell._HVGYKCSSZ_Mérleg2020'!I121</f>
        <v>0</v>
      </c>
      <c r="K121" s="4">
        <f t="shared" si="68"/>
        <v>0</v>
      </c>
      <c r="L121" s="3"/>
    </row>
    <row r="122" spans="1:12" ht="12.75" thickBot="1">
      <c r="A122" s="78" t="s">
        <v>65</v>
      </c>
      <c r="B122" s="68" t="s">
        <v>132</v>
      </c>
      <c r="C122" s="403">
        <f>+'1.1.mell._ÖNK_Mérleg2020'!C122+'1.2.mell._HKÖH_Mérleg2020'!C122+'1.3.mell._HVÓBKI_Mérleg2020'!C122+'1.4.mell._HKK_Mérleg2020'!C122+'1.5._mell._MŐSZ_Mérleg2020'!C122+'1.6._mell._HVGYKCSSZ_Mérleg2020'!C122</f>
        <v>108956</v>
      </c>
      <c r="D122" s="1175">
        <f>+'1.1.mell._ÖNK_Mérleg2020'!D122+'1.2.mell._HKÖH_Mérleg2020'!D122+'1.3.mell._HVÓBKI_Mérleg2020'!D122+'1.4.mell._HKK_Mérleg2020'!D122+'1.5._mell._MŐSZ_Mérleg2020'!D122+'1.6._mell._HVGYKCSSZ_Mérleg2020'!D122</f>
        <v>106913</v>
      </c>
      <c r="E122" s="1175">
        <f>+'1.1.mell._ÖNK_Mérleg2020'!E122+'1.2.mell._HKÖH_Mérleg2020'!E122+'1.3.mell._HVÓBKI_Mérleg2020'!E122+'1.4.mell._HKK_Mérleg2020'!E122+'1.5._mell._MŐSZ_Mérleg2020'!E122+'1.6._mell._HVGYKCSSZ_Mérleg2020'!E122</f>
        <v>2832</v>
      </c>
      <c r="F122" s="23">
        <f>+'1.1.mell._ÖNK_Mérleg2020'!F122+'1.2.mell._HKÖH_Mérleg2020'!F122+'1.3.mell._HVÓBKI_Mérleg2020'!F122+'1.4.mell._HKK_Mérleg2020'!F122+'1.5._mell._MŐSZ_Mérleg2020'!F122+'1.6._mell._HVGYKCSSZ_Mérleg2020'!F122</f>
        <v>109745</v>
      </c>
      <c r="G122" s="21">
        <f>+'1.1.mell._ÖNK_Mérleg2020'!G122+'1.2.mell._HKÖH_Mérleg2020'!G122+'1.3.mell._HVÓBKI_Mérleg2020'!G122+'1.4.mell._HKK_Mérleg2020'!G122+'1.5._mell._MŐSZ_Mérleg2020'!G122+'1.6._mell._HVGYKCSSZ_Mérleg2020'!G122</f>
        <v>102199</v>
      </c>
      <c r="H122" s="22">
        <f>+'1.1.mell._ÖNK_Mérleg2020'!H122+'1.2.mell._HKÖH_Mérleg2020'!H122+'1.3.mell._HVÓBKI_Mérleg2020'!H122+'1.4.mell._HKK_Mérleg2020'!H122+'1.5._mell._MŐSZ_Mérleg2020'!H122+'1.6._mell._HVGYKCSSZ_Mérleg2020'!H122</f>
        <v>7546</v>
      </c>
      <c r="I122" s="23">
        <f>+'1.1.mell._ÖNK_Mérleg2020'!I122+'1.2.mell._HKÖH_Mérleg2020'!I122+'1.3.mell._HVÓBKI_Mérleg2020'!I122+'1.4.mell._HKK_Mérleg2020'!I122+'1.5._mell._MŐSZ_Mérleg2020'!I122+'1.6._mell._HVGYKCSSZ_Mérleg2020'!I122</f>
        <v>0</v>
      </c>
      <c r="K122" s="4">
        <f t="shared" si="68"/>
        <v>0</v>
      </c>
    </row>
    <row r="123" spans="1:12" s="3" customFormat="1" ht="12.75" thickBot="1">
      <c r="A123" s="83" t="s">
        <v>16</v>
      </c>
      <c r="B123" s="64" t="s">
        <v>309</v>
      </c>
      <c r="C123" s="129">
        <f t="shared" ref="C123" si="100">+C124+C125+C126+C127+C128+C129+C130+C131</f>
        <v>52779</v>
      </c>
      <c r="D123" s="1171">
        <f t="shared" ref="D123" si="101">+D124+D125+D126+D127+D128+D129+D130+D131</f>
        <v>52779</v>
      </c>
      <c r="E123" s="1171">
        <f t="shared" ref="E123" si="102">+E124+E125+E126+E127+E128+E129+E130+E131</f>
        <v>0</v>
      </c>
      <c r="F123" s="29">
        <f t="shared" ref="F123" si="103">+F124+F125+F126+F127+F128+F129+F130+F131</f>
        <v>52779</v>
      </c>
      <c r="G123" s="27">
        <f t="shared" ref="G123:I123" si="104">+G124+G125+G126+G127+G128+G129+G130+G131</f>
        <v>49355</v>
      </c>
      <c r="H123" s="28">
        <f t="shared" si="104"/>
        <v>3424</v>
      </c>
      <c r="I123" s="29">
        <f t="shared" si="104"/>
        <v>0</v>
      </c>
      <c r="J123" s="689">
        <f>+F123/$F$208</f>
        <v>1.0147192838768471E-2</v>
      </c>
      <c r="K123" s="3">
        <f t="shared" si="68"/>
        <v>0</v>
      </c>
      <c r="L123" s="4"/>
    </row>
    <row r="124" spans="1:12">
      <c r="A124" s="84" t="s">
        <v>226</v>
      </c>
      <c r="B124" s="65" t="s">
        <v>133</v>
      </c>
      <c r="C124" s="404">
        <f>+'1.1.mell._ÖNK_Mérleg2020'!C124+'1.2.mell._HKÖH_Mérleg2020'!C124+'1.3.mell._HVÓBKI_Mérleg2020'!C124+'1.4.mell._HKK_Mérleg2020'!C124+'1.5._mell._MŐSZ_Mérleg2020'!C124+'1.6._mell._HVGYKCSSZ_Mérleg2020'!C124</f>
        <v>0</v>
      </c>
      <c r="D124" s="1172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172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35">
        <f>+'1.1.mell._ÖNK_Mérleg2020'!F124+'1.2.mell._HKÖH_Mérleg2020'!F124+'1.3.mell._HVÓBKI_Mérleg2020'!F124+'1.4.mell._HKK_Mérleg2020'!F124+'1.5._mell._MŐSZ_Mérleg2020'!F124+'1.6._mell._HVGYKCSSZ_Mérleg2020'!F124</f>
        <v>0</v>
      </c>
      <c r="G124" s="34">
        <f>+'1.1.mell._ÖNK_Mérleg2020'!G124+'1.2.mell._HKÖH_Mérleg2020'!G124+'1.3.mell._HVÓBKI_Mérleg2020'!G124+'1.4.mell._HKK_Mérleg2020'!G124+'1.5._mell._MŐSZ_Mérleg2020'!G124+'1.6._mell._HVGYKCSSZ_Mérleg2020'!G124</f>
        <v>0</v>
      </c>
      <c r="H124" s="10">
        <f>+'1.1.mell._ÖNK_Mérleg2020'!H124+'1.2.mell._HKÖH_Mérleg2020'!H124+'1.3.mell._HVÓBKI_Mérleg2020'!H124+'1.4.mell._HKK_Mérleg2020'!H124+'1.5._mell._MŐSZ_Mérleg2020'!H124+'1.6._mell._HVGYKCSSZ_Mérleg2020'!H124</f>
        <v>0</v>
      </c>
      <c r="I124" s="35">
        <f>+'1.1.mell._ÖNK_Mérleg2020'!I124+'1.2.mell._HKÖH_Mérleg2020'!I124+'1.3.mell._HVÓBKI_Mérleg2020'!I124+'1.4.mell._HKK_Mérleg2020'!I124+'1.5._mell._MŐSZ_Mérleg2020'!I124+'1.6._mell._HVGYKCSSZ_Mérleg2020'!I124</f>
        <v>0</v>
      </c>
      <c r="K124" s="4">
        <f t="shared" si="68"/>
        <v>0</v>
      </c>
    </row>
    <row r="125" spans="1:12">
      <c r="A125" s="85" t="s">
        <v>227</v>
      </c>
      <c r="B125" s="67" t="s">
        <v>134</v>
      </c>
      <c r="C125" s="402">
        <f>+'1.1.mell._ÖNK_Mérleg2020'!C125+'1.2.mell._HKÖH_Mérleg2020'!C125+'1.3.mell._HVÓBKI_Mérleg2020'!C125+'1.4.mell._HKK_Mérleg2020'!C125+'1.5._mell._MŐSZ_Mérleg2020'!C125+'1.6._mell._HVGYKCSSZ_Mérleg2020'!C125</f>
        <v>0</v>
      </c>
      <c r="D125" s="1174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174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6">
        <f>+'1.1.mell._ÖNK_Mérleg2020'!F125+'1.2.mell._HKÖH_Mérleg2020'!F125+'1.3.mell._HVÓBKI_Mérleg2020'!F125+'1.4.mell._HKK_Mérleg2020'!F125+'1.5._mell._MŐSZ_Mérleg2020'!F125+'1.6._mell._HVGYKCSSZ_Mérleg2020'!F125</f>
        <v>0</v>
      </c>
      <c r="G125" s="20">
        <f>+'1.1.mell._ÖNK_Mérleg2020'!G125+'1.2.mell._HKÖH_Mérleg2020'!G125+'1.3.mell._HVÓBKI_Mérleg2020'!G125+'1.4.mell._HKK_Mérleg2020'!G125+'1.5._mell._MŐSZ_Mérleg2020'!G125+'1.6._mell._HVGYKCSSZ_Mérleg2020'!G125</f>
        <v>0</v>
      </c>
      <c r="H125" s="11">
        <f>+'1.1.mell._ÖNK_Mérleg2020'!H125+'1.2.mell._HKÖH_Mérleg2020'!H125+'1.3.mell._HVÓBKI_Mérleg2020'!H125+'1.4.mell._HKK_Mérleg2020'!H125+'1.5._mell._MŐSZ_Mérleg2020'!H125+'1.6._mell._HVGYKCSSZ_Mérleg2020'!H125</f>
        <v>0</v>
      </c>
      <c r="I125" s="16">
        <f>+'1.1.mell._ÖNK_Mérleg2020'!I125+'1.2.mell._HKÖH_Mérleg2020'!I125+'1.3.mell._HVÓBKI_Mérleg2020'!I125+'1.4.mell._HKK_Mérleg2020'!I125+'1.5._mell._MŐSZ_Mérleg2020'!I125+'1.6._mell._HVGYKCSSZ_Mérleg2020'!I125</f>
        <v>0</v>
      </c>
      <c r="K125" s="4">
        <f t="shared" si="68"/>
        <v>0</v>
      </c>
    </row>
    <row r="126" spans="1:12">
      <c r="A126" s="85" t="s">
        <v>228</v>
      </c>
      <c r="B126" s="67" t="s">
        <v>135</v>
      </c>
      <c r="C126" s="402">
        <f>+'1.1.mell._ÖNK_Mérleg2020'!C126+'1.2.mell._HKÖH_Mérleg2020'!C126+'1.3.mell._HVÓBKI_Mérleg2020'!C126+'1.4.mell._HKK_Mérleg2020'!C126+'1.5._mell._MŐSZ_Mérleg2020'!C126+'1.6._mell._HVGYKCSSZ_Mérleg2020'!C126</f>
        <v>0</v>
      </c>
      <c r="D126" s="1174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174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6">
        <f>+'1.1.mell._ÖNK_Mérleg2020'!F126+'1.2.mell._HKÖH_Mérleg2020'!F126+'1.3.mell._HVÓBKI_Mérleg2020'!F126+'1.4.mell._HKK_Mérleg2020'!F126+'1.5._mell._MŐSZ_Mérleg2020'!F126+'1.6._mell._HVGYKCSSZ_Mérleg2020'!F126</f>
        <v>0</v>
      </c>
      <c r="G126" s="20">
        <f>+'1.1.mell._ÖNK_Mérleg2020'!G126+'1.2.mell._HKÖH_Mérleg2020'!G126+'1.3.mell._HVÓBKI_Mérleg2020'!G126+'1.4.mell._HKK_Mérleg2020'!G126+'1.5._mell._MŐSZ_Mérleg2020'!G126+'1.6._mell._HVGYKCSSZ_Mérleg2020'!G126</f>
        <v>0</v>
      </c>
      <c r="H126" s="11">
        <f>+'1.1.mell._ÖNK_Mérleg2020'!H126+'1.2.mell._HKÖH_Mérleg2020'!H126+'1.3.mell._HVÓBKI_Mérleg2020'!H126+'1.4.mell._HKK_Mérleg2020'!H126+'1.5._mell._MŐSZ_Mérleg2020'!H126+'1.6._mell._HVGYKCSSZ_Mérleg2020'!H126</f>
        <v>0</v>
      </c>
      <c r="I126" s="16">
        <f>+'1.1.mell._ÖNK_Mérleg2020'!I126+'1.2.mell._HKÖH_Mérleg2020'!I126+'1.3.mell._HVÓBKI_Mérleg2020'!I126+'1.4.mell._HKK_Mérleg2020'!I126+'1.5._mell._MŐSZ_Mérleg2020'!I126+'1.6._mell._HVGYKCSSZ_Mérleg2020'!I126</f>
        <v>0</v>
      </c>
      <c r="K126" s="4">
        <f t="shared" si="68"/>
        <v>0</v>
      </c>
    </row>
    <row r="127" spans="1:12">
      <c r="A127" s="85" t="s">
        <v>256</v>
      </c>
      <c r="B127" s="67" t="s">
        <v>136</v>
      </c>
      <c r="C127" s="402">
        <f>+'1.1.mell._ÖNK_Mérleg2020'!C127+'1.2.mell._HKÖH_Mérleg2020'!C127+'1.3.mell._HVÓBKI_Mérleg2020'!C127+'1.4.mell._HKK_Mérleg2020'!C127+'1.5._mell._MŐSZ_Mérleg2020'!C127+'1.6._mell._HVGYKCSSZ_Mérleg2020'!C127</f>
        <v>2400</v>
      </c>
      <c r="D127" s="1174">
        <f>+'1.1.mell._ÖNK_Mérleg2020'!D127+'1.2.mell._HKÖH_Mérleg2020'!D127+'1.3.mell._HVÓBKI_Mérleg2020'!D127+'1.4.mell._HKK_Mérleg2020'!D127+'1.5._mell._MŐSZ_Mérleg2020'!D127+'1.6._mell._HVGYKCSSZ_Mérleg2020'!D127</f>
        <v>2400</v>
      </c>
      <c r="E127" s="1174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6">
        <f>+'1.1.mell._ÖNK_Mérleg2020'!F127+'1.2.mell._HKÖH_Mérleg2020'!F127+'1.3.mell._HVÓBKI_Mérleg2020'!F127+'1.4.mell._HKK_Mérleg2020'!F127+'1.5._mell._MŐSZ_Mérleg2020'!F127+'1.6._mell._HVGYKCSSZ_Mérleg2020'!F127</f>
        <v>2400</v>
      </c>
      <c r="G127" s="20">
        <f>+'1.1.mell._ÖNK_Mérleg2020'!G127+'1.2.mell._HKÖH_Mérleg2020'!G127+'1.3.mell._HVÓBKI_Mérleg2020'!G127+'1.4.mell._HKK_Mérleg2020'!G127+'1.5._mell._MŐSZ_Mérleg2020'!G127+'1.6._mell._HVGYKCSSZ_Mérleg2020'!G127</f>
        <v>2400</v>
      </c>
      <c r="H127" s="11">
        <f>+'1.1.mell._ÖNK_Mérleg2020'!H127+'1.2.mell._HKÖH_Mérleg2020'!H127+'1.3.mell._HVÓBKI_Mérleg2020'!H127+'1.4.mell._HKK_Mérleg2020'!H127+'1.5._mell._MŐSZ_Mérleg2020'!H127+'1.6._mell._HVGYKCSSZ_Mérleg2020'!H127</f>
        <v>0</v>
      </c>
      <c r="I127" s="16">
        <f>+'1.1.mell._ÖNK_Mérleg2020'!I127+'1.2.mell._HKÖH_Mérleg2020'!I127+'1.3.mell._HVÓBKI_Mérleg2020'!I127+'1.4.mell._HKK_Mérleg2020'!I127+'1.5._mell._MŐSZ_Mérleg2020'!I127+'1.6._mell._HVGYKCSSZ_Mérleg2020'!I127</f>
        <v>0</v>
      </c>
      <c r="K127" s="4">
        <f t="shared" si="68"/>
        <v>0</v>
      </c>
    </row>
    <row r="128" spans="1:12">
      <c r="A128" s="85" t="s">
        <v>257</v>
      </c>
      <c r="B128" s="67" t="s">
        <v>137</v>
      </c>
      <c r="C128" s="402">
        <f>+'1.1.mell._ÖNK_Mérleg2020'!C128+'1.2.mell._HKÖH_Mérleg2020'!C128+'1.3.mell._HVÓBKI_Mérleg2020'!C128+'1.4.mell._HKK_Mérleg2020'!C128+'1.5._mell._MŐSZ_Mérleg2020'!C128+'1.6._mell._HVGYKCSSZ_Mérleg2020'!C128</f>
        <v>0</v>
      </c>
      <c r="D128" s="1174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174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6">
        <f>+'1.1.mell._ÖNK_Mérleg2020'!F128+'1.2.mell._HKÖH_Mérleg2020'!F128+'1.3.mell._HVÓBKI_Mérleg2020'!F128+'1.4.mell._HKK_Mérleg2020'!F128+'1.5._mell._MŐSZ_Mérleg2020'!F128+'1.6._mell._HVGYKCSSZ_Mérleg2020'!F128</f>
        <v>0</v>
      </c>
      <c r="G128" s="20">
        <f>+'1.1.mell._ÖNK_Mérleg2020'!G128+'1.2.mell._HKÖH_Mérleg2020'!G128+'1.3.mell._HVÓBKI_Mérleg2020'!G128+'1.4.mell._HKK_Mérleg2020'!G128+'1.5._mell._MŐSZ_Mérleg2020'!G128+'1.6._mell._HVGYKCSSZ_Mérleg2020'!G128</f>
        <v>0</v>
      </c>
      <c r="H128" s="11">
        <f>+'1.1.mell._ÖNK_Mérleg2020'!H128+'1.2.mell._HKÖH_Mérleg2020'!H128+'1.3.mell._HVÓBKI_Mérleg2020'!H128+'1.4.mell._HKK_Mérleg2020'!H128+'1.5._mell._MŐSZ_Mérleg2020'!H128+'1.6._mell._HVGYKCSSZ_Mérleg2020'!H128</f>
        <v>0</v>
      </c>
      <c r="I128" s="16">
        <f>+'1.1.mell._ÖNK_Mérleg2020'!I128+'1.2.mell._HKÖH_Mérleg2020'!I128+'1.3.mell._HVÓBKI_Mérleg2020'!I128+'1.4.mell._HKK_Mérleg2020'!I128+'1.5._mell._MŐSZ_Mérleg2020'!I128+'1.6._mell._HVGYKCSSZ_Mérleg2020'!I128</f>
        <v>0</v>
      </c>
      <c r="K128" s="4">
        <f t="shared" si="68"/>
        <v>0</v>
      </c>
    </row>
    <row r="129" spans="1:12">
      <c r="A129" s="85" t="s">
        <v>258</v>
      </c>
      <c r="B129" s="67" t="s">
        <v>138</v>
      </c>
      <c r="C129" s="402">
        <f>+'1.1.mell._ÖNK_Mérleg2020'!C129+'1.2.mell._HKÖH_Mérleg2020'!C129+'1.3.mell._HVÓBKI_Mérleg2020'!C129+'1.4.mell._HKK_Mérleg2020'!C129+'1.5._mell._MŐSZ_Mérleg2020'!C129+'1.6._mell._HVGYKCSSZ_Mérleg2020'!C129</f>
        <v>19200</v>
      </c>
      <c r="D129" s="1174">
        <f>+'1.1.mell._ÖNK_Mérleg2020'!D129+'1.2.mell._HKÖH_Mérleg2020'!D129+'1.3.mell._HVÓBKI_Mérleg2020'!D129+'1.4.mell._HKK_Mérleg2020'!D129+'1.5._mell._MŐSZ_Mérleg2020'!D129+'1.6._mell._HVGYKCSSZ_Mérleg2020'!D129</f>
        <v>19200</v>
      </c>
      <c r="E129" s="1174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6">
        <f>+'1.1.mell._ÖNK_Mérleg2020'!F129+'1.2.mell._HKÖH_Mérleg2020'!F129+'1.3.mell._HVÓBKI_Mérleg2020'!F129+'1.4.mell._HKK_Mérleg2020'!F129+'1.5._mell._MŐSZ_Mérleg2020'!F129+'1.6._mell._HVGYKCSSZ_Mérleg2020'!F129</f>
        <v>19200</v>
      </c>
      <c r="G129" s="20">
        <f>+'1.1.mell._ÖNK_Mérleg2020'!G129+'1.2.mell._HKÖH_Mérleg2020'!G129+'1.3.mell._HVÓBKI_Mérleg2020'!G129+'1.4.mell._HKK_Mérleg2020'!G129+'1.5._mell._MŐSZ_Mérleg2020'!G129+'1.6._mell._HVGYKCSSZ_Mérleg2020'!G129</f>
        <v>19200</v>
      </c>
      <c r="H129" s="11">
        <f>+'1.1.mell._ÖNK_Mérleg2020'!H129+'1.2.mell._HKÖH_Mérleg2020'!H129+'1.3.mell._HVÓBKI_Mérleg2020'!H129+'1.4.mell._HKK_Mérleg2020'!H129+'1.5._mell._MŐSZ_Mérleg2020'!H129+'1.6._mell._HVGYKCSSZ_Mérleg2020'!H129</f>
        <v>0</v>
      </c>
      <c r="I129" s="16">
        <f>+'1.1.mell._ÖNK_Mérleg2020'!I129+'1.2.mell._HKÖH_Mérleg2020'!I129+'1.3.mell._HVÓBKI_Mérleg2020'!I129+'1.4.mell._HKK_Mérleg2020'!I129+'1.5._mell._MŐSZ_Mérleg2020'!I129+'1.6._mell._HVGYKCSSZ_Mérleg2020'!I129</f>
        <v>0</v>
      </c>
      <c r="K129" s="4">
        <f t="shared" si="68"/>
        <v>0</v>
      </c>
    </row>
    <row r="130" spans="1:12">
      <c r="A130" s="85" t="s">
        <v>259</v>
      </c>
      <c r="B130" s="67" t="s">
        <v>139</v>
      </c>
      <c r="C130" s="402">
        <f>+'1.1.mell._ÖNK_Mérleg2020'!C130+'1.2.mell._HKÖH_Mérleg2020'!C130+'1.3.mell._HVÓBKI_Mérleg2020'!C130+'1.4.mell._HKK_Mérleg2020'!C130+'1.5._mell._MŐSZ_Mérleg2020'!C130+'1.6._mell._HVGYKCSSZ_Mérleg2020'!C130</f>
        <v>8299</v>
      </c>
      <c r="D130" s="1174">
        <f>+'1.1.mell._ÖNK_Mérleg2020'!D130+'1.2.mell._HKÖH_Mérleg2020'!D130+'1.3.mell._HVÓBKI_Mérleg2020'!D130+'1.4.mell._HKK_Mérleg2020'!D130+'1.5._mell._MŐSZ_Mérleg2020'!D130+'1.6._mell._HVGYKCSSZ_Mérleg2020'!D130</f>
        <v>8299</v>
      </c>
      <c r="E130" s="1174">
        <f>+'1.1.mell._ÖNK_Mérleg2020'!E130+'1.2.mell._HKÖH_Mérleg2020'!E130+'1.3.mell._HVÓBKI_Mérleg2020'!E130+'1.4.mell._HKK_Mérleg2020'!E130+'1.5._mell._MŐSZ_Mérleg2020'!E130+'1.6._mell._HVGYKCSSZ_Mérleg2020'!E130</f>
        <v>0</v>
      </c>
      <c r="F130" s="16">
        <f>+'1.1.mell._ÖNK_Mérleg2020'!F130+'1.2.mell._HKÖH_Mérleg2020'!F130+'1.3.mell._HVÓBKI_Mérleg2020'!F130+'1.4.mell._HKK_Mérleg2020'!F130+'1.5._mell._MŐSZ_Mérleg2020'!F130+'1.6._mell._HVGYKCSSZ_Mérleg2020'!F130</f>
        <v>8299</v>
      </c>
      <c r="G130" s="20">
        <f>+'1.1.mell._ÖNK_Mérleg2020'!G130+'1.2.mell._HKÖH_Mérleg2020'!G130+'1.3.mell._HVÓBKI_Mérleg2020'!G130+'1.4.mell._HKK_Mérleg2020'!G130+'1.5._mell._MŐSZ_Mérleg2020'!G130+'1.6._mell._HVGYKCSSZ_Mérleg2020'!G130</f>
        <v>4875</v>
      </c>
      <c r="H130" s="11">
        <f>+'1.1.mell._ÖNK_Mérleg2020'!H130+'1.2.mell._HKÖH_Mérleg2020'!H130+'1.3.mell._HVÓBKI_Mérleg2020'!H130+'1.4.mell._HKK_Mérleg2020'!H130+'1.5._mell._MŐSZ_Mérleg2020'!H130+'1.6._mell._HVGYKCSSZ_Mérleg2020'!H130</f>
        <v>3424</v>
      </c>
      <c r="I130" s="16">
        <f>+'1.1.mell._ÖNK_Mérleg2020'!I130+'1.2.mell._HKÖH_Mérleg2020'!I130+'1.3.mell._HVÓBKI_Mérleg2020'!I130+'1.4.mell._HKK_Mérleg2020'!I130+'1.5._mell._MŐSZ_Mérleg2020'!I130+'1.6._mell._HVGYKCSSZ_Mérleg2020'!I130</f>
        <v>0</v>
      </c>
      <c r="K130" s="4">
        <f t="shared" si="68"/>
        <v>0</v>
      </c>
      <c r="L130" s="3"/>
    </row>
    <row r="131" spans="1:12" ht="12.75" thickBot="1">
      <c r="A131" s="78" t="s">
        <v>260</v>
      </c>
      <c r="B131" s="68" t="s">
        <v>140</v>
      </c>
      <c r="C131" s="403">
        <f>+'1.1.mell._ÖNK_Mérleg2020'!C131+'1.2.mell._HKÖH_Mérleg2020'!C131+'1.3.mell._HVÓBKI_Mérleg2020'!C131+'1.4.mell._HKK_Mérleg2020'!C131+'1.5._mell._MŐSZ_Mérleg2020'!C131+'1.6._mell._HVGYKCSSZ_Mérleg2020'!C131</f>
        <v>22880</v>
      </c>
      <c r="D131" s="1175">
        <f>+'1.1.mell._ÖNK_Mérleg2020'!D131+'1.2.mell._HKÖH_Mérleg2020'!D131+'1.3.mell._HVÓBKI_Mérleg2020'!D131+'1.4.mell._HKK_Mérleg2020'!D131+'1.5._mell._MŐSZ_Mérleg2020'!D131+'1.6._mell._HVGYKCSSZ_Mérleg2020'!D131</f>
        <v>22880</v>
      </c>
      <c r="E131" s="1175">
        <f>+'1.1.mell._ÖNK_Mérleg2020'!E131+'1.2.mell._HKÖH_Mérleg2020'!E131+'1.3.mell._HVÓBKI_Mérleg2020'!E131+'1.4.mell._HKK_Mérleg2020'!E131+'1.5._mell._MŐSZ_Mérleg2020'!E131+'1.6._mell._HVGYKCSSZ_Mérleg2020'!E131</f>
        <v>0</v>
      </c>
      <c r="F131" s="23">
        <f>+'1.1.mell._ÖNK_Mérleg2020'!F131+'1.2.mell._HKÖH_Mérleg2020'!F131+'1.3.mell._HVÓBKI_Mérleg2020'!F131+'1.4.mell._HKK_Mérleg2020'!F131+'1.5._mell._MŐSZ_Mérleg2020'!F131+'1.6._mell._HVGYKCSSZ_Mérleg2020'!F131</f>
        <v>22880</v>
      </c>
      <c r="G131" s="21">
        <f>+'1.1.mell._ÖNK_Mérleg2020'!G131+'1.2.mell._HKÖH_Mérleg2020'!G131+'1.3.mell._HVÓBKI_Mérleg2020'!G131+'1.4.mell._HKK_Mérleg2020'!G131+'1.5._mell._MŐSZ_Mérleg2020'!G131+'1.6._mell._HVGYKCSSZ_Mérleg2020'!G131</f>
        <v>22880</v>
      </c>
      <c r="H131" s="22">
        <f>+'1.1.mell._ÖNK_Mérleg2020'!H131+'1.2.mell._HKÖH_Mérleg2020'!H131+'1.3.mell._HVÓBKI_Mérleg2020'!H131+'1.4.mell._HKK_Mérleg2020'!H131+'1.5._mell._MŐSZ_Mérleg2020'!H131+'1.6._mell._HVGYKCSSZ_Mérleg2020'!H131</f>
        <v>0</v>
      </c>
      <c r="I131" s="23">
        <f>+'1.1.mell._ÖNK_Mérleg2020'!I131+'1.2.mell._HKÖH_Mérleg2020'!I131+'1.3.mell._HVÓBKI_Mérleg2020'!I131+'1.4.mell._HKK_Mérleg2020'!I131+'1.5._mell._MŐSZ_Mérleg2020'!I131+'1.6._mell._HVGYKCSSZ_Mérleg2020'!I131</f>
        <v>0</v>
      </c>
      <c r="K131" s="4">
        <f t="shared" si="68"/>
        <v>0</v>
      </c>
    </row>
    <row r="132" spans="1:12" s="3" customFormat="1" ht="12.75" thickBot="1">
      <c r="A132" s="83" t="s">
        <v>15</v>
      </c>
      <c r="B132" s="64" t="s">
        <v>923</v>
      </c>
      <c r="C132" s="129">
        <f t="shared" ref="C132" si="105">+C133+C134+C135+C136+C137+C138+C144+C140+C141+C142+C143+C145+C146</f>
        <v>2717621</v>
      </c>
      <c r="D132" s="1171">
        <f t="shared" ref="D132" si="106">+D133+D134+D135+D136+D137+D138+D144+D140+D141+D142+D143+D145+D146</f>
        <v>3213524</v>
      </c>
      <c r="E132" s="1171">
        <f t="shared" ref="E132" si="107">+E133+E134+E135+E136+E137+E138+E144+E140+E141+E142+E143+E145+E146</f>
        <v>-34740</v>
      </c>
      <c r="F132" s="29">
        <f t="shared" ref="F132" si="108">+F133+F134+F135+F136+F137+F138+F144+F140+F141+F142+F143+F145+F146</f>
        <v>3178784</v>
      </c>
      <c r="G132" s="27">
        <f t="shared" ref="G132:I132" si="109">+G133+G134+G135+G136+G137+G138+G144+G140+G141+G142+G143+G145+G146</f>
        <v>3168746</v>
      </c>
      <c r="H132" s="28">
        <f t="shared" si="109"/>
        <v>10038</v>
      </c>
      <c r="I132" s="29">
        <f t="shared" si="109"/>
        <v>0</v>
      </c>
      <c r="J132" s="689">
        <f>+F132/$F$208</f>
        <v>0.61114712747099786</v>
      </c>
      <c r="K132" s="3">
        <f t="shared" si="68"/>
        <v>0</v>
      </c>
      <c r="L132" s="4"/>
    </row>
    <row r="133" spans="1:12">
      <c r="A133" s="84" t="s">
        <v>87</v>
      </c>
      <c r="B133" s="65" t="s">
        <v>141</v>
      </c>
      <c r="C133" s="404">
        <f>+'1.1.mell._ÖNK_Mérleg2020'!C133+'1.2.mell._HKÖH_Mérleg2020'!C133+'1.3.mell._HVÓBKI_Mérleg2020'!C133+'1.4.mell._HKK_Mérleg2020'!C133+'1.5._mell._MŐSZ_Mérleg2020'!C133+'1.6._mell._HVGYKCSSZ_Mérleg2020'!C133</f>
        <v>0</v>
      </c>
      <c r="D133" s="1172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172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35">
        <f>+'1.1.mell._ÖNK_Mérleg2020'!F133+'1.2.mell._HKÖH_Mérleg2020'!F133+'1.3.mell._HVÓBKI_Mérleg2020'!F133+'1.4.mell._HKK_Mérleg2020'!F133+'1.5._mell._MŐSZ_Mérleg2020'!F133+'1.6._mell._HVGYKCSSZ_Mérleg2020'!F133</f>
        <v>0</v>
      </c>
      <c r="G133" s="34">
        <f>+'1.1.mell._ÖNK_Mérleg2020'!G133+'1.2.mell._HKÖH_Mérleg2020'!G133+'1.3.mell._HVÓBKI_Mérleg2020'!G133+'1.4.mell._HKK_Mérleg2020'!G133+'1.5._mell._MŐSZ_Mérleg2020'!G133+'1.6._mell._HVGYKCSSZ_Mérleg2020'!G133</f>
        <v>0</v>
      </c>
      <c r="H133" s="10">
        <f>+'1.1.mell._ÖNK_Mérleg2020'!H133+'1.2.mell._HKÖH_Mérleg2020'!H133+'1.3.mell._HVÓBKI_Mérleg2020'!H133+'1.4.mell._HKK_Mérleg2020'!H133+'1.5._mell._MŐSZ_Mérleg2020'!H133+'1.6._mell._HVGYKCSSZ_Mérleg2020'!H133</f>
        <v>0</v>
      </c>
      <c r="I133" s="35">
        <f>+'1.1.mell._ÖNK_Mérleg2020'!I133+'1.2.mell._HKÖH_Mérleg2020'!I133+'1.3.mell._HVÓBKI_Mérleg2020'!I133+'1.4.mell._HKK_Mérleg2020'!I133+'1.5._mell._MŐSZ_Mérleg2020'!I133+'1.6._mell._HVGYKCSSZ_Mérleg2020'!I133</f>
        <v>0</v>
      </c>
      <c r="K133" s="4">
        <f t="shared" si="68"/>
        <v>0</v>
      </c>
    </row>
    <row r="134" spans="1:12">
      <c r="A134" s="85" t="s">
        <v>88</v>
      </c>
      <c r="B134" s="67" t="s">
        <v>142</v>
      </c>
      <c r="C134" s="402">
        <f>+'1.1.mell._ÖNK_Mérleg2020'!C134+'1.2.mell._HKÖH_Mérleg2020'!C134+'1.3.mell._HVÓBKI_Mérleg2020'!C134+'1.4.mell._HKK_Mérleg2020'!C134+'1.5._mell._MŐSZ_Mérleg2020'!C134+'1.6._mell._HVGYKCSSZ_Mérleg2020'!C134</f>
        <v>9014</v>
      </c>
      <c r="D134" s="1174">
        <f>+'1.1.mell._ÖNK_Mérleg2020'!D134+'1.2.mell._HKÖH_Mérleg2020'!D134+'1.3.mell._HVÓBKI_Mérleg2020'!D134+'1.4.mell._HKK_Mérleg2020'!D134+'1.5._mell._MŐSZ_Mérleg2020'!D134+'1.6._mell._HVGYKCSSZ_Mérleg2020'!D134</f>
        <v>33148</v>
      </c>
      <c r="E134" s="1174">
        <f>+'1.1.mell._ÖNK_Mérleg2020'!E134+'1.2.mell._HKÖH_Mérleg2020'!E134+'1.3.mell._HVÓBKI_Mérleg2020'!E134+'1.4.mell._HKK_Mérleg2020'!E134+'1.5._mell._MŐSZ_Mérleg2020'!E134+'1.6._mell._HVGYKCSSZ_Mérleg2020'!E134</f>
        <v>0</v>
      </c>
      <c r="F134" s="16">
        <f>+'1.1.mell._ÖNK_Mérleg2020'!F134+'1.2.mell._HKÖH_Mérleg2020'!F134+'1.3.mell._HVÓBKI_Mérleg2020'!F134+'1.4.mell._HKK_Mérleg2020'!F134+'1.5._mell._MŐSZ_Mérleg2020'!F134+'1.6._mell._HVGYKCSSZ_Mérleg2020'!F134</f>
        <v>33148</v>
      </c>
      <c r="G134" s="20">
        <f>+'1.1.mell._ÖNK_Mérleg2020'!G134+'1.2.mell._HKÖH_Mérleg2020'!G134+'1.3.mell._HVÓBKI_Mérleg2020'!G134+'1.4.mell._HKK_Mérleg2020'!G134+'1.5._mell._MŐSZ_Mérleg2020'!G134+'1.6._mell._HVGYKCSSZ_Mérleg2020'!G134</f>
        <v>24110</v>
      </c>
      <c r="H134" s="11">
        <f>+'1.1.mell._ÖNK_Mérleg2020'!H134+'1.2.mell._HKÖH_Mérleg2020'!H134+'1.3.mell._HVÓBKI_Mérleg2020'!H134+'1.4.mell._HKK_Mérleg2020'!H134+'1.5._mell._MŐSZ_Mérleg2020'!H134+'1.6._mell._HVGYKCSSZ_Mérleg2020'!H134</f>
        <v>9038</v>
      </c>
      <c r="I134" s="16">
        <f>+'1.1.mell._ÖNK_Mérleg2020'!I134+'1.2.mell._HKÖH_Mérleg2020'!I134+'1.3.mell._HVÓBKI_Mérleg2020'!I134+'1.4.mell._HKK_Mérleg2020'!I134+'1.5._mell._MŐSZ_Mérleg2020'!I134+'1.6._mell._HVGYKCSSZ_Mérleg2020'!I134</f>
        <v>0</v>
      </c>
      <c r="K134" s="4">
        <f t="shared" si="68"/>
        <v>0</v>
      </c>
    </row>
    <row r="135" spans="1:12">
      <c r="A135" s="85" t="s">
        <v>181</v>
      </c>
      <c r="B135" s="67" t="s">
        <v>143</v>
      </c>
      <c r="C135" s="402">
        <f>+'1.1.mell._ÖNK_Mérleg2020'!C135+'1.2.mell._HKÖH_Mérleg2020'!C135+'1.3.mell._HVÓBKI_Mérleg2020'!C135+'1.4.mell._HKK_Mérleg2020'!C135+'1.5._mell._MŐSZ_Mérleg2020'!C135+'1.6._mell._HVGYKCSSZ_Mérleg2020'!C135</f>
        <v>0</v>
      </c>
      <c r="D135" s="1174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174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6">
        <f>+'1.1.mell._ÖNK_Mérleg2020'!F135+'1.2.mell._HKÖH_Mérleg2020'!F135+'1.3.mell._HVÓBKI_Mérleg2020'!F135+'1.4.mell._HKK_Mérleg2020'!F135+'1.5._mell._MŐSZ_Mérleg2020'!F135+'1.6._mell._HVGYKCSSZ_Mérleg2020'!F135</f>
        <v>0</v>
      </c>
      <c r="G135" s="20">
        <f>+'1.1.mell._ÖNK_Mérleg2020'!G135+'1.2.mell._HKÖH_Mérleg2020'!G135+'1.3.mell._HVÓBKI_Mérleg2020'!G135+'1.4.mell._HKK_Mérleg2020'!G135+'1.5._mell._MŐSZ_Mérleg2020'!G135+'1.6._mell._HVGYKCSSZ_Mérleg2020'!G135</f>
        <v>0</v>
      </c>
      <c r="H135" s="11">
        <f>+'1.1.mell._ÖNK_Mérleg2020'!H135+'1.2.mell._HKÖH_Mérleg2020'!H135+'1.3.mell._HVÓBKI_Mérleg2020'!H135+'1.4.mell._HKK_Mérleg2020'!H135+'1.5._mell._MŐSZ_Mérleg2020'!H135+'1.6._mell._HVGYKCSSZ_Mérleg2020'!H135</f>
        <v>0</v>
      </c>
      <c r="I135" s="16">
        <f>+'1.1.mell._ÖNK_Mérleg2020'!I135+'1.2.mell._HKÖH_Mérleg2020'!I135+'1.3.mell._HVÓBKI_Mérleg2020'!I135+'1.4.mell._HKK_Mérleg2020'!I135+'1.5._mell._MŐSZ_Mérleg2020'!I135+'1.6._mell._HVGYKCSSZ_Mérleg2020'!I135</f>
        <v>0</v>
      </c>
      <c r="K135" s="4">
        <f t="shared" si="68"/>
        <v>0</v>
      </c>
    </row>
    <row r="136" spans="1:12">
      <c r="A136" s="85" t="s">
        <v>182</v>
      </c>
      <c r="B136" s="67" t="s">
        <v>144</v>
      </c>
      <c r="C136" s="402">
        <f>+'1.1.mell._ÖNK_Mérleg2020'!C136+'1.2.mell._HKÖH_Mérleg2020'!C136+'1.3.mell._HVÓBKI_Mérleg2020'!C136+'1.4.mell._HKK_Mérleg2020'!C136+'1.5._mell._MŐSZ_Mérleg2020'!C136+'1.6._mell._HVGYKCSSZ_Mérleg2020'!C136</f>
        <v>0</v>
      </c>
      <c r="D136" s="1174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174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6">
        <f>+'1.1.mell._ÖNK_Mérleg2020'!F136+'1.2.mell._HKÖH_Mérleg2020'!F136+'1.3.mell._HVÓBKI_Mérleg2020'!F136+'1.4.mell._HKK_Mérleg2020'!F136+'1.5._mell._MŐSZ_Mérleg2020'!F136+'1.6._mell._HVGYKCSSZ_Mérleg2020'!F136</f>
        <v>0</v>
      </c>
      <c r="G136" s="20">
        <f>+'1.1.mell._ÖNK_Mérleg2020'!G136+'1.2.mell._HKÖH_Mérleg2020'!G136+'1.3.mell._HVÓBKI_Mérleg2020'!G136+'1.4.mell._HKK_Mérleg2020'!G136+'1.5._mell._MŐSZ_Mérleg2020'!G136+'1.6._mell._HVGYKCSSZ_Mérleg2020'!G136</f>
        <v>0</v>
      </c>
      <c r="H136" s="11">
        <f>+'1.1.mell._ÖNK_Mérleg2020'!H136+'1.2.mell._HKÖH_Mérleg2020'!H136+'1.3.mell._HVÓBKI_Mérleg2020'!H136+'1.4.mell._HKK_Mérleg2020'!H136+'1.5._mell._MŐSZ_Mérleg2020'!H136+'1.6._mell._HVGYKCSSZ_Mérleg2020'!H136</f>
        <v>0</v>
      </c>
      <c r="I136" s="16">
        <f>+'1.1.mell._ÖNK_Mérleg2020'!I136+'1.2.mell._HKÖH_Mérleg2020'!I136+'1.3.mell._HVÓBKI_Mérleg2020'!I136+'1.4.mell._HKK_Mérleg2020'!I136+'1.5._mell._MŐSZ_Mérleg2020'!I136+'1.6._mell._HVGYKCSSZ_Mérleg2020'!I136</f>
        <v>0</v>
      </c>
      <c r="K136" s="4">
        <f t="shared" si="68"/>
        <v>0</v>
      </c>
    </row>
    <row r="137" spans="1:12">
      <c r="A137" s="85" t="s">
        <v>183</v>
      </c>
      <c r="B137" s="67" t="s">
        <v>145</v>
      </c>
      <c r="C137" s="402">
        <f>+'1.1.mell._ÖNK_Mérleg2020'!C137+'1.2.mell._HKÖH_Mérleg2020'!C137+'1.3.mell._HVÓBKI_Mérleg2020'!C137+'1.4.mell._HKK_Mérleg2020'!C137+'1.5._mell._MŐSZ_Mérleg2020'!C137+'1.6._mell._HVGYKCSSZ_Mérleg2020'!C137</f>
        <v>0</v>
      </c>
      <c r="D137" s="1174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174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6">
        <f>+'1.1.mell._ÖNK_Mérleg2020'!F137+'1.2.mell._HKÖH_Mérleg2020'!F137+'1.3.mell._HVÓBKI_Mérleg2020'!F137+'1.4.mell._HKK_Mérleg2020'!F137+'1.5._mell._MŐSZ_Mérleg2020'!F137+'1.6._mell._HVGYKCSSZ_Mérleg2020'!F137</f>
        <v>0</v>
      </c>
      <c r="G137" s="20">
        <f>+'1.1.mell._ÖNK_Mérleg2020'!G137+'1.2.mell._HKÖH_Mérleg2020'!G137+'1.3.mell._HVÓBKI_Mérleg2020'!G137+'1.4.mell._HKK_Mérleg2020'!G137+'1.5._mell._MŐSZ_Mérleg2020'!G137+'1.6._mell._HVGYKCSSZ_Mérleg2020'!G137</f>
        <v>0</v>
      </c>
      <c r="H137" s="11">
        <f>+'1.1.mell._ÖNK_Mérleg2020'!H137+'1.2.mell._HKÖH_Mérleg2020'!H137+'1.3.mell._HVÓBKI_Mérleg2020'!H137+'1.4.mell._HKK_Mérleg2020'!H137+'1.5._mell._MŐSZ_Mérleg2020'!H137+'1.6._mell._HVGYKCSSZ_Mérleg2020'!H137</f>
        <v>0</v>
      </c>
      <c r="I137" s="16">
        <f>+'1.1.mell._ÖNK_Mérleg2020'!I137+'1.2.mell._HKÖH_Mérleg2020'!I137+'1.3.mell._HVÓBKI_Mérleg2020'!I137+'1.4.mell._HKK_Mérleg2020'!I137+'1.5._mell._MŐSZ_Mérleg2020'!I137+'1.6._mell._HVGYKCSSZ_Mérleg2020'!I137</f>
        <v>0</v>
      </c>
      <c r="K137" s="4">
        <f t="shared" si="68"/>
        <v>0</v>
      </c>
      <c r="L137" s="13"/>
    </row>
    <row r="138" spans="1:12">
      <c r="A138" s="85" t="s">
        <v>261</v>
      </c>
      <c r="B138" s="67" t="s">
        <v>146</v>
      </c>
      <c r="C138" s="402">
        <f>+'1.1.mell._ÖNK_Mérleg2020'!C138+'1.2.mell._HKÖH_Mérleg2020'!C138+'1.3.mell._HVÓBKI_Mérleg2020'!C138+'1.4.mell._HKK_Mérleg2020'!C138+'1.5._mell._MŐSZ_Mérleg2020'!C138+'1.6._mell._HVGYKCSSZ_Mérleg2020'!C138</f>
        <v>9332</v>
      </c>
      <c r="D138" s="1174">
        <f>+'1.1.mell._ÖNK_Mérleg2020'!D138+'1.2.mell._HKÖH_Mérleg2020'!D138+'1.3.mell._HVÓBKI_Mérleg2020'!D138+'1.4.mell._HKK_Mérleg2020'!D138+'1.5._mell._MŐSZ_Mérleg2020'!D138+'1.6._mell._HVGYKCSSZ_Mérleg2020'!D138</f>
        <v>9332</v>
      </c>
      <c r="E138" s="1174">
        <f>+'1.1.mell._ÖNK_Mérleg2020'!E138+'1.2.mell._HKÖH_Mérleg2020'!E138+'1.3.mell._HVÓBKI_Mérleg2020'!E138+'1.4.mell._HKK_Mérleg2020'!E138+'1.5._mell._MŐSZ_Mérleg2020'!E138+'1.6._mell._HVGYKCSSZ_Mérleg2020'!E138</f>
        <v>0</v>
      </c>
      <c r="F138" s="16">
        <f>+'1.1.mell._ÖNK_Mérleg2020'!F138+'1.2.mell._HKÖH_Mérleg2020'!F138+'1.3.mell._HVÓBKI_Mérleg2020'!F138+'1.4.mell._HKK_Mérleg2020'!F138+'1.5._mell._MŐSZ_Mérleg2020'!F138+'1.6._mell._HVGYKCSSZ_Mérleg2020'!F138</f>
        <v>9332</v>
      </c>
      <c r="G138" s="20">
        <f>+'1.1.mell._ÖNK_Mérleg2020'!G138+'1.2.mell._HKÖH_Mérleg2020'!G138+'1.3.mell._HVÓBKI_Mérleg2020'!G138+'1.4.mell._HKK_Mérleg2020'!G138+'1.5._mell._MŐSZ_Mérleg2020'!G138+'1.6._mell._HVGYKCSSZ_Mérleg2020'!G138</f>
        <v>9332</v>
      </c>
      <c r="H138" s="11">
        <f>+'1.1.mell._ÖNK_Mérleg2020'!H138+'1.2.mell._HKÖH_Mérleg2020'!H138+'1.3.mell._HVÓBKI_Mérleg2020'!H138+'1.4.mell._HKK_Mérleg2020'!H138+'1.5._mell._MŐSZ_Mérleg2020'!H138+'1.6._mell._HVGYKCSSZ_Mérleg2020'!H138</f>
        <v>0</v>
      </c>
      <c r="I138" s="16">
        <f>+'1.1.mell._ÖNK_Mérleg2020'!I138+'1.2.mell._HKÖH_Mérleg2020'!I138+'1.3.mell._HVÓBKI_Mérleg2020'!I138+'1.4.mell._HKK_Mérleg2020'!I138+'1.5._mell._MŐSZ_Mérleg2020'!I138+'1.6._mell._HVGYKCSSZ_Mérleg2020'!I138</f>
        <v>0</v>
      </c>
      <c r="K138" s="4">
        <f t="shared" si="68"/>
        <v>0</v>
      </c>
    </row>
    <row r="139" spans="1:12" s="13" customFormat="1">
      <c r="A139" s="89" t="s">
        <v>335</v>
      </c>
      <c r="B139" s="787" t="s">
        <v>929</v>
      </c>
      <c r="C139" s="401">
        <f>+'1.1.mell._ÖNK_Mérleg2020'!C139+'1.2.mell._HKÖH_Mérleg2020'!C139+'1.3.mell._HVÓBKI_Mérleg2020'!C139+'1.4.mell._HKK_Mérleg2020'!C139+'1.5._mell._MŐSZ_Mérleg2020'!C139+'1.6._mell._HVGYKCSSZ_Mérleg2020'!C139</f>
        <v>0</v>
      </c>
      <c r="D139" s="1176">
        <f>+'1.1.mell._ÖNK_Mérleg2020'!D139+'1.2.mell._HKÖH_Mérleg2020'!D139+'1.3.mell._HVÓBKI_Mérleg2020'!D139+'1.4.mell._HKK_Mérleg2020'!D139+'1.5._mell._MŐSZ_Mérleg2020'!D139+'1.6._mell._HVGYKCSSZ_Mérleg2020'!D139</f>
        <v>0</v>
      </c>
      <c r="E139" s="1176">
        <f>+'1.1.mell._ÖNK_Mérleg2020'!E139+'1.2.mell._HKÖH_Mérleg2020'!E139+'1.3.mell._HVÓBKI_Mérleg2020'!E139+'1.4.mell._HKK_Mérleg2020'!E139+'1.5._mell._MŐSZ_Mérleg2020'!E139+'1.6._mell._HVGYKCSSZ_Mérleg2020'!E139</f>
        <v>0</v>
      </c>
      <c r="F139" s="44">
        <f>+'1.1.mell._ÖNK_Mérleg2020'!F139+'1.2.mell._HKÖH_Mérleg2020'!F139+'1.3.mell._HVÓBKI_Mérleg2020'!F139+'1.4.mell._HKK_Mérleg2020'!F139+'1.5._mell._MŐSZ_Mérleg2020'!F139+'1.6._mell._HVGYKCSSZ_Mérleg2020'!F139</f>
        <v>0</v>
      </c>
      <c r="G139" s="45">
        <f>+'1.1.mell._ÖNK_Mérleg2020'!G139+'1.2.mell._HKÖH_Mérleg2020'!G139+'1.3.mell._HVÓBKI_Mérleg2020'!G139+'1.4.mell._HKK_Mérleg2020'!G139+'1.5._mell._MŐSZ_Mérleg2020'!G139+'1.6._mell._HVGYKCSSZ_Mérleg2020'!G139</f>
        <v>0</v>
      </c>
      <c r="H139" s="43">
        <f>+'1.1.mell._ÖNK_Mérleg2020'!H139+'1.2.mell._HKÖH_Mérleg2020'!H139+'1.3.mell._HVÓBKI_Mérleg2020'!H139+'1.4.mell._HKK_Mérleg2020'!H139+'1.5._mell._MŐSZ_Mérleg2020'!H139+'1.6._mell._HVGYKCSSZ_Mérleg2020'!H139</f>
        <v>0</v>
      </c>
      <c r="I139" s="44">
        <f>+'1.1.mell._ÖNK_Mérleg2020'!I139+'1.2.mell._HKÖH_Mérleg2020'!I139+'1.3.mell._HVÓBKI_Mérleg2020'!I139+'1.4.mell._HKK_Mérleg2020'!I139+'1.5._mell._MŐSZ_Mérleg2020'!I139+'1.6._mell._HVGYKCSSZ_Mérleg2020'!I139</f>
        <v>0</v>
      </c>
      <c r="K139" s="13">
        <f t="shared" ref="K139:K202" si="110">+F139-G139-H139-I139</f>
        <v>0</v>
      </c>
      <c r="L139" s="4"/>
    </row>
    <row r="140" spans="1:12">
      <c r="A140" s="85" t="s">
        <v>262</v>
      </c>
      <c r="B140" s="67" t="s">
        <v>147</v>
      </c>
      <c r="C140" s="402">
        <f>+'1.1.mell._ÖNK_Mérleg2020'!C140+'1.2.mell._HKÖH_Mérleg2020'!C140+'1.3.mell._HVÓBKI_Mérleg2020'!C140+'1.4.mell._HKK_Mérleg2020'!C140+'1.5._mell._MŐSZ_Mérleg2020'!C140+'1.6._mell._HVGYKCSSZ_Mérleg2020'!C140</f>
        <v>0</v>
      </c>
      <c r="D140" s="1174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174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6">
        <f>+'1.1.mell._ÖNK_Mérleg2020'!F140+'1.2.mell._HKÖH_Mérleg2020'!F140+'1.3.mell._HVÓBKI_Mérleg2020'!F140+'1.4.mell._HKK_Mérleg2020'!F140+'1.5._mell._MŐSZ_Mérleg2020'!F140+'1.6._mell._HVGYKCSSZ_Mérleg2020'!F140</f>
        <v>0</v>
      </c>
      <c r="G140" s="20">
        <f>+'1.1.mell._ÖNK_Mérleg2020'!G140+'1.2.mell._HKÖH_Mérleg2020'!G140+'1.3.mell._HVÓBKI_Mérleg2020'!G140+'1.4.mell._HKK_Mérleg2020'!G140+'1.5._mell._MŐSZ_Mérleg2020'!G140+'1.6._mell._HVGYKCSSZ_Mérleg2020'!G140</f>
        <v>0</v>
      </c>
      <c r="H140" s="11">
        <f>+'1.1.mell._ÖNK_Mérleg2020'!H140+'1.2.mell._HKÖH_Mérleg2020'!H140+'1.3.mell._HVÓBKI_Mérleg2020'!H140+'1.4.mell._HKK_Mérleg2020'!H140+'1.5._mell._MŐSZ_Mérleg2020'!H140+'1.6._mell._HVGYKCSSZ_Mérleg2020'!H140</f>
        <v>0</v>
      </c>
      <c r="I140" s="16">
        <f>+'1.1.mell._ÖNK_Mérleg2020'!I140+'1.2.mell._HKÖH_Mérleg2020'!I140+'1.3.mell._HVÓBKI_Mérleg2020'!I140+'1.4.mell._HKK_Mérleg2020'!I140+'1.5._mell._MŐSZ_Mérleg2020'!I140+'1.6._mell._HVGYKCSSZ_Mérleg2020'!I140</f>
        <v>0</v>
      </c>
      <c r="K140" s="4">
        <f t="shared" si="110"/>
        <v>0</v>
      </c>
    </row>
    <row r="141" spans="1:12">
      <c r="A141" s="85" t="s">
        <v>263</v>
      </c>
      <c r="B141" s="67" t="s">
        <v>148</v>
      </c>
      <c r="C141" s="402">
        <f>+'1.1.mell._ÖNK_Mérleg2020'!C141+'1.2.mell._HKÖH_Mérleg2020'!C141+'1.3.mell._HVÓBKI_Mérleg2020'!C141+'1.4.mell._HKK_Mérleg2020'!C141+'1.5._mell._MŐSZ_Mérleg2020'!C141+'1.6._mell._HVGYKCSSZ_Mérleg2020'!C141</f>
        <v>0</v>
      </c>
      <c r="D141" s="1174">
        <f>+'1.1.mell._ÖNK_Mérleg2020'!D141+'1.2.mell._HKÖH_Mérleg2020'!D141+'1.3.mell._HVÓBKI_Mérleg2020'!D141+'1.4.mell._HKK_Mérleg2020'!D141+'1.5._mell._MŐSZ_Mérleg2020'!D141+'1.6._mell._HVGYKCSSZ_Mérleg2020'!D141</f>
        <v>4600</v>
      </c>
      <c r="E141" s="1174">
        <f>+'1.1.mell._ÖNK_Mérleg2020'!E141+'1.2.mell._HKÖH_Mérleg2020'!E141+'1.3.mell._HVÓBKI_Mérleg2020'!E141+'1.4.mell._HKK_Mérleg2020'!E141+'1.5._mell._MŐSZ_Mérleg2020'!E141+'1.6._mell._HVGYKCSSZ_Mérleg2020'!E141</f>
        <v>0</v>
      </c>
      <c r="F141" s="16">
        <f>+'1.1.mell._ÖNK_Mérleg2020'!F141+'1.2.mell._HKÖH_Mérleg2020'!F141+'1.3.mell._HVÓBKI_Mérleg2020'!F141+'1.4.mell._HKK_Mérleg2020'!F141+'1.5._mell._MŐSZ_Mérleg2020'!F141+'1.6._mell._HVGYKCSSZ_Mérleg2020'!F141</f>
        <v>4600</v>
      </c>
      <c r="G141" s="20">
        <f>+'1.1.mell._ÖNK_Mérleg2020'!G141+'1.2.mell._HKÖH_Mérleg2020'!G141+'1.3.mell._HVÓBKI_Mérleg2020'!G141+'1.4.mell._HKK_Mérleg2020'!G141+'1.5._mell._MŐSZ_Mérleg2020'!G141+'1.6._mell._HVGYKCSSZ_Mérleg2020'!G141</f>
        <v>4600</v>
      </c>
      <c r="H141" s="11">
        <f>+'1.1.mell._ÖNK_Mérleg2020'!H141+'1.2.mell._HKÖH_Mérleg2020'!H141+'1.3.mell._HVÓBKI_Mérleg2020'!H141+'1.4.mell._HKK_Mérleg2020'!H141+'1.5._mell._MŐSZ_Mérleg2020'!H141+'1.6._mell._HVGYKCSSZ_Mérleg2020'!H141</f>
        <v>0</v>
      </c>
      <c r="I141" s="16">
        <f>+'1.1.mell._ÖNK_Mérleg2020'!I141+'1.2.mell._HKÖH_Mérleg2020'!I141+'1.3.mell._HVÓBKI_Mérleg2020'!I141+'1.4.mell._HKK_Mérleg2020'!I141+'1.5._mell._MŐSZ_Mérleg2020'!I141+'1.6._mell._HVGYKCSSZ_Mérleg2020'!I141</f>
        <v>0</v>
      </c>
      <c r="K141" s="4">
        <f t="shared" si="110"/>
        <v>0</v>
      </c>
    </row>
    <row r="142" spans="1:12">
      <c r="A142" s="85" t="s">
        <v>264</v>
      </c>
      <c r="B142" s="67" t="s">
        <v>149</v>
      </c>
      <c r="C142" s="402">
        <f>+'1.1.mell._ÖNK_Mérleg2020'!C142+'1.2.mell._HKÖH_Mérleg2020'!C142+'1.3.mell._HVÓBKI_Mérleg2020'!C142+'1.4.mell._HKK_Mérleg2020'!C142+'1.5._mell._MŐSZ_Mérleg2020'!C142+'1.6._mell._HVGYKCSSZ_Mérleg2020'!C142</f>
        <v>0</v>
      </c>
      <c r="D142" s="1174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174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6">
        <f>+'1.1.mell._ÖNK_Mérleg2020'!F142+'1.2.mell._HKÖH_Mérleg2020'!F142+'1.3.mell._HVÓBKI_Mérleg2020'!F142+'1.4.mell._HKK_Mérleg2020'!F142+'1.5._mell._MŐSZ_Mérleg2020'!F142+'1.6._mell._HVGYKCSSZ_Mérleg2020'!F142</f>
        <v>0</v>
      </c>
      <c r="G142" s="20">
        <f>+'1.1.mell._ÖNK_Mérleg2020'!G142+'1.2.mell._HKÖH_Mérleg2020'!G142+'1.3.mell._HVÓBKI_Mérleg2020'!G142+'1.4.mell._HKK_Mérleg2020'!G142+'1.5._mell._MŐSZ_Mérleg2020'!G142+'1.6._mell._HVGYKCSSZ_Mérleg2020'!G142</f>
        <v>0</v>
      </c>
      <c r="H142" s="11">
        <f>+'1.1.mell._ÖNK_Mérleg2020'!H142+'1.2.mell._HKÖH_Mérleg2020'!H142+'1.3.mell._HVÓBKI_Mérleg2020'!H142+'1.4.mell._HKK_Mérleg2020'!H142+'1.5._mell._MŐSZ_Mérleg2020'!H142+'1.6._mell._HVGYKCSSZ_Mérleg2020'!H142</f>
        <v>0</v>
      </c>
      <c r="I142" s="16">
        <f>+'1.1.mell._ÖNK_Mérleg2020'!I142+'1.2.mell._HKÖH_Mérleg2020'!I142+'1.3.mell._HVÓBKI_Mérleg2020'!I142+'1.4.mell._HKK_Mérleg2020'!I142+'1.5._mell._MŐSZ_Mérleg2020'!I142+'1.6._mell._HVGYKCSSZ_Mérleg2020'!I142</f>
        <v>0</v>
      </c>
      <c r="K142" s="4">
        <f t="shared" si="110"/>
        <v>0</v>
      </c>
    </row>
    <row r="143" spans="1:12">
      <c r="A143" s="85" t="s">
        <v>265</v>
      </c>
      <c r="B143" s="67" t="s">
        <v>150</v>
      </c>
      <c r="C143" s="402">
        <f>+'1.1.mell._ÖNK_Mérleg2020'!C143+'1.2.mell._HKÖH_Mérleg2020'!C143+'1.3.mell._HVÓBKI_Mérleg2020'!C143+'1.4.mell._HKK_Mérleg2020'!C143+'1.5._mell._MŐSZ_Mérleg2020'!C143+'1.6._mell._HVGYKCSSZ_Mérleg2020'!C143</f>
        <v>0</v>
      </c>
      <c r="D143" s="1174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174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6">
        <f>+'1.1.mell._ÖNK_Mérleg2020'!F143+'1.2.mell._HKÖH_Mérleg2020'!F143+'1.3.mell._HVÓBKI_Mérleg2020'!F143+'1.4.mell._HKK_Mérleg2020'!F143+'1.5._mell._MŐSZ_Mérleg2020'!F143+'1.6._mell._HVGYKCSSZ_Mérleg2020'!F143</f>
        <v>0</v>
      </c>
      <c r="G143" s="20">
        <f>+'1.1.mell._ÖNK_Mérleg2020'!G143+'1.2.mell._HKÖH_Mérleg2020'!G143+'1.3.mell._HVÓBKI_Mérleg2020'!G143+'1.4.mell._HKK_Mérleg2020'!G143+'1.5._mell._MŐSZ_Mérleg2020'!G143+'1.6._mell._HVGYKCSSZ_Mérleg2020'!G143</f>
        <v>0</v>
      </c>
      <c r="H143" s="11">
        <f>+'1.1.mell._ÖNK_Mérleg2020'!H143+'1.2.mell._HKÖH_Mérleg2020'!H143+'1.3.mell._HVÓBKI_Mérleg2020'!H143+'1.4.mell._HKK_Mérleg2020'!H143+'1.5._mell._MŐSZ_Mérleg2020'!H143+'1.6._mell._HVGYKCSSZ_Mérleg2020'!H143</f>
        <v>0</v>
      </c>
      <c r="I143" s="16">
        <f>+'1.1.mell._ÖNK_Mérleg2020'!I143+'1.2.mell._HKÖH_Mérleg2020'!I143+'1.3.mell._HVÓBKI_Mérleg2020'!I143+'1.4.mell._HKK_Mérleg2020'!I143+'1.5._mell._MŐSZ_Mérleg2020'!I143+'1.6._mell._HVGYKCSSZ_Mérleg2020'!I143</f>
        <v>0</v>
      </c>
      <c r="K143" s="4">
        <f t="shared" si="110"/>
        <v>0</v>
      </c>
    </row>
    <row r="144" spans="1:12">
      <c r="A144" s="85" t="s">
        <v>266</v>
      </c>
      <c r="B144" s="67" t="s">
        <v>924</v>
      </c>
      <c r="C144" s="402">
        <f>+'1.1.mell._ÖNK_Mérleg2020'!C144+'1.2.mell._HKÖH_Mérleg2020'!C144+'1.3.mell._HVÓBKI_Mérleg2020'!C144+'1.4.mell._HKK_Mérleg2020'!C144+'1.5._mell._MŐSZ_Mérleg2020'!C144+'1.6._mell._HVGYKCSSZ_Mérleg2020'!C144</f>
        <v>0</v>
      </c>
      <c r="D144" s="1174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174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6">
        <f>+'1.1.mell._ÖNK_Mérleg2020'!F144+'1.2.mell._HKÖH_Mérleg2020'!F144+'1.3.mell._HVÓBKI_Mérleg2020'!F144+'1.4.mell._HKK_Mérleg2020'!F144+'1.5._mell._MŐSZ_Mérleg2020'!F144+'1.6._mell._HVGYKCSSZ_Mérleg2020'!F144</f>
        <v>0</v>
      </c>
      <c r="G144" s="20">
        <f>+'1.1.mell._ÖNK_Mérleg2020'!G144+'1.2.mell._HKÖH_Mérleg2020'!G144+'1.3.mell._HVÓBKI_Mérleg2020'!G144+'1.4.mell._HKK_Mérleg2020'!G144+'1.5._mell._MŐSZ_Mérleg2020'!G144+'1.6._mell._HVGYKCSSZ_Mérleg2020'!G144</f>
        <v>0</v>
      </c>
      <c r="H144" s="11">
        <f>+'1.1.mell._ÖNK_Mérleg2020'!H144+'1.2.mell._HKÖH_Mérleg2020'!H144+'1.3.mell._HVÓBKI_Mérleg2020'!H144+'1.4.mell._HKK_Mérleg2020'!H144+'1.5._mell._MŐSZ_Mérleg2020'!H144+'1.6._mell._HVGYKCSSZ_Mérleg2020'!H144</f>
        <v>0</v>
      </c>
      <c r="I144" s="16">
        <f>+'1.1.mell._ÖNK_Mérleg2020'!I144+'1.2.mell._HKÖH_Mérleg2020'!I144+'1.3.mell._HVÓBKI_Mérleg2020'!I144+'1.4.mell._HKK_Mérleg2020'!I144+'1.5._mell._MŐSZ_Mérleg2020'!I144+'1.6._mell._HVGYKCSSZ_Mérleg2020'!I144</f>
        <v>0</v>
      </c>
      <c r="K144" s="4">
        <f t="shared" si="110"/>
        <v>0</v>
      </c>
    </row>
    <row r="145" spans="1:12">
      <c r="A145" s="85" t="s">
        <v>267</v>
      </c>
      <c r="B145" s="67" t="s">
        <v>925</v>
      </c>
      <c r="C145" s="402">
        <f>+'1.1.mell._ÖNK_Mérleg2020'!C145+'1.2.mell._HKÖH_Mérleg2020'!C145+'1.3.mell._HVÓBKI_Mérleg2020'!C145+'1.4.mell._HKK_Mérleg2020'!C145+'1.5._mell._MŐSZ_Mérleg2020'!C145+'1.6._mell._HVGYKCSSZ_Mérleg2020'!C145</f>
        <v>51350</v>
      </c>
      <c r="D145" s="1174">
        <f>+'1.1.mell._ÖNK_Mérleg2020'!D145+'1.2.mell._HKÖH_Mérleg2020'!D145+'1.3.mell._HVÓBKI_Mérleg2020'!D145+'1.4.mell._HKK_Mérleg2020'!D145+'1.5._mell._MŐSZ_Mérleg2020'!D145+'1.6._mell._HVGYKCSSZ_Mérleg2020'!D145</f>
        <v>52156</v>
      </c>
      <c r="E145" s="1174">
        <f>+'1.1.mell._ÖNK_Mérleg2020'!E145+'1.2.mell._HKÖH_Mérleg2020'!E145+'1.3.mell._HVÓBKI_Mérleg2020'!E145+'1.4.mell._HKK_Mérleg2020'!E145+'1.5._mell._MŐSZ_Mérleg2020'!E145+'1.6._mell._HVGYKCSSZ_Mérleg2020'!E145</f>
        <v>0</v>
      </c>
      <c r="F145" s="16">
        <f>+'1.1.mell._ÖNK_Mérleg2020'!F145+'1.2.mell._HKÖH_Mérleg2020'!F145+'1.3.mell._HVÓBKI_Mérleg2020'!F145+'1.4.mell._HKK_Mérleg2020'!F145+'1.5._mell._MŐSZ_Mérleg2020'!F145+'1.6._mell._HVGYKCSSZ_Mérleg2020'!F145</f>
        <v>52156</v>
      </c>
      <c r="G145" s="20">
        <f>+'1.1.mell._ÖNK_Mérleg2020'!G145+'1.2.mell._HKÖH_Mérleg2020'!G145+'1.3.mell._HVÓBKI_Mérleg2020'!G145+'1.4.mell._HKK_Mérleg2020'!G145+'1.5._mell._MŐSZ_Mérleg2020'!G145+'1.6._mell._HVGYKCSSZ_Mérleg2020'!G145</f>
        <v>51156</v>
      </c>
      <c r="H145" s="11">
        <f>+'1.1.mell._ÖNK_Mérleg2020'!H145+'1.2.mell._HKÖH_Mérleg2020'!H145+'1.3.mell._HVÓBKI_Mérleg2020'!H145+'1.4.mell._HKK_Mérleg2020'!H145+'1.5._mell._MŐSZ_Mérleg2020'!H145+'1.6._mell._HVGYKCSSZ_Mérleg2020'!H145</f>
        <v>1000</v>
      </c>
      <c r="I145" s="16">
        <f>+'1.1.mell._ÖNK_Mérleg2020'!I145+'1.2.mell._HKÖH_Mérleg2020'!I145+'1.3.mell._HVÓBKI_Mérleg2020'!I145+'1.4.mell._HKK_Mérleg2020'!I145+'1.5._mell._MŐSZ_Mérleg2020'!I145+'1.6._mell._HVGYKCSSZ_Mérleg2020'!I145</f>
        <v>0</v>
      </c>
      <c r="K145" s="4">
        <f t="shared" si="110"/>
        <v>0</v>
      </c>
      <c r="L145" s="13"/>
    </row>
    <row r="146" spans="1:12">
      <c r="A146" s="78" t="s">
        <v>920</v>
      </c>
      <c r="B146" s="68" t="s">
        <v>926</v>
      </c>
      <c r="C146" s="403">
        <f t="shared" ref="C146" si="111">+C147+C148</f>
        <v>2647925</v>
      </c>
      <c r="D146" s="1175">
        <f t="shared" ref="D146" si="112">+D147+D148</f>
        <v>3114288</v>
      </c>
      <c r="E146" s="1175">
        <f t="shared" ref="E146" si="113">+E147+E148</f>
        <v>-34740</v>
      </c>
      <c r="F146" s="23">
        <f t="shared" ref="F146" si="114">+F147+F148</f>
        <v>3079548</v>
      </c>
      <c r="G146" s="21">
        <f t="shared" ref="G146:I146" si="115">+G147+G148</f>
        <v>3079548</v>
      </c>
      <c r="H146" s="22">
        <f t="shared" si="115"/>
        <v>0</v>
      </c>
      <c r="I146" s="23">
        <f t="shared" si="115"/>
        <v>0</v>
      </c>
      <c r="K146" s="4">
        <f t="shared" si="110"/>
        <v>0</v>
      </c>
      <c r="L146" s="13"/>
    </row>
    <row r="147" spans="1:12" s="13" customFormat="1">
      <c r="A147" s="89" t="s">
        <v>921</v>
      </c>
      <c r="B147" s="74" t="s">
        <v>927</v>
      </c>
      <c r="C147" s="401">
        <f>+'1.1.mell._ÖNK_Mérleg2020'!C147+'1.2.mell._HKÖH_Mérleg2020'!C147+'1.3.mell._HVÓBKI_Mérleg2020'!C147+'1.4.mell._HKK_Mérleg2020'!C147+'1.5._mell._MŐSZ_Mérleg2020'!C147+'1.6._mell._HVGYKCSSZ_Mérleg2020'!C147</f>
        <v>15000</v>
      </c>
      <c r="D147" s="1176">
        <f>+'1.1.mell._ÖNK_Mérleg2020'!D147+'1.2.mell._HKÖH_Mérleg2020'!D147+'1.3.mell._HVÓBKI_Mérleg2020'!D147+'1.4.mell._HKK_Mérleg2020'!D147+'1.5._mell._MŐSZ_Mérleg2020'!D147+'1.6._mell._HVGYKCSSZ_Mérleg2020'!D147</f>
        <v>7901</v>
      </c>
      <c r="E147" s="1176">
        <f>+'1.1.mell._ÖNK_Mérleg2020'!E147+'1.2.mell._HKÖH_Mérleg2020'!E147+'1.3.mell._HVÓBKI_Mérleg2020'!E147+'1.4.mell._HKK_Mérleg2020'!E147+'1.5._mell._MŐSZ_Mérleg2020'!E147+'1.6._mell._HVGYKCSSZ_Mérleg2020'!E147</f>
        <v>-5203</v>
      </c>
      <c r="F147" s="44">
        <f>+'1.1.mell._ÖNK_Mérleg2020'!F147+'1.2.mell._HKÖH_Mérleg2020'!F147+'1.3.mell._HVÓBKI_Mérleg2020'!F147+'1.4.mell._HKK_Mérleg2020'!F147+'1.5._mell._MŐSZ_Mérleg2020'!F147+'1.6._mell._HVGYKCSSZ_Mérleg2020'!F147</f>
        <v>2698</v>
      </c>
      <c r="G147" s="45">
        <f>+'1.1.mell._ÖNK_Mérleg2020'!G147+'1.2.mell._HKÖH_Mérleg2020'!G147+'1.3.mell._HVÓBKI_Mérleg2020'!G147+'1.4.mell._HKK_Mérleg2020'!G147+'1.5._mell._MŐSZ_Mérleg2020'!G147+'1.6._mell._HVGYKCSSZ_Mérleg2020'!G147</f>
        <v>2698</v>
      </c>
      <c r="H147" s="43">
        <f>+'1.1.mell._ÖNK_Mérleg2020'!H147+'1.2.mell._HKÖH_Mérleg2020'!H147+'1.3.mell._HVÓBKI_Mérleg2020'!H147+'1.4.mell._HKK_Mérleg2020'!H147+'1.5._mell._MŐSZ_Mérleg2020'!H147+'1.6._mell._HVGYKCSSZ_Mérleg2020'!H147</f>
        <v>0</v>
      </c>
      <c r="I147" s="44">
        <f>+'1.1.mell._ÖNK_Mérleg2020'!I147+'1.2.mell._HKÖH_Mérleg2020'!I147+'1.3.mell._HVÓBKI_Mérleg2020'!I147+'1.4.mell._HKK_Mérleg2020'!I147+'1.5._mell._MŐSZ_Mérleg2020'!I147+'1.6._mell._HVGYKCSSZ_Mérleg2020'!I147</f>
        <v>0</v>
      </c>
      <c r="K147" s="13">
        <f t="shared" si="110"/>
        <v>0</v>
      </c>
      <c r="L147" s="3"/>
    </row>
    <row r="148" spans="1:12" s="13" customFormat="1" ht="12.75" thickBot="1">
      <c r="A148" s="89" t="s">
        <v>922</v>
      </c>
      <c r="B148" s="74" t="s">
        <v>928</v>
      </c>
      <c r="C148" s="401">
        <f>+'1.1.mell._ÖNK_Mérleg2020'!C148+'1.2.mell._HKÖH_Mérleg2020'!C148+'1.3.mell._HVÓBKI_Mérleg2020'!C148+'1.4.mell._HKK_Mérleg2020'!C148+'1.5._mell._MŐSZ_Mérleg2020'!C148+'1.6._mell._HVGYKCSSZ_Mérleg2020'!C148</f>
        <v>2632925</v>
      </c>
      <c r="D148" s="1176">
        <f>+'1.1.mell._ÖNK_Mérleg2020'!D148+'1.2.mell._HKÖH_Mérleg2020'!D148+'1.3.mell._HVÓBKI_Mérleg2020'!D148+'1.4.mell._HKK_Mérleg2020'!D148+'1.5._mell._MŐSZ_Mérleg2020'!D148+'1.6._mell._HVGYKCSSZ_Mérleg2020'!D148</f>
        <v>3106387</v>
      </c>
      <c r="E148" s="1176">
        <f>+'1.1.mell._ÖNK_Mérleg2020'!E148+'1.2.mell._HKÖH_Mérleg2020'!E148+'1.3.mell._HVÓBKI_Mérleg2020'!E148+'1.4.mell._HKK_Mérleg2020'!E148+'1.5._mell._MŐSZ_Mérleg2020'!E148+'1.6._mell._HVGYKCSSZ_Mérleg2020'!E148</f>
        <v>-29537</v>
      </c>
      <c r="F148" s="44">
        <f>+'1.1.mell._ÖNK_Mérleg2020'!F148+'1.2.mell._HKÖH_Mérleg2020'!F148+'1.3.mell._HVÓBKI_Mérleg2020'!F148+'1.4.mell._HKK_Mérleg2020'!F148+'1.5._mell._MŐSZ_Mérleg2020'!F148+'1.6._mell._HVGYKCSSZ_Mérleg2020'!F148</f>
        <v>3076850</v>
      </c>
      <c r="G148" s="45">
        <f>+'1.1.mell._ÖNK_Mérleg2020'!G148+'1.2.mell._HKÖH_Mérleg2020'!G148+'1.3.mell._HVÓBKI_Mérleg2020'!G148+'1.4.mell._HKK_Mérleg2020'!G148+'1.5._mell._MŐSZ_Mérleg2020'!G148+'1.6._mell._HVGYKCSSZ_Mérleg2020'!G148</f>
        <v>3076850</v>
      </c>
      <c r="H148" s="43">
        <f>+'1.1.mell._ÖNK_Mérleg2020'!H148+'1.2.mell._HKÖH_Mérleg2020'!H148+'1.3.mell._HVÓBKI_Mérleg2020'!H148+'1.4.mell._HKK_Mérleg2020'!H148+'1.5._mell._MŐSZ_Mérleg2020'!H148+'1.6._mell._HVGYKCSSZ_Mérleg2020'!H148</f>
        <v>0</v>
      </c>
      <c r="I148" s="44">
        <f>+'1.1.mell._ÖNK_Mérleg2020'!I148+'1.2.mell._HKÖH_Mérleg2020'!I148+'1.3.mell._HVÓBKI_Mérleg2020'!I148+'1.4.mell._HKK_Mérleg2020'!I148+'1.5._mell._MŐSZ_Mérleg2020'!I148+'1.6._mell._HVGYKCSSZ_Mérleg2020'!I148</f>
        <v>0</v>
      </c>
      <c r="K148" s="13">
        <f t="shared" si="110"/>
        <v>0</v>
      </c>
      <c r="L148" s="3"/>
    </row>
    <row r="149" spans="1:12" s="3" customFormat="1" ht="12.75" thickBot="1">
      <c r="A149" s="83" t="s">
        <v>14</v>
      </c>
      <c r="B149" s="69" t="s">
        <v>310</v>
      </c>
      <c r="C149" s="129">
        <f t="shared" ref="C149" si="116">+C150+C159+C165</f>
        <v>503980</v>
      </c>
      <c r="D149" s="1171">
        <f t="shared" ref="D149" si="117">+D150+D159+D165</f>
        <v>524980</v>
      </c>
      <c r="E149" s="1171">
        <f t="shared" ref="E149" si="118">+E150+E159+E165</f>
        <v>35700</v>
      </c>
      <c r="F149" s="29">
        <f t="shared" ref="F149" si="119">+F150+F159+F165</f>
        <v>560680</v>
      </c>
      <c r="G149" s="27">
        <f t="shared" ref="G149:I149" si="120">+G150+G159+G165</f>
        <v>215430</v>
      </c>
      <c r="H149" s="28">
        <f t="shared" si="120"/>
        <v>345250</v>
      </c>
      <c r="I149" s="29">
        <f t="shared" si="120"/>
        <v>0</v>
      </c>
      <c r="J149" s="689">
        <f>+F149/$F$208</f>
        <v>0.10779529890374404</v>
      </c>
      <c r="K149" s="3">
        <f t="shared" si="110"/>
        <v>0</v>
      </c>
      <c r="L149" s="36"/>
    </row>
    <row r="150" spans="1:12" s="3" customFormat="1" ht="12.75" thickBot="1">
      <c r="A150" s="83" t="s">
        <v>13</v>
      </c>
      <c r="B150" s="64" t="s">
        <v>311</v>
      </c>
      <c r="C150" s="129">
        <f t="shared" ref="C150:F150" si="121">+C152+C153+C154+C155+C156+C157+C158</f>
        <v>436722</v>
      </c>
      <c r="D150" s="1171">
        <f t="shared" si="121"/>
        <v>463722</v>
      </c>
      <c r="E150" s="1171">
        <f t="shared" si="121"/>
        <v>16538</v>
      </c>
      <c r="F150" s="29">
        <f t="shared" si="121"/>
        <v>480260</v>
      </c>
      <c r="G150" s="27">
        <f t="shared" ref="G150:I150" si="122">+G152+G153+G154+G155+G156+G157+G158</f>
        <v>135010</v>
      </c>
      <c r="H150" s="28">
        <f t="shared" si="122"/>
        <v>345250</v>
      </c>
      <c r="I150" s="29">
        <f t="shared" si="122"/>
        <v>0</v>
      </c>
      <c r="J150" s="689">
        <f>+F150/$F$208</f>
        <v>9.233389857229099E-2</v>
      </c>
      <c r="K150" s="3">
        <f t="shared" si="110"/>
        <v>0</v>
      </c>
      <c r="L150" s="4"/>
    </row>
    <row r="151" spans="1:12" s="36" customFormat="1">
      <c r="A151" s="788" t="s">
        <v>930</v>
      </c>
      <c r="B151" s="789" t="s">
        <v>341</v>
      </c>
      <c r="C151" s="1183">
        <f>+'1.1.mell._ÖNK_Mérleg2020'!C151+'1.2.mell._HKÖH_Mérleg2020'!C151+'1.3.mell._HVÓBKI_Mérleg2020'!C151+'1.4.mell._HKK_Mérleg2020'!C151+'1.5._mell._MŐSZ_Mérleg2020'!C151+'1.6._mell._HVGYKCSSZ_Mérleg2020'!C151</f>
        <v>0</v>
      </c>
      <c r="D151" s="1184">
        <f>+'1.1.mell._ÖNK_Mérleg2020'!D151+'1.2.mell._HKÖH_Mérleg2020'!D151+'1.3.mell._HVÓBKI_Mérleg2020'!D151+'1.4.mell._HKK_Mérleg2020'!D151+'1.5._mell._MŐSZ_Mérleg2020'!D151+'1.6._mell._HVGYKCSSZ_Mérleg2020'!D151</f>
        <v>0</v>
      </c>
      <c r="E151" s="1184">
        <f>+'1.1.mell._ÖNK_Mérleg2020'!E151+'1.2.mell._HKÖH_Mérleg2020'!E151+'1.3.mell._HVÓBKI_Mérleg2020'!E151+'1.4.mell._HKK_Mérleg2020'!E151+'1.5._mell._MŐSZ_Mérleg2020'!E151+'1.6._mell._HVGYKCSSZ_Mérleg2020'!E151</f>
        <v>0</v>
      </c>
      <c r="F151" s="98">
        <f>+'1.1.mell._ÖNK_Mérleg2020'!F151+'1.2.mell._HKÖH_Mérleg2020'!F151+'1.3.mell._HVÓBKI_Mérleg2020'!F151+'1.4.mell._HKK_Mérleg2020'!F151+'1.5._mell._MŐSZ_Mérleg2020'!F151+'1.6._mell._HVGYKCSSZ_Mérleg2020'!F151</f>
        <v>0</v>
      </c>
      <c r="G151" s="96">
        <f>+'1.1.mell._ÖNK_Mérleg2020'!G151+'1.2.mell._HKÖH_Mérleg2020'!G151+'1.3.mell._HVÓBKI_Mérleg2020'!G151+'1.4.mell._HKK_Mérleg2020'!G151+'1.5._mell._MŐSZ_Mérleg2020'!G151+'1.6._mell._HVGYKCSSZ_Mérleg2020'!G151</f>
        <v>0</v>
      </c>
      <c r="H151" s="97">
        <f>+'1.1.mell._ÖNK_Mérleg2020'!H151+'1.2.mell._HKÖH_Mérleg2020'!H151+'1.3.mell._HVÓBKI_Mérleg2020'!H151+'1.4.mell._HKK_Mérleg2020'!H151+'1.5._mell._MŐSZ_Mérleg2020'!H151+'1.6._mell._HVGYKCSSZ_Mérleg2020'!H151</f>
        <v>0</v>
      </c>
      <c r="I151" s="98">
        <f>+'1.1.mell._ÖNK_Mérleg2020'!I151+'1.2.mell._HKÖH_Mérleg2020'!I151+'1.3.mell._HVÓBKI_Mérleg2020'!I151+'1.4.mell._HKK_Mérleg2020'!I151+'1.5._mell._MŐSZ_Mérleg2020'!I151+'1.6._mell._HVGYKCSSZ_Mérleg2020'!I151</f>
        <v>0</v>
      </c>
      <c r="K151" s="36">
        <f t="shared" si="110"/>
        <v>0</v>
      </c>
      <c r="L151" s="4"/>
    </row>
    <row r="152" spans="1:12">
      <c r="A152" s="84" t="s">
        <v>66</v>
      </c>
      <c r="B152" s="65" t="s">
        <v>151</v>
      </c>
      <c r="C152" s="404">
        <f>+'1.1.mell._ÖNK_Mérleg2020'!C152+'1.2.mell._HKÖH_Mérleg2020'!C152+'1.3.mell._HVÓBKI_Mérleg2020'!C152+'1.4.mell._HKK_Mérleg2020'!C152+'1.5._mell._MŐSZ_Mérleg2020'!C152+'1.6._mell._HVGYKCSSZ_Mérleg2020'!C152</f>
        <v>11811</v>
      </c>
      <c r="D152" s="1172">
        <f>+'1.1.mell._ÖNK_Mérleg2020'!D152+'1.2.mell._HKÖH_Mérleg2020'!D152+'1.3.mell._HVÓBKI_Mérleg2020'!D152+'1.4.mell._HKK_Mérleg2020'!D152+'1.5._mell._MŐSZ_Mérleg2020'!D152+'1.6._mell._HVGYKCSSZ_Mérleg2020'!D152</f>
        <v>30811</v>
      </c>
      <c r="E152" s="1172">
        <f>+'1.1.mell._ÖNK_Mérleg2020'!E152+'1.2.mell._HKÖH_Mérleg2020'!E152+'1.3.mell._HVÓBKI_Mérleg2020'!E152+'1.4.mell._HKK_Mérleg2020'!E152+'1.5._mell._MŐSZ_Mérleg2020'!E152+'1.6._mell._HVGYKCSSZ_Mérleg2020'!E152</f>
        <v>0</v>
      </c>
      <c r="F152" s="35">
        <f>+'1.1.mell._ÖNK_Mérleg2020'!F152+'1.2.mell._HKÖH_Mérleg2020'!F152+'1.3.mell._HVÓBKI_Mérleg2020'!F152+'1.4.mell._HKK_Mérleg2020'!F152+'1.5._mell._MŐSZ_Mérleg2020'!F152+'1.6._mell._HVGYKCSSZ_Mérleg2020'!F152</f>
        <v>30811</v>
      </c>
      <c r="G152" s="34">
        <f>+'1.1.mell._ÖNK_Mérleg2020'!G152+'1.2.mell._HKÖH_Mérleg2020'!G152+'1.3.mell._HVÓBKI_Mérleg2020'!G152+'1.4.mell._HKK_Mérleg2020'!G152+'1.5._mell._MŐSZ_Mérleg2020'!G152+'1.6._mell._HVGYKCSSZ_Mérleg2020'!G152</f>
        <v>30811</v>
      </c>
      <c r="H152" s="10">
        <f>+'1.1.mell._ÖNK_Mérleg2020'!H152+'1.2.mell._HKÖH_Mérleg2020'!H152+'1.3.mell._HVÓBKI_Mérleg2020'!H152+'1.4.mell._HKK_Mérleg2020'!H152+'1.5._mell._MŐSZ_Mérleg2020'!H152+'1.6._mell._HVGYKCSSZ_Mérleg2020'!H152</f>
        <v>0</v>
      </c>
      <c r="I152" s="35">
        <f>+'1.1.mell._ÖNK_Mérleg2020'!I152+'1.2.mell._HKÖH_Mérleg2020'!I152+'1.3.mell._HVÓBKI_Mérleg2020'!I152+'1.4.mell._HKK_Mérleg2020'!I152+'1.5._mell._MŐSZ_Mérleg2020'!I152+'1.6._mell._HVGYKCSSZ_Mérleg2020'!I152</f>
        <v>0</v>
      </c>
      <c r="K152" s="4">
        <f t="shared" si="110"/>
        <v>0</v>
      </c>
    </row>
    <row r="153" spans="1:12">
      <c r="A153" s="85" t="s">
        <v>67</v>
      </c>
      <c r="B153" s="67" t="s">
        <v>152</v>
      </c>
      <c r="C153" s="402">
        <f>+'1.1.mell._ÖNK_Mérleg2020'!C153+'1.2.mell._HKÖH_Mérleg2020'!C153+'1.3.mell._HVÓBKI_Mérleg2020'!C153+'1.4.mell._HKK_Mérleg2020'!C153+'1.5._mell._MŐSZ_Mérleg2020'!C153+'1.6._mell._HVGYKCSSZ_Mérleg2020'!C153</f>
        <v>328543</v>
      </c>
      <c r="D153" s="1174">
        <f>+'1.1.mell._ÖNK_Mérleg2020'!D153+'1.2.mell._HKÖH_Mérleg2020'!D153+'1.3.mell._HVÓBKI_Mérleg2020'!D153+'1.4.mell._HKK_Mérleg2020'!D153+'1.5._mell._MŐSZ_Mérleg2020'!D153+'1.6._mell._HVGYKCSSZ_Mérleg2020'!D153</f>
        <v>333043</v>
      </c>
      <c r="E153" s="1174">
        <f>+'1.1.mell._ÖNK_Mérleg2020'!E153+'1.2.mell._HKÖH_Mérleg2020'!E153+'1.3.mell._HVÓBKI_Mérleg2020'!E153+'1.4.mell._HKK_Mérleg2020'!E153+'1.5._mell._MŐSZ_Mérleg2020'!E153+'1.6._mell._HVGYKCSSZ_Mérleg2020'!E153</f>
        <v>3940</v>
      </c>
      <c r="F153" s="16">
        <f>+'1.1.mell._ÖNK_Mérleg2020'!F153+'1.2.mell._HKÖH_Mérleg2020'!F153+'1.3.mell._HVÓBKI_Mérleg2020'!F153+'1.4.mell._HKK_Mérleg2020'!F153+'1.5._mell._MŐSZ_Mérleg2020'!F153+'1.6._mell._HVGYKCSSZ_Mérleg2020'!F153</f>
        <v>336983</v>
      </c>
      <c r="G153" s="20">
        <f>+'1.1.mell._ÖNK_Mérleg2020'!G153+'1.2.mell._HKÖH_Mérleg2020'!G153+'1.3.mell._HVÓBKI_Mérleg2020'!G153+'1.4.mell._HKK_Mérleg2020'!G153+'1.5._mell._MŐSZ_Mérleg2020'!G153+'1.6._mell._HVGYKCSSZ_Mérleg2020'!G153</f>
        <v>65133</v>
      </c>
      <c r="H153" s="11">
        <f>+'1.1.mell._ÖNK_Mérleg2020'!H153+'1.2.mell._HKÖH_Mérleg2020'!H153+'1.3.mell._HVÓBKI_Mérleg2020'!H153+'1.4.mell._HKK_Mérleg2020'!H153+'1.5._mell._MŐSZ_Mérleg2020'!H153+'1.6._mell._HVGYKCSSZ_Mérleg2020'!H153</f>
        <v>271850</v>
      </c>
      <c r="I153" s="16">
        <f>+'1.1.mell._ÖNK_Mérleg2020'!I153+'1.2.mell._HKÖH_Mérleg2020'!I153+'1.3.mell._HVÓBKI_Mérleg2020'!I153+'1.4.mell._HKK_Mérleg2020'!I153+'1.5._mell._MŐSZ_Mérleg2020'!I153+'1.6._mell._HVGYKCSSZ_Mérleg2020'!I153</f>
        <v>0</v>
      </c>
      <c r="K153" s="4">
        <f t="shared" si="110"/>
        <v>0</v>
      </c>
    </row>
    <row r="154" spans="1:12">
      <c r="A154" s="85" t="s">
        <v>68</v>
      </c>
      <c r="B154" s="67" t="s">
        <v>153</v>
      </c>
      <c r="C154" s="402">
        <f>+'1.1.mell._ÖNK_Mérleg2020'!C154+'1.2.mell._HKÖH_Mérleg2020'!C154+'1.3.mell._HVÓBKI_Mérleg2020'!C154+'1.4.mell._HKK_Mérleg2020'!C154+'1.5._mell._MŐSZ_Mérleg2020'!C154+'1.6._mell._HVGYKCSSZ_Mérleg2020'!C154</f>
        <v>3700</v>
      </c>
      <c r="D154" s="1174">
        <f>+'1.1.mell._ÖNK_Mérleg2020'!D154+'1.2.mell._HKÖH_Mérleg2020'!D154+'1.3.mell._HVÓBKI_Mérleg2020'!D154+'1.4.mell._HKK_Mérleg2020'!D154+'1.5._mell._MŐSZ_Mérleg2020'!D154+'1.6._mell._HVGYKCSSZ_Mérleg2020'!D154</f>
        <v>3700</v>
      </c>
      <c r="E154" s="1174">
        <f>+'1.1.mell._ÖNK_Mérleg2020'!E154+'1.2.mell._HKÖH_Mérleg2020'!E154+'1.3.mell._HVÓBKI_Mérleg2020'!E154+'1.4.mell._HKK_Mérleg2020'!E154+'1.5._mell._MŐSZ_Mérleg2020'!E154+'1.6._mell._HVGYKCSSZ_Mérleg2020'!E154</f>
        <v>0</v>
      </c>
      <c r="F154" s="16">
        <f>+'1.1.mell._ÖNK_Mérleg2020'!F154+'1.2.mell._HKÖH_Mérleg2020'!F154+'1.3.mell._HVÓBKI_Mérleg2020'!F154+'1.4.mell._HKK_Mérleg2020'!F154+'1.5._mell._MŐSZ_Mérleg2020'!F154+'1.6._mell._HVGYKCSSZ_Mérleg2020'!F154</f>
        <v>3700</v>
      </c>
      <c r="G154" s="20">
        <f>+'1.1.mell._ÖNK_Mérleg2020'!G154+'1.2.mell._HKÖH_Mérleg2020'!G154+'1.3.mell._HVÓBKI_Mérleg2020'!G154+'1.4.mell._HKK_Mérleg2020'!G154+'1.5._mell._MŐSZ_Mérleg2020'!G154+'1.6._mell._HVGYKCSSZ_Mérleg2020'!G154</f>
        <v>3700</v>
      </c>
      <c r="H154" s="11">
        <f>+'1.1.mell._ÖNK_Mérleg2020'!H154+'1.2.mell._HKÖH_Mérleg2020'!H154+'1.3.mell._HVÓBKI_Mérleg2020'!H154+'1.4.mell._HKK_Mérleg2020'!H154+'1.5._mell._MŐSZ_Mérleg2020'!H154+'1.6._mell._HVGYKCSSZ_Mérleg2020'!H154</f>
        <v>0</v>
      </c>
      <c r="I154" s="16">
        <f>+'1.1.mell._ÖNK_Mérleg2020'!I154+'1.2.mell._HKÖH_Mérleg2020'!I154+'1.3.mell._HVÓBKI_Mérleg2020'!I154+'1.4.mell._HKK_Mérleg2020'!I154+'1.5._mell._MŐSZ_Mérleg2020'!I154+'1.6._mell._HVGYKCSSZ_Mérleg2020'!I154</f>
        <v>0</v>
      </c>
      <c r="K154" s="4">
        <f t="shared" si="110"/>
        <v>0</v>
      </c>
    </row>
    <row r="155" spans="1:12">
      <c r="A155" s="85" t="s">
        <v>229</v>
      </c>
      <c r="B155" s="67" t="s">
        <v>154</v>
      </c>
      <c r="C155" s="402">
        <f>+'1.1.mell._ÖNK_Mérleg2020'!C155+'1.2.mell._HKÖH_Mérleg2020'!C155+'1.3.mell._HVÓBKI_Mérleg2020'!C155+'1.4.mell._HKK_Mérleg2020'!C155+'1.5._mell._MŐSZ_Mérleg2020'!C155+'1.6._mell._HVGYKCSSZ_Mérleg2020'!C155</f>
        <v>10449</v>
      </c>
      <c r="D155" s="1174">
        <f>+'1.1.mell._ÖNK_Mérleg2020'!D155+'1.2.mell._HKÖH_Mérleg2020'!D155+'1.3.mell._HVÓBKI_Mérleg2020'!D155+'1.4.mell._HKK_Mérleg2020'!D155+'1.5._mell._MŐSZ_Mérleg2020'!D155+'1.6._mell._HVGYKCSSZ_Mérleg2020'!D155</f>
        <v>8481</v>
      </c>
      <c r="E155" s="1174">
        <f>+'1.1.mell._ÖNK_Mérleg2020'!E155+'1.2.mell._HKÖH_Mérleg2020'!E155+'1.3.mell._HVÓBKI_Mérleg2020'!E155+'1.4.mell._HKK_Mérleg2020'!E155+'1.5._mell._MŐSZ_Mérleg2020'!E155+'1.6._mell._HVGYKCSSZ_Mérleg2020'!E155</f>
        <v>9920</v>
      </c>
      <c r="F155" s="16">
        <f>+'1.1.mell._ÖNK_Mérleg2020'!F155+'1.2.mell._HKÖH_Mérleg2020'!F155+'1.3.mell._HVÓBKI_Mérleg2020'!F155+'1.4.mell._HKK_Mérleg2020'!F155+'1.5._mell._MŐSZ_Mérleg2020'!F155+'1.6._mell._HVGYKCSSZ_Mérleg2020'!F155</f>
        <v>18401</v>
      </c>
      <c r="G155" s="20">
        <f>+'1.1.mell._ÖNK_Mérleg2020'!G155+'1.2.mell._HKÖH_Mérleg2020'!G155+'1.3.mell._HVÓBKI_Mérleg2020'!G155+'1.4.mell._HKK_Mérleg2020'!G155+'1.5._mell._MŐSZ_Mérleg2020'!G155+'1.6._mell._HVGYKCSSZ_Mérleg2020'!G155</f>
        <v>18401</v>
      </c>
      <c r="H155" s="11">
        <f>+'1.1.mell._ÖNK_Mérleg2020'!H155+'1.2.mell._HKÖH_Mérleg2020'!H155+'1.3.mell._HVÓBKI_Mérleg2020'!H155+'1.4.mell._HKK_Mérleg2020'!H155+'1.5._mell._MŐSZ_Mérleg2020'!H155+'1.6._mell._HVGYKCSSZ_Mérleg2020'!H155</f>
        <v>0</v>
      </c>
      <c r="I155" s="16">
        <f>+'1.1.mell._ÖNK_Mérleg2020'!I155+'1.2.mell._HKÖH_Mérleg2020'!I155+'1.3.mell._HVÓBKI_Mérleg2020'!I155+'1.4.mell._HKK_Mérleg2020'!I155+'1.5._mell._MŐSZ_Mérleg2020'!I155+'1.6._mell._HVGYKCSSZ_Mérleg2020'!I155</f>
        <v>0</v>
      </c>
      <c r="K155" s="4">
        <f t="shared" si="110"/>
        <v>0</v>
      </c>
    </row>
    <row r="156" spans="1:12">
      <c r="A156" s="85" t="s">
        <v>230</v>
      </c>
      <c r="B156" s="67" t="s">
        <v>155</v>
      </c>
      <c r="C156" s="402">
        <f>+'1.1.mell._ÖNK_Mérleg2020'!C156+'1.2.mell._HKÖH_Mérleg2020'!C156+'1.3.mell._HVÓBKI_Mérleg2020'!C156+'1.4.mell._HKK_Mérleg2020'!C156+'1.5._mell._MŐSZ_Mérleg2020'!C156+'1.6._mell._HVGYKCSSZ_Mérleg2020'!C156</f>
        <v>0</v>
      </c>
      <c r="D156" s="1174">
        <f>+'1.1.mell._ÖNK_Mérleg2020'!D156+'1.2.mell._HKÖH_Mérleg2020'!D156+'1.3.mell._HVÓBKI_Mérleg2020'!D156+'1.4.mell._HKK_Mérleg2020'!D156+'1.5._mell._MŐSZ_Mérleg2020'!D156+'1.6._mell._HVGYKCSSZ_Mérleg2020'!D156</f>
        <v>6000</v>
      </c>
      <c r="E156" s="1174">
        <f>+'1.1.mell._ÖNK_Mérleg2020'!E156+'1.2.mell._HKÖH_Mérleg2020'!E156+'1.3.mell._HVÓBKI_Mérleg2020'!E156+'1.4.mell._HKK_Mérleg2020'!E156+'1.5._mell._MŐSZ_Mérleg2020'!E156+'1.6._mell._HVGYKCSSZ_Mérleg2020'!E156</f>
        <v>0</v>
      </c>
      <c r="F156" s="16">
        <f>+'1.1.mell._ÖNK_Mérleg2020'!F156+'1.2.mell._HKÖH_Mérleg2020'!F156+'1.3.mell._HVÓBKI_Mérleg2020'!F156+'1.4.mell._HKK_Mérleg2020'!F156+'1.5._mell._MŐSZ_Mérleg2020'!F156+'1.6._mell._HVGYKCSSZ_Mérleg2020'!F156</f>
        <v>6000</v>
      </c>
      <c r="G156" s="20">
        <f>+'1.1.mell._ÖNK_Mérleg2020'!G156+'1.2.mell._HKÖH_Mérleg2020'!G156+'1.3.mell._HVÓBKI_Mérleg2020'!G156+'1.4.mell._HKK_Mérleg2020'!G156+'1.5._mell._MŐSZ_Mérleg2020'!G156+'1.6._mell._HVGYKCSSZ_Mérleg2020'!G156</f>
        <v>6000</v>
      </c>
      <c r="H156" s="11">
        <f>+'1.1.mell._ÖNK_Mérleg2020'!H156+'1.2.mell._HKÖH_Mérleg2020'!H156+'1.3.mell._HVÓBKI_Mérleg2020'!H156+'1.4.mell._HKK_Mérleg2020'!H156+'1.5._mell._MŐSZ_Mérleg2020'!H156+'1.6._mell._HVGYKCSSZ_Mérleg2020'!H156</f>
        <v>0</v>
      </c>
      <c r="I156" s="16">
        <f>+'1.1.mell._ÖNK_Mérleg2020'!I156+'1.2.mell._HKÖH_Mérleg2020'!I156+'1.3.mell._HVÓBKI_Mérleg2020'!I156+'1.4.mell._HKK_Mérleg2020'!I156+'1.5._mell._MŐSZ_Mérleg2020'!I156+'1.6._mell._HVGYKCSSZ_Mérleg2020'!I156</f>
        <v>0</v>
      </c>
      <c r="K156" s="4">
        <f t="shared" si="110"/>
        <v>0</v>
      </c>
    </row>
    <row r="157" spans="1:12">
      <c r="A157" s="85" t="s">
        <v>268</v>
      </c>
      <c r="B157" s="67" t="s">
        <v>156</v>
      </c>
      <c r="C157" s="402">
        <f>+'1.1.mell._ÖNK_Mérleg2020'!C157+'1.2.mell._HKÖH_Mérleg2020'!C157+'1.3.mell._HVÓBKI_Mérleg2020'!C157+'1.4.mell._HKK_Mérleg2020'!C157+'1.5._mell._MŐSZ_Mérleg2020'!C157+'1.6._mell._HVGYKCSSZ_Mérleg2020'!C157</f>
        <v>0</v>
      </c>
      <c r="D157" s="1174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174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6">
        <f>+'1.1.mell._ÖNK_Mérleg2020'!F157+'1.2.mell._HKÖH_Mérleg2020'!F157+'1.3.mell._HVÓBKI_Mérleg2020'!F157+'1.4.mell._HKK_Mérleg2020'!F157+'1.5._mell._MŐSZ_Mérleg2020'!F157+'1.6._mell._HVGYKCSSZ_Mérleg2020'!F157</f>
        <v>0</v>
      </c>
      <c r="G157" s="20">
        <f>+'1.1.mell._ÖNK_Mérleg2020'!G157+'1.2.mell._HKÖH_Mérleg2020'!G157+'1.3.mell._HVÓBKI_Mérleg2020'!G157+'1.4.mell._HKK_Mérleg2020'!G157+'1.5._mell._MŐSZ_Mérleg2020'!G157+'1.6._mell._HVGYKCSSZ_Mérleg2020'!G157</f>
        <v>0</v>
      </c>
      <c r="H157" s="11">
        <f>+'1.1.mell._ÖNK_Mérleg2020'!H157+'1.2.mell._HKÖH_Mérleg2020'!H157+'1.3.mell._HVÓBKI_Mérleg2020'!H157+'1.4.mell._HKK_Mérleg2020'!H157+'1.5._mell._MŐSZ_Mérleg2020'!H157+'1.6._mell._HVGYKCSSZ_Mérleg2020'!H157</f>
        <v>0</v>
      </c>
      <c r="I157" s="16">
        <f>+'1.1.mell._ÖNK_Mérleg2020'!I157+'1.2.mell._HKÖH_Mérleg2020'!I157+'1.3.mell._HVÓBKI_Mérleg2020'!I157+'1.4.mell._HKK_Mérleg2020'!I157+'1.5._mell._MŐSZ_Mérleg2020'!I157+'1.6._mell._HVGYKCSSZ_Mérleg2020'!I157</f>
        <v>0</v>
      </c>
      <c r="K157" s="4">
        <f t="shared" si="110"/>
        <v>0</v>
      </c>
      <c r="L157" s="3"/>
    </row>
    <row r="158" spans="1:12" ht="12.75" thickBot="1">
      <c r="A158" s="78" t="s">
        <v>269</v>
      </c>
      <c r="B158" s="68" t="s">
        <v>157</v>
      </c>
      <c r="C158" s="403">
        <f>+'1.1.mell._ÖNK_Mérleg2020'!C158+'1.2.mell._HKÖH_Mérleg2020'!C158+'1.3.mell._HVÓBKI_Mérleg2020'!C158+'1.4.mell._HKK_Mérleg2020'!C158+'1.5._mell._MŐSZ_Mérleg2020'!C158+'1.6._mell._HVGYKCSSZ_Mérleg2020'!C158</f>
        <v>82219</v>
      </c>
      <c r="D158" s="1175">
        <f>+'1.1.mell._ÖNK_Mérleg2020'!D158+'1.2.mell._HKÖH_Mérleg2020'!D158+'1.3.mell._HVÓBKI_Mérleg2020'!D158+'1.4.mell._HKK_Mérleg2020'!D158+'1.5._mell._MŐSZ_Mérleg2020'!D158+'1.6._mell._HVGYKCSSZ_Mérleg2020'!D158</f>
        <v>81687</v>
      </c>
      <c r="E158" s="1175">
        <f>+'1.1.mell._ÖNK_Mérleg2020'!E158+'1.2.mell._HKÖH_Mérleg2020'!E158+'1.3.mell._HVÓBKI_Mérleg2020'!E158+'1.4.mell._HKK_Mérleg2020'!E158+'1.5._mell._MŐSZ_Mérleg2020'!E158+'1.6._mell._HVGYKCSSZ_Mérleg2020'!E158</f>
        <v>2678</v>
      </c>
      <c r="F158" s="23">
        <f>+'1.1.mell._ÖNK_Mérleg2020'!F158+'1.2.mell._HKÖH_Mérleg2020'!F158+'1.3.mell._HVÓBKI_Mérleg2020'!F158+'1.4.mell._HKK_Mérleg2020'!F158+'1.5._mell._MŐSZ_Mérleg2020'!F158+'1.6._mell._HVGYKCSSZ_Mérleg2020'!F158</f>
        <v>84365</v>
      </c>
      <c r="G158" s="21">
        <f>+'1.1.mell._ÖNK_Mérleg2020'!G158+'1.2.mell._HKÖH_Mérleg2020'!G158+'1.3.mell._HVÓBKI_Mérleg2020'!G158+'1.4.mell._HKK_Mérleg2020'!G158+'1.5._mell._MŐSZ_Mérleg2020'!G158+'1.6._mell._HVGYKCSSZ_Mérleg2020'!G158</f>
        <v>10965</v>
      </c>
      <c r="H158" s="22">
        <f>+'1.1.mell._ÖNK_Mérleg2020'!H158+'1.2.mell._HKÖH_Mérleg2020'!H158+'1.3.mell._HVÓBKI_Mérleg2020'!H158+'1.4.mell._HKK_Mérleg2020'!H158+'1.5._mell._MŐSZ_Mérleg2020'!H158+'1.6._mell._HVGYKCSSZ_Mérleg2020'!H158</f>
        <v>73400</v>
      </c>
      <c r="I158" s="23">
        <f>+'1.1.mell._ÖNK_Mérleg2020'!I158+'1.2.mell._HKÖH_Mérleg2020'!I158+'1.3.mell._HVÓBKI_Mérleg2020'!I158+'1.4.mell._HKK_Mérleg2020'!I158+'1.5._mell._MŐSZ_Mérleg2020'!I158+'1.6._mell._HVGYKCSSZ_Mérleg2020'!I158</f>
        <v>0</v>
      </c>
      <c r="K158" s="4">
        <f t="shared" si="110"/>
        <v>0</v>
      </c>
      <c r="L158" s="36"/>
    </row>
    <row r="159" spans="1:12" s="3" customFormat="1" ht="12.75" thickBot="1">
      <c r="A159" s="83" t="s">
        <v>12</v>
      </c>
      <c r="B159" s="64" t="s">
        <v>312</v>
      </c>
      <c r="C159" s="129">
        <f t="shared" ref="C159:F159" si="123">+C161+C162+C163+C164</f>
        <v>67258</v>
      </c>
      <c r="D159" s="1171">
        <f t="shared" si="123"/>
        <v>61258</v>
      </c>
      <c r="E159" s="1171">
        <f t="shared" si="123"/>
        <v>0</v>
      </c>
      <c r="F159" s="29">
        <f t="shared" si="123"/>
        <v>61258</v>
      </c>
      <c r="G159" s="27">
        <f t="shared" ref="G159:I159" si="124">+G161+G162+G163+G164</f>
        <v>61258</v>
      </c>
      <c r="H159" s="28">
        <f t="shared" si="124"/>
        <v>0</v>
      </c>
      <c r="I159" s="29">
        <f t="shared" si="124"/>
        <v>0</v>
      </c>
      <c r="J159" s="689">
        <f>+F159/$F$208</f>
        <v>1.1777349682966313E-2</v>
      </c>
      <c r="K159" s="3">
        <f t="shared" si="110"/>
        <v>0</v>
      </c>
      <c r="L159" s="4"/>
    </row>
    <row r="160" spans="1:12" s="36" customFormat="1">
      <c r="A160" s="788" t="s">
        <v>343</v>
      </c>
      <c r="B160" s="789" t="s">
        <v>344</v>
      </c>
      <c r="C160" s="1183">
        <f>+'1.1.mell._ÖNK_Mérleg2020'!C160+'1.2.mell._HKÖH_Mérleg2020'!C160+'1.3.mell._HVÓBKI_Mérleg2020'!C160+'1.4.mell._HKK_Mérleg2020'!C160+'1.5._mell._MŐSZ_Mérleg2020'!C160+'1.6._mell._HVGYKCSSZ_Mérleg2020'!C160</f>
        <v>0</v>
      </c>
      <c r="D160" s="1184">
        <f>+'1.1.mell._ÖNK_Mérleg2020'!D160+'1.2.mell._HKÖH_Mérleg2020'!D160+'1.3.mell._HVÓBKI_Mérleg2020'!D160+'1.4.mell._HKK_Mérleg2020'!D160+'1.5._mell._MŐSZ_Mérleg2020'!D160+'1.6._mell._HVGYKCSSZ_Mérleg2020'!D160</f>
        <v>0</v>
      </c>
      <c r="E160" s="1184">
        <f>+'1.1.mell._ÖNK_Mérleg2020'!E160+'1.2.mell._HKÖH_Mérleg2020'!E160+'1.3.mell._HVÓBKI_Mérleg2020'!E160+'1.4.mell._HKK_Mérleg2020'!E160+'1.5._mell._MŐSZ_Mérleg2020'!E160+'1.6._mell._HVGYKCSSZ_Mérleg2020'!E160</f>
        <v>0</v>
      </c>
      <c r="F160" s="98">
        <f>+'1.1.mell._ÖNK_Mérleg2020'!F160+'1.2.mell._HKÖH_Mérleg2020'!F160+'1.3.mell._HVÓBKI_Mérleg2020'!F160+'1.4.mell._HKK_Mérleg2020'!F160+'1.5._mell._MŐSZ_Mérleg2020'!F160+'1.6._mell._HVGYKCSSZ_Mérleg2020'!F160</f>
        <v>0</v>
      </c>
      <c r="G160" s="96">
        <f>+'1.1.mell._ÖNK_Mérleg2020'!G160+'1.2.mell._HKÖH_Mérleg2020'!G160+'1.3.mell._HVÓBKI_Mérleg2020'!G160+'1.4.mell._HKK_Mérleg2020'!G160+'1.5._mell._MŐSZ_Mérleg2020'!G160+'1.6._mell._HVGYKCSSZ_Mérleg2020'!G160</f>
        <v>0</v>
      </c>
      <c r="H160" s="97">
        <f>+'1.1.mell._ÖNK_Mérleg2020'!H160+'1.2.mell._HKÖH_Mérleg2020'!H160+'1.3.mell._HVÓBKI_Mérleg2020'!H160+'1.4.mell._HKK_Mérleg2020'!H160+'1.5._mell._MŐSZ_Mérleg2020'!H160+'1.6._mell._HVGYKCSSZ_Mérleg2020'!H160</f>
        <v>0</v>
      </c>
      <c r="I160" s="98">
        <f>+'1.1.mell._ÖNK_Mérleg2020'!I160+'1.2.mell._HKÖH_Mérleg2020'!I160+'1.3.mell._HVÓBKI_Mérleg2020'!I160+'1.4.mell._HKK_Mérleg2020'!I160+'1.5._mell._MŐSZ_Mérleg2020'!I160+'1.6._mell._HVGYKCSSZ_Mérleg2020'!I160</f>
        <v>0</v>
      </c>
      <c r="K160" s="36">
        <f t="shared" si="110"/>
        <v>0</v>
      </c>
      <c r="L160" s="4"/>
    </row>
    <row r="161" spans="1:12">
      <c r="A161" s="84" t="s">
        <v>69</v>
      </c>
      <c r="B161" s="65" t="s">
        <v>158</v>
      </c>
      <c r="C161" s="404">
        <f>+'1.1.mell._ÖNK_Mérleg2020'!C161+'1.2.mell._HKÖH_Mérleg2020'!C161+'1.3.mell._HVÓBKI_Mérleg2020'!C161+'1.4.mell._HKK_Mérleg2020'!C161+'1.5._mell._MŐSZ_Mérleg2020'!C161+'1.6._mell._HVGYKCSSZ_Mérleg2020'!C161</f>
        <v>52959</v>
      </c>
      <c r="D161" s="1172">
        <f>+'1.1.mell._ÖNK_Mérleg2020'!D161+'1.2.mell._HKÖH_Mérleg2020'!D161+'1.3.mell._HVÓBKI_Mérleg2020'!D161+'1.4.mell._HKK_Mérleg2020'!D161+'1.5._mell._MŐSZ_Mérleg2020'!D161+'1.6._mell._HVGYKCSSZ_Mérleg2020'!D161</f>
        <v>48235</v>
      </c>
      <c r="E161" s="1172">
        <f>+'1.1.mell._ÖNK_Mérleg2020'!E161+'1.2.mell._HKÖH_Mérleg2020'!E161+'1.3.mell._HVÓBKI_Mérleg2020'!E161+'1.4.mell._HKK_Mérleg2020'!E161+'1.5._mell._MŐSZ_Mérleg2020'!E161+'1.6._mell._HVGYKCSSZ_Mérleg2020'!E161</f>
        <v>0</v>
      </c>
      <c r="F161" s="35">
        <f>+'1.1.mell._ÖNK_Mérleg2020'!F161+'1.2.mell._HKÖH_Mérleg2020'!F161+'1.3.mell._HVÓBKI_Mérleg2020'!F161+'1.4.mell._HKK_Mérleg2020'!F161+'1.5._mell._MŐSZ_Mérleg2020'!F161+'1.6._mell._HVGYKCSSZ_Mérleg2020'!F161</f>
        <v>48235</v>
      </c>
      <c r="G161" s="34">
        <f>+'1.1.mell._ÖNK_Mérleg2020'!G161+'1.2.mell._HKÖH_Mérleg2020'!G161+'1.3.mell._HVÓBKI_Mérleg2020'!G161+'1.4.mell._HKK_Mérleg2020'!G161+'1.5._mell._MŐSZ_Mérleg2020'!G161+'1.6._mell._HVGYKCSSZ_Mérleg2020'!G161</f>
        <v>48235</v>
      </c>
      <c r="H161" s="10">
        <f>+'1.1.mell._ÖNK_Mérleg2020'!H161+'1.2.mell._HKÖH_Mérleg2020'!H161+'1.3.mell._HVÓBKI_Mérleg2020'!H161+'1.4.mell._HKK_Mérleg2020'!H161+'1.5._mell._MŐSZ_Mérleg2020'!H161+'1.6._mell._HVGYKCSSZ_Mérleg2020'!H161</f>
        <v>0</v>
      </c>
      <c r="I161" s="35">
        <f>+'1.1.mell._ÖNK_Mérleg2020'!I161+'1.2.mell._HKÖH_Mérleg2020'!I161+'1.3.mell._HVÓBKI_Mérleg2020'!I161+'1.4.mell._HKK_Mérleg2020'!I161+'1.5._mell._MŐSZ_Mérleg2020'!I161+'1.6._mell._HVGYKCSSZ_Mérleg2020'!I161</f>
        <v>0</v>
      </c>
      <c r="K161" s="4">
        <f t="shared" si="110"/>
        <v>0</v>
      </c>
    </row>
    <row r="162" spans="1:12">
      <c r="A162" s="85" t="s">
        <v>70</v>
      </c>
      <c r="B162" s="67" t="s">
        <v>159</v>
      </c>
      <c r="C162" s="402">
        <f>+'1.1.mell._ÖNK_Mérleg2020'!C162+'1.2.mell._HKÖH_Mérleg2020'!C162+'1.3.mell._HVÓBKI_Mérleg2020'!C162+'1.4.mell._HKK_Mérleg2020'!C162+'1.5._mell._MŐSZ_Mérleg2020'!C162+'1.6._mell._HVGYKCSSZ_Mérleg2020'!C162</f>
        <v>0</v>
      </c>
      <c r="D162" s="1174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174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6">
        <f>+'1.1.mell._ÖNK_Mérleg2020'!F162+'1.2.mell._HKÖH_Mérleg2020'!F162+'1.3.mell._HVÓBKI_Mérleg2020'!F162+'1.4.mell._HKK_Mérleg2020'!F162+'1.5._mell._MŐSZ_Mérleg2020'!F162+'1.6._mell._HVGYKCSSZ_Mérleg2020'!F162</f>
        <v>0</v>
      </c>
      <c r="G162" s="20">
        <f>+'1.1.mell._ÖNK_Mérleg2020'!G162+'1.2.mell._HKÖH_Mérleg2020'!G162+'1.3.mell._HVÓBKI_Mérleg2020'!G162+'1.4.mell._HKK_Mérleg2020'!G162+'1.5._mell._MŐSZ_Mérleg2020'!G162+'1.6._mell._HVGYKCSSZ_Mérleg2020'!G162</f>
        <v>0</v>
      </c>
      <c r="H162" s="11">
        <f>+'1.1.mell._ÖNK_Mérleg2020'!H162+'1.2.mell._HKÖH_Mérleg2020'!H162+'1.3.mell._HVÓBKI_Mérleg2020'!H162+'1.4.mell._HKK_Mérleg2020'!H162+'1.5._mell._MŐSZ_Mérleg2020'!H162+'1.6._mell._HVGYKCSSZ_Mérleg2020'!H162</f>
        <v>0</v>
      </c>
      <c r="I162" s="16">
        <f>+'1.1.mell._ÖNK_Mérleg2020'!I162+'1.2.mell._HKÖH_Mérleg2020'!I162+'1.3.mell._HVÓBKI_Mérleg2020'!I162+'1.4.mell._HKK_Mérleg2020'!I162+'1.5._mell._MŐSZ_Mérleg2020'!I162+'1.6._mell._HVGYKCSSZ_Mérleg2020'!I162</f>
        <v>0</v>
      </c>
      <c r="K162" s="4">
        <f t="shared" si="110"/>
        <v>0</v>
      </c>
    </row>
    <row r="163" spans="1:12">
      <c r="A163" s="85" t="s">
        <v>71</v>
      </c>
      <c r="B163" s="67" t="s">
        <v>160</v>
      </c>
      <c r="C163" s="402">
        <f>+'1.1.mell._ÖNK_Mérleg2020'!C163+'1.2.mell._HKÖH_Mérleg2020'!C163+'1.3.mell._HVÓBKI_Mérleg2020'!C163+'1.4.mell._HKK_Mérleg2020'!C163+'1.5._mell._MŐSZ_Mérleg2020'!C163+'1.6._mell._HVGYKCSSZ_Mérleg2020'!C163</f>
        <v>0</v>
      </c>
      <c r="D163" s="1174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174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6">
        <f>+'1.1.mell._ÖNK_Mérleg2020'!F163+'1.2.mell._HKÖH_Mérleg2020'!F163+'1.3.mell._HVÓBKI_Mérleg2020'!F163+'1.4.mell._HKK_Mérleg2020'!F163+'1.5._mell._MŐSZ_Mérleg2020'!F163+'1.6._mell._HVGYKCSSZ_Mérleg2020'!F163</f>
        <v>0</v>
      </c>
      <c r="G163" s="20">
        <f>+'1.1.mell._ÖNK_Mérleg2020'!G163+'1.2.mell._HKÖH_Mérleg2020'!G163+'1.3.mell._HVÓBKI_Mérleg2020'!G163+'1.4.mell._HKK_Mérleg2020'!G163+'1.5._mell._MŐSZ_Mérleg2020'!G163+'1.6._mell._HVGYKCSSZ_Mérleg2020'!G163</f>
        <v>0</v>
      </c>
      <c r="H163" s="11">
        <f>+'1.1.mell._ÖNK_Mérleg2020'!H163+'1.2.mell._HKÖH_Mérleg2020'!H163+'1.3.mell._HVÓBKI_Mérleg2020'!H163+'1.4.mell._HKK_Mérleg2020'!H163+'1.5._mell._MŐSZ_Mérleg2020'!H163+'1.6._mell._HVGYKCSSZ_Mérleg2020'!H163</f>
        <v>0</v>
      </c>
      <c r="I163" s="16">
        <f>+'1.1.mell._ÖNK_Mérleg2020'!I163+'1.2.mell._HKÖH_Mérleg2020'!I163+'1.3.mell._HVÓBKI_Mérleg2020'!I163+'1.4.mell._HKK_Mérleg2020'!I163+'1.5._mell._MŐSZ_Mérleg2020'!I163+'1.6._mell._HVGYKCSSZ_Mérleg2020'!I163</f>
        <v>0</v>
      </c>
      <c r="K163" s="4">
        <f t="shared" si="110"/>
        <v>0</v>
      </c>
      <c r="L163" s="3"/>
    </row>
    <row r="164" spans="1:12" ht="12.75" thickBot="1">
      <c r="A164" s="78" t="s">
        <v>72</v>
      </c>
      <c r="B164" s="68" t="s">
        <v>161</v>
      </c>
      <c r="C164" s="403">
        <f>+'1.1.mell._ÖNK_Mérleg2020'!C164+'1.2.mell._HKÖH_Mérleg2020'!C164+'1.3.mell._HVÓBKI_Mérleg2020'!C164+'1.4.mell._HKK_Mérleg2020'!C164+'1.5._mell._MŐSZ_Mérleg2020'!C164+'1.6._mell._HVGYKCSSZ_Mérleg2020'!C164</f>
        <v>14299</v>
      </c>
      <c r="D164" s="1175">
        <f>+'1.1.mell._ÖNK_Mérleg2020'!D164+'1.2.mell._HKÖH_Mérleg2020'!D164+'1.3.mell._HVÓBKI_Mérleg2020'!D164+'1.4.mell._HKK_Mérleg2020'!D164+'1.5._mell._MŐSZ_Mérleg2020'!D164+'1.6._mell._HVGYKCSSZ_Mérleg2020'!D164</f>
        <v>13023</v>
      </c>
      <c r="E164" s="1175">
        <f>+'1.1.mell._ÖNK_Mérleg2020'!E164+'1.2.mell._HKÖH_Mérleg2020'!E164+'1.3.mell._HVÓBKI_Mérleg2020'!E164+'1.4.mell._HKK_Mérleg2020'!E164+'1.5._mell._MŐSZ_Mérleg2020'!E164+'1.6._mell._HVGYKCSSZ_Mérleg2020'!E164</f>
        <v>0</v>
      </c>
      <c r="F164" s="23">
        <f>+'1.1.mell._ÖNK_Mérleg2020'!F164+'1.2.mell._HKÖH_Mérleg2020'!F164+'1.3.mell._HVÓBKI_Mérleg2020'!F164+'1.4.mell._HKK_Mérleg2020'!F164+'1.5._mell._MŐSZ_Mérleg2020'!F164+'1.6._mell._HVGYKCSSZ_Mérleg2020'!F164</f>
        <v>13023</v>
      </c>
      <c r="G164" s="21">
        <f>+'1.1.mell._ÖNK_Mérleg2020'!G164+'1.2.mell._HKÖH_Mérleg2020'!G164+'1.3.mell._HVÓBKI_Mérleg2020'!G164+'1.4.mell._HKK_Mérleg2020'!G164+'1.5._mell._MŐSZ_Mérleg2020'!G164+'1.6._mell._HVGYKCSSZ_Mérleg2020'!G164</f>
        <v>13023</v>
      </c>
      <c r="H164" s="22">
        <f>+'1.1.mell._ÖNK_Mérleg2020'!H164+'1.2.mell._HKÖH_Mérleg2020'!H164+'1.3.mell._HVÓBKI_Mérleg2020'!H164+'1.4.mell._HKK_Mérleg2020'!H164+'1.5._mell._MŐSZ_Mérleg2020'!H164+'1.6._mell._HVGYKCSSZ_Mérleg2020'!H164</f>
        <v>0</v>
      </c>
      <c r="I164" s="23">
        <f>+'1.1.mell._ÖNK_Mérleg2020'!I164+'1.2.mell._HKÖH_Mérleg2020'!I164+'1.3.mell._HVÓBKI_Mérleg2020'!I164+'1.4.mell._HKK_Mérleg2020'!I164+'1.5._mell._MŐSZ_Mérleg2020'!I164+'1.6._mell._HVGYKCSSZ_Mérleg2020'!I164</f>
        <v>0</v>
      </c>
      <c r="K164" s="4">
        <f t="shared" si="110"/>
        <v>0</v>
      </c>
    </row>
    <row r="165" spans="1:12" s="3" customFormat="1" ht="12.75" thickBot="1">
      <c r="A165" s="83" t="s">
        <v>11</v>
      </c>
      <c r="B165" s="64" t="s">
        <v>932</v>
      </c>
      <c r="C165" s="129">
        <f t="shared" ref="C165" si="125">+C166+C167+C168+C169+C171+C172+C173+C174+C175</f>
        <v>0</v>
      </c>
      <c r="D165" s="1171">
        <f t="shared" ref="D165" si="126">+D166+D167+D168+D169+D171+D172+D173+D174+D175</f>
        <v>0</v>
      </c>
      <c r="E165" s="1171">
        <f t="shared" ref="E165" si="127">+E166+E167+E168+E169+E171+E172+E173+E174+E175</f>
        <v>19162</v>
      </c>
      <c r="F165" s="29">
        <f t="shared" ref="F165" si="128">+F166+F167+F168+F169+F171+F172+F173+F174+F175</f>
        <v>19162</v>
      </c>
      <c r="G165" s="27">
        <f t="shared" ref="G165:I165" si="129">+G166+G167+G168+G169+G171+G172+G173+G174+G175</f>
        <v>19162</v>
      </c>
      <c r="H165" s="28">
        <f t="shared" si="129"/>
        <v>0</v>
      </c>
      <c r="I165" s="29">
        <f t="shared" si="129"/>
        <v>0</v>
      </c>
      <c r="J165" s="689">
        <f>+F165/$F$208</f>
        <v>3.684050648486736E-3</v>
      </c>
      <c r="K165" s="3">
        <f t="shared" si="110"/>
        <v>0</v>
      </c>
      <c r="L165" s="4"/>
    </row>
    <row r="166" spans="1:12">
      <c r="A166" s="84" t="s">
        <v>270</v>
      </c>
      <c r="B166" s="65" t="s">
        <v>162</v>
      </c>
      <c r="C166" s="404">
        <f>+'1.1.mell._ÖNK_Mérleg2020'!C166+'1.2.mell._HKÖH_Mérleg2020'!C166+'1.3.mell._HVÓBKI_Mérleg2020'!C166+'1.4.mell._HKK_Mérleg2020'!C166+'1.5._mell._MŐSZ_Mérleg2020'!C166+'1.6._mell._HVGYKCSSZ_Mérleg2020'!C166</f>
        <v>0</v>
      </c>
      <c r="D166" s="1172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172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35">
        <f>+'1.1.mell._ÖNK_Mérleg2020'!F166+'1.2.mell._HKÖH_Mérleg2020'!F166+'1.3.mell._HVÓBKI_Mérleg2020'!F166+'1.4.mell._HKK_Mérleg2020'!F166+'1.5._mell._MŐSZ_Mérleg2020'!F166+'1.6._mell._HVGYKCSSZ_Mérleg2020'!F166</f>
        <v>0</v>
      </c>
      <c r="G166" s="34">
        <f>+'1.1.mell._ÖNK_Mérleg2020'!G166+'1.2.mell._HKÖH_Mérleg2020'!G166+'1.3.mell._HVÓBKI_Mérleg2020'!G166+'1.4.mell._HKK_Mérleg2020'!G166+'1.5._mell._MŐSZ_Mérleg2020'!G166+'1.6._mell._HVGYKCSSZ_Mérleg2020'!G166</f>
        <v>0</v>
      </c>
      <c r="H166" s="10">
        <f>+'1.1.mell._ÖNK_Mérleg2020'!H166+'1.2.mell._HKÖH_Mérleg2020'!H166+'1.3.mell._HVÓBKI_Mérleg2020'!H166+'1.4.mell._HKK_Mérleg2020'!H166+'1.5._mell._MŐSZ_Mérleg2020'!H166+'1.6._mell._HVGYKCSSZ_Mérleg2020'!H166</f>
        <v>0</v>
      </c>
      <c r="I166" s="35">
        <f>+'1.1.mell._ÖNK_Mérleg2020'!I166+'1.2.mell._HKÖH_Mérleg2020'!I166+'1.3.mell._HVÓBKI_Mérleg2020'!I166+'1.4.mell._HKK_Mérleg2020'!I166+'1.5._mell._MŐSZ_Mérleg2020'!I166+'1.6._mell._HVGYKCSSZ_Mérleg2020'!I166</f>
        <v>0</v>
      </c>
      <c r="K166" s="4">
        <f t="shared" si="110"/>
        <v>0</v>
      </c>
    </row>
    <row r="167" spans="1:12">
      <c r="A167" s="85" t="s">
        <v>271</v>
      </c>
      <c r="B167" s="67" t="s">
        <v>163</v>
      </c>
      <c r="C167" s="402">
        <f>+'1.1.mell._ÖNK_Mérleg2020'!C167+'1.2.mell._HKÖH_Mérleg2020'!C167+'1.3.mell._HVÓBKI_Mérleg2020'!C167+'1.4.mell._HKK_Mérleg2020'!C167+'1.5._mell._MŐSZ_Mérleg2020'!C167+'1.6._mell._HVGYKCSSZ_Mérleg2020'!C167</f>
        <v>0</v>
      </c>
      <c r="D167" s="1174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174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6">
        <f>+'1.1.mell._ÖNK_Mérleg2020'!F167+'1.2.mell._HKÖH_Mérleg2020'!F167+'1.3.mell._HVÓBKI_Mérleg2020'!F167+'1.4.mell._HKK_Mérleg2020'!F167+'1.5._mell._MŐSZ_Mérleg2020'!F167+'1.6._mell._HVGYKCSSZ_Mérleg2020'!F167</f>
        <v>0</v>
      </c>
      <c r="G167" s="20">
        <f>+'1.1.mell._ÖNK_Mérleg2020'!G167+'1.2.mell._HKÖH_Mérleg2020'!G167+'1.3.mell._HVÓBKI_Mérleg2020'!G167+'1.4.mell._HKK_Mérleg2020'!G167+'1.5._mell._MŐSZ_Mérleg2020'!G167+'1.6._mell._HVGYKCSSZ_Mérleg2020'!G167</f>
        <v>0</v>
      </c>
      <c r="H167" s="11">
        <f>+'1.1.mell._ÖNK_Mérleg2020'!H167+'1.2.mell._HKÖH_Mérleg2020'!H167+'1.3.mell._HVÓBKI_Mérleg2020'!H167+'1.4.mell._HKK_Mérleg2020'!H167+'1.5._mell._MŐSZ_Mérleg2020'!H167+'1.6._mell._HVGYKCSSZ_Mérleg2020'!H167</f>
        <v>0</v>
      </c>
      <c r="I167" s="16">
        <f>+'1.1.mell._ÖNK_Mérleg2020'!I167+'1.2.mell._HKÖH_Mérleg2020'!I167+'1.3.mell._HVÓBKI_Mérleg2020'!I167+'1.4.mell._HKK_Mérleg2020'!I167+'1.5._mell._MŐSZ_Mérleg2020'!I167+'1.6._mell._HVGYKCSSZ_Mérleg2020'!I167</f>
        <v>0</v>
      </c>
      <c r="K167" s="4">
        <f t="shared" si="110"/>
        <v>0</v>
      </c>
    </row>
    <row r="168" spans="1:12">
      <c r="A168" s="85" t="s">
        <v>272</v>
      </c>
      <c r="B168" s="67" t="s">
        <v>164</v>
      </c>
      <c r="C168" s="402">
        <f>+'1.1.mell._ÖNK_Mérleg2020'!C168+'1.2.mell._HKÖH_Mérleg2020'!C168+'1.3.mell._HVÓBKI_Mérleg2020'!C168+'1.4.mell._HKK_Mérleg2020'!C168+'1.5._mell._MŐSZ_Mérleg2020'!C168+'1.6._mell._HVGYKCSSZ_Mérleg2020'!C168</f>
        <v>0</v>
      </c>
      <c r="D168" s="1174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174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6">
        <f>+'1.1.mell._ÖNK_Mérleg2020'!F168+'1.2.mell._HKÖH_Mérleg2020'!F168+'1.3.mell._HVÓBKI_Mérleg2020'!F168+'1.4.mell._HKK_Mérleg2020'!F168+'1.5._mell._MŐSZ_Mérleg2020'!F168+'1.6._mell._HVGYKCSSZ_Mérleg2020'!F168</f>
        <v>0</v>
      </c>
      <c r="G168" s="20">
        <f>+'1.1.mell._ÖNK_Mérleg2020'!G168+'1.2.mell._HKÖH_Mérleg2020'!G168+'1.3.mell._HVÓBKI_Mérleg2020'!G168+'1.4.mell._HKK_Mérleg2020'!G168+'1.5._mell._MŐSZ_Mérleg2020'!G168+'1.6._mell._HVGYKCSSZ_Mérleg2020'!G168</f>
        <v>0</v>
      </c>
      <c r="H168" s="11">
        <f>+'1.1.mell._ÖNK_Mérleg2020'!H168+'1.2.mell._HKÖH_Mérleg2020'!H168+'1.3.mell._HVÓBKI_Mérleg2020'!H168+'1.4.mell._HKK_Mérleg2020'!H168+'1.5._mell._MŐSZ_Mérleg2020'!H168+'1.6._mell._HVGYKCSSZ_Mérleg2020'!H168</f>
        <v>0</v>
      </c>
      <c r="I168" s="16">
        <f>+'1.1.mell._ÖNK_Mérleg2020'!I168+'1.2.mell._HKÖH_Mérleg2020'!I168+'1.3.mell._HVÓBKI_Mérleg2020'!I168+'1.4.mell._HKK_Mérleg2020'!I168+'1.5._mell._MŐSZ_Mérleg2020'!I168+'1.6._mell._HVGYKCSSZ_Mérleg2020'!I168</f>
        <v>0</v>
      </c>
      <c r="K168" s="4">
        <f t="shared" si="110"/>
        <v>0</v>
      </c>
      <c r="L168" s="13"/>
    </row>
    <row r="169" spans="1:12">
      <c r="A169" s="85" t="s">
        <v>273</v>
      </c>
      <c r="B169" s="67" t="s">
        <v>165</v>
      </c>
      <c r="C169" s="402">
        <f>+'1.1.mell._ÖNK_Mérleg2020'!C169+'1.2.mell._HKÖH_Mérleg2020'!C169+'1.3.mell._HVÓBKI_Mérleg2020'!C169+'1.4.mell._HKK_Mérleg2020'!C169+'1.5._mell._MŐSZ_Mérleg2020'!C169+'1.6._mell._HVGYKCSSZ_Mérleg2020'!C169</f>
        <v>0</v>
      </c>
      <c r="D169" s="1174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174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6">
        <f>+'1.1.mell._ÖNK_Mérleg2020'!F169+'1.2.mell._HKÖH_Mérleg2020'!F169+'1.3.mell._HVÓBKI_Mérleg2020'!F169+'1.4.mell._HKK_Mérleg2020'!F169+'1.5._mell._MŐSZ_Mérleg2020'!F169+'1.6._mell._HVGYKCSSZ_Mérleg2020'!F169</f>
        <v>0</v>
      </c>
      <c r="G169" s="20">
        <f>+'1.1.mell._ÖNK_Mérleg2020'!G169+'1.2.mell._HKÖH_Mérleg2020'!G169+'1.3.mell._HVÓBKI_Mérleg2020'!G169+'1.4.mell._HKK_Mérleg2020'!G169+'1.5._mell._MŐSZ_Mérleg2020'!G169+'1.6._mell._HVGYKCSSZ_Mérleg2020'!G169</f>
        <v>0</v>
      </c>
      <c r="H169" s="11">
        <f>+'1.1.mell._ÖNK_Mérleg2020'!H169+'1.2.mell._HKÖH_Mérleg2020'!H169+'1.3.mell._HVÓBKI_Mérleg2020'!H169+'1.4.mell._HKK_Mérleg2020'!H169+'1.5._mell._MŐSZ_Mérleg2020'!H169+'1.6._mell._HVGYKCSSZ_Mérleg2020'!H169</f>
        <v>0</v>
      </c>
      <c r="I169" s="16">
        <f>+'1.1.mell._ÖNK_Mérleg2020'!I169+'1.2.mell._HKÖH_Mérleg2020'!I169+'1.3.mell._HVÓBKI_Mérleg2020'!I169+'1.4.mell._HKK_Mérleg2020'!I169+'1.5._mell._MŐSZ_Mérleg2020'!I169+'1.6._mell._HVGYKCSSZ_Mérleg2020'!I169</f>
        <v>0</v>
      </c>
      <c r="K169" s="4">
        <f t="shared" si="110"/>
        <v>0</v>
      </c>
    </row>
    <row r="170" spans="1:12" s="13" customFormat="1">
      <c r="A170" s="89" t="s">
        <v>338</v>
      </c>
      <c r="B170" s="787" t="s">
        <v>339</v>
      </c>
      <c r="C170" s="401">
        <f>+'1.1.mell._ÖNK_Mérleg2020'!C170+'1.2.mell._HKÖH_Mérleg2020'!C170+'1.3.mell._HVÓBKI_Mérleg2020'!C170+'1.4.mell._HKK_Mérleg2020'!C170+'1.5._mell._MŐSZ_Mérleg2020'!C170+'1.6._mell._HVGYKCSSZ_Mérleg2020'!C170</f>
        <v>0</v>
      </c>
      <c r="D170" s="1176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1176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44">
        <f>+'1.1.mell._ÖNK_Mérleg2020'!F170+'1.2.mell._HKÖH_Mérleg2020'!F170+'1.3.mell._HVÓBKI_Mérleg2020'!F170+'1.4.mell._HKK_Mérleg2020'!F170+'1.5._mell._MŐSZ_Mérleg2020'!F170+'1.6._mell._HVGYKCSSZ_Mérleg2020'!F170</f>
        <v>0</v>
      </c>
      <c r="G170" s="45">
        <f>+'1.1.mell._ÖNK_Mérleg2020'!G170+'1.2.mell._HKÖH_Mérleg2020'!G170+'1.3.mell._HVÓBKI_Mérleg2020'!G170+'1.4.mell._HKK_Mérleg2020'!G170+'1.5._mell._MŐSZ_Mérleg2020'!G170+'1.6._mell._HVGYKCSSZ_Mérleg2020'!G170</f>
        <v>0</v>
      </c>
      <c r="H170" s="43">
        <f>+'1.1.mell._ÖNK_Mérleg2020'!H170+'1.2.mell._HKÖH_Mérleg2020'!H170+'1.3.mell._HVÓBKI_Mérleg2020'!H170+'1.4.mell._HKK_Mérleg2020'!H170+'1.5._mell._MŐSZ_Mérleg2020'!H170+'1.6._mell._HVGYKCSSZ_Mérleg2020'!H170</f>
        <v>0</v>
      </c>
      <c r="I170" s="44">
        <f>+'1.1.mell._ÖNK_Mérleg2020'!I170+'1.2.mell._HKÖH_Mérleg2020'!I170+'1.3.mell._HVÓBKI_Mérleg2020'!I170+'1.4.mell._HKK_Mérleg2020'!I170+'1.5._mell._MŐSZ_Mérleg2020'!I170+'1.6._mell._HVGYKCSSZ_Mérleg2020'!I170</f>
        <v>0</v>
      </c>
      <c r="K170" s="13">
        <f t="shared" si="110"/>
        <v>0</v>
      </c>
      <c r="L170" s="4"/>
    </row>
    <row r="171" spans="1:12">
      <c r="A171" s="85" t="s">
        <v>274</v>
      </c>
      <c r="B171" s="67" t="s">
        <v>166</v>
      </c>
      <c r="C171" s="402">
        <f>+'1.1.mell._ÖNK_Mérleg2020'!C171+'1.2.mell._HKÖH_Mérleg2020'!C171+'1.3.mell._HVÓBKI_Mérleg2020'!C171+'1.4.mell._HKK_Mérleg2020'!C171+'1.5._mell._MŐSZ_Mérleg2020'!C171+'1.6._mell._HVGYKCSSZ_Mérleg2020'!C171</f>
        <v>0</v>
      </c>
      <c r="D171" s="1174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174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6">
        <f>+'1.1.mell._ÖNK_Mérleg2020'!F171+'1.2.mell._HKÖH_Mérleg2020'!F171+'1.3.mell._HVÓBKI_Mérleg2020'!F171+'1.4.mell._HKK_Mérleg2020'!F171+'1.5._mell._MŐSZ_Mérleg2020'!F171+'1.6._mell._HVGYKCSSZ_Mérleg2020'!F171</f>
        <v>0</v>
      </c>
      <c r="G171" s="20">
        <f>+'1.1.mell._ÖNK_Mérleg2020'!G171+'1.2.mell._HKÖH_Mérleg2020'!G171+'1.3.mell._HVÓBKI_Mérleg2020'!G171+'1.4.mell._HKK_Mérleg2020'!G171+'1.5._mell._MŐSZ_Mérleg2020'!G171+'1.6._mell._HVGYKCSSZ_Mérleg2020'!G171</f>
        <v>0</v>
      </c>
      <c r="H171" s="11">
        <f>+'1.1.mell._ÖNK_Mérleg2020'!H171+'1.2.mell._HKÖH_Mérleg2020'!H171+'1.3.mell._HVÓBKI_Mérleg2020'!H171+'1.4.mell._HKK_Mérleg2020'!H171+'1.5._mell._MŐSZ_Mérleg2020'!H171+'1.6._mell._HVGYKCSSZ_Mérleg2020'!H171</f>
        <v>0</v>
      </c>
      <c r="I171" s="16">
        <f>+'1.1.mell._ÖNK_Mérleg2020'!I171+'1.2.mell._HKÖH_Mérleg2020'!I171+'1.3.mell._HVÓBKI_Mérleg2020'!I171+'1.4.mell._HKK_Mérleg2020'!I171+'1.5._mell._MŐSZ_Mérleg2020'!I171+'1.6._mell._HVGYKCSSZ_Mérleg2020'!I171</f>
        <v>0</v>
      </c>
      <c r="K171" s="4">
        <f t="shared" si="110"/>
        <v>0</v>
      </c>
    </row>
    <row r="172" spans="1:12">
      <c r="A172" s="85" t="s">
        <v>275</v>
      </c>
      <c r="B172" s="67" t="s">
        <v>167</v>
      </c>
      <c r="C172" s="402">
        <f>+'1.1.mell._ÖNK_Mérleg2020'!C172+'1.2.mell._HKÖH_Mérleg2020'!C172+'1.3.mell._HVÓBKI_Mérleg2020'!C172+'1.4.mell._HKK_Mérleg2020'!C172+'1.5._mell._MŐSZ_Mérleg2020'!C172+'1.6._mell._HVGYKCSSZ_Mérleg2020'!C172</f>
        <v>0</v>
      </c>
      <c r="D172" s="1174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174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6">
        <f>+'1.1.mell._ÖNK_Mérleg2020'!F172+'1.2.mell._HKÖH_Mérleg2020'!F172+'1.3.mell._HVÓBKI_Mérleg2020'!F172+'1.4.mell._HKK_Mérleg2020'!F172+'1.5._mell._MŐSZ_Mérleg2020'!F172+'1.6._mell._HVGYKCSSZ_Mérleg2020'!F172</f>
        <v>0</v>
      </c>
      <c r="G172" s="20">
        <f>+'1.1.mell._ÖNK_Mérleg2020'!G172+'1.2.mell._HKÖH_Mérleg2020'!G172+'1.3.mell._HVÓBKI_Mérleg2020'!G172+'1.4.mell._HKK_Mérleg2020'!G172+'1.5._mell._MŐSZ_Mérleg2020'!G172+'1.6._mell._HVGYKCSSZ_Mérleg2020'!G172</f>
        <v>0</v>
      </c>
      <c r="H172" s="11">
        <f>+'1.1.mell._ÖNK_Mérleg2020'!H172+'1.2.mell._HKÖH_Mérleg2020'!H172+'1.3.mell._HVÓBKI_Mérleg2020'!H172+'1.4.mell._HKK_Mérleg2020'!H172+'1.5._mell._MŐSZ_Mérleg2020'!H172+'1.6._mell._HVGYKCSSZ_Mérleg2020'!H172</f>
        <v>0</v>
      </c>
      <c r="I172" s="16">
        <f>+'1.1.mell._ÖNK_Mérleg2020'!I172+'1.2.mell._HKÖH_Mérleg2020'!I172+'1.3.mell._HVÓBKI_Mérleg2020'!I172+'1.4.mell._HKK_Mérleg2020'!I172+'1.5._mell._MŐSZ_Mérleg2020'!I172+'1.6._mell._HVGYKCSSZ_Mérleg2020'!I172</f>
        <v>0</v>
      </c>
      <c r="K172" s="4">
        <f t="shared" si="110"/>
        <v>0</v>
      </c>
    </row>
    <row r="173" spans="1:12">
      <c r="A173" s="85" t="s">
        <v>276</v>
      </c>
      <c r="B173" s="67" t="s">
        <v>168</v>
      </c>
      <c r="C173" s="402">
        <f>+'1.1.mell._ÖNK_Mérleg2020'!C173+'1.2.mell._HKÖH_Mérleg2020'!C173+'1.3.mell._HVÓBKI_Mérleg2020'!C173+'1.4.mell._HKK_Mérleg2020'!C173+'1.5._mell._MŐSZ_Mérleg2020'!C173+'1.6._mell._HVGYKCSSZ_Mérleg2020'!C173</f>
        <v>0</v>
      </c>
      <c r="D173" s="1174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174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6">
        <f>+'1.1.mell._ÖNK_Mérleg2020'!F173+'1.2.mell._HKÖH_Mérleg2020'!F173+'1.3.mell._HVÓBKI_Mérleg2020'!F173+'1.4.mell._HKK_Mérleg2020'!F173+'1.5._mell._MŐSZ_Mérleg2020'!F173+'1.6._mell._HVGYKCSSZ_Mérleg2020'!F173</f>
        <v>0</v>
      </c>
      <c r="G173" s="20">
        <f>+'1.1.mell._ÖNK_Mérleg2020'!G173+'1.2.mell._HKÖH_Mérleg2020'!G173+'1.3.mell._HVÓBKI_Mérleg2020'!G173+'1.4.mell._HKK_Mérleg2020'!G173+'1.5._mell._MŐSZ_Mérleg2020'!G173+'1.6._mell._HVGYKCSSZ_Mérleg2020'!G173</f>
        <v>0</v>
      </c>
      <c r="H173" s="11">
        <f>+'1.1.mell._ÖNK_Mérleg2020'!H173+'1.2.mell._HKÖH_Mérleg2020'!H173+'1.3.mell._HVÓBKI_Mérleg2020'!H173+'1.4.mell._HKK_Mérleg2020'!H173+'1.5._mell._MŐSZ_Mérleg2020'!H173+'1.6._mell._HVGYKCSSZ_Mérleg2020'!H173</f>
        <v>0</v>
      </c>
      <c r="I173" s="16">
        <f>+'1.1.mell._ÖNK_Mérleg2020'!I173+'1.2.mell._HKÖH_Mérleg2020'!I173+'1.3.mell._HVÓBKI_Mérleg2020'!I173+'1.4.mell._HKK_Mérleg2020'!I173+'1.5._mell._MŐSZ_Mérleg2020'!I173+'1.6._mell._HVGYKCSSZ_Mérleg2020'!I173</f>
        <v>0</v>
      </c>
      <c r="K173" s="4">
        <f t="shared" si="110"/>
        <v>0</v>
      </c>
    </row>
    <row r="174" spans="1:12">
      <c r="A174" s="85" t="s">
        <v>277</v>
      </c>
      <c r="B174" s="67" t="s">
        <v>933</v>
      </c>
      <c r="C174" s="402">
        <f>+'1.1.mell._ÖNK_Mérleg2020'!C174+'1.2.mell._HKÖH_Mérleg2020'!C174+'1.3.mell._HVÓBKI_Mérleg2020'!C174+'1.4.mell._HKK_Mérleg2020'!C174+'1.5._mell._MŐSZ_Mérleg2020'!C174+'1.6._mell._HVGYKCSSZ_Mérleg2020'!C174</f>
        <v>0</v>
      </c>
      <c r="D174" s="1174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174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6">
        <f>+'1.1.mell._ÖNK_Mérleg2020'!F174+'1.2.mell._HKÖH_Mérleg2020'!F174+'1.3.mell._HVÓBKI_Mérleg2020'!F174+'1.4.mell._HKK_Mérleg2020'!F174+'1.5._mell._MŐSZ_Mérleg2020'!F174+'1.6._mell._HVGYKCSSZ_Mérleg2020'!F174</f>
        <v>0</v>
      </c>
      <c r="G174" s="20">
        <f>+'1.1.mell._ÖNK_Mérleg2020'!G174+'1.2.mell._HKÖH_Mérleg2020'!G174+'1.3.mell._HVÓBKI_Mérleg2020'!G174+'1.4.mell._HKK_Mérleg2020'!G174+'1.5._mell._MŐSZ_Mérleg2020'!G174+'1.6._mell._HVGYKCSSZ_Mérleg2020'!G174</f>
        <v>0</v>
      </c>
      <c r="H174" s="11">
        <f>+'1.1.mell._ÖNK_Mérleg2020'!H174+'1.2.mell._HKÖH_Mérleg2020'!H174+'1.3.mell._HVÓBKI_Mérleg2020'!H174+'1.4.mell._HKK_Mérleg2020'!H174+'1.5._mell._MŐSZ_Mérleg2020'!H174+'1.6._mell._HVGYKCSSZ_Mérleg2020'!H174</f>
        <v>0</v>
      </c>
      <c r="I174" s="16">
        <f>+'1.1.mell._ÖNK_Mérleg2020'!I174+'1.2.mell._HKÖH_Mérleg2020'!I174+'1.3.mell._HVÓBKI_Mérleg2020'!I174+'1.4.mell._HKK_Mérleg2020'!I174+'1.5._mell._MŐSZ_Mérleg2020'!I174+'1.6._mell._HVGYKCSSZ_Mérleg2020'!I174</f>
        <v>0</v>
      </c>
      <c r="K174" s="4">
        <f t="shared" si="110"/>
        <v>0</v>
      </c>
      <c r="L174" s="3"/>
    </row>
    <row r="175" spans="1:12" ht="12.75" thickBot="1">
      <c r="A175" s="78" t="s">
        <v>931</v>
      </c>
      <c r="B175" s="68" t="s">
        <v>934</v>
      </c>
      <c r="C175" s="403">
        <f>+'1.1.mell._ÖNK_Mérleg2020'!C175+'1.2.mell._HKÖH_Mérleg2020'!C175+'1.3.mell._HVÓBKI_Mérleg2020'!C175+'1.4.mell._HKK_Mérleg2020'!C175+'1.5._mell._MŐSZ_Mérleg2020'!C175+'1.6._mell._HVGYKCSSZ_Mérleg2020'!C175</f>
        <v>0</v>
      </c>
      <c r="D175" s="1175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1175">
        <f>+'1.1.mell._ÖNK_Mérleg2020'!E175+'1.2.mell._HKÖH_Mérleg2020'!E175+'1.3.mell._HVÓBKI_Mérleg2020'!E175+'1.4.mell._HKK_Mérleg2020'!E175+'1.5._mell._MŐSZ_Mérleg2020'!E175+'1.6._mell._HVGYKCSSZ_Mérleg2020'!E175</f>
        <v>19162</v>
      </c>
      <c r="F175" s="23">
        <f>+'1.1.mell._ÖNK_Mérleg2020'!F175+'1.2.mell._HKÖH_Mérleg2020'!F175+'1.3.mell._HVÓBKI_Mérleg2020'!F175+'1.4.mell._HKK_Mérleg2020'!F175+'1.5._mell._MŐSZ_Mérleg2020'!F175+'1.6._mell._HVGYKCSSZ_Mérleg2020'!F175</f>
        <v>19162</v>
      </c>
      <c r="G175" s="21">
        <f>+'1.1.mell._ÖNK_Mérleg2020'!G175+'1.2.mell._HKÖH_Mérleg2020'!G175+'1.3.mell._HVÓBKI_Mérleg2020'!G175+'1.4.mell._HKK_Mérleg2020'!G175+'1.5._mell._MŐSZ_Mérleg2020'!G175+'1.6._mell._HVGYKCSSZ_Mérleg2020'!G175</f>
        <v>19162</v>
      </c>
      <c r="H175" s="22">
        <f>+'1.1.mell._ÖNK_Mérleg2020'!H175+'1.2.mell._HKÖH_Mérleg2020'!H175+'1.3.mell._HVÓBKI_Mérleg2020'!H175+'1.4.mell._HKK_Mérleg2020'!H175+'1.5._mell._MŐSZ_Mérleg2020'!H175+'1.6._mell._HVGYKCSSZ_Mérleg2020'!H175</f>
        <v>0</v>
      </c>
      <c r="I175" s="23">
        <f>+'1.1.mell._ÖNK_Mérleg2020'!I175+'1.2.mell._HKÖH_Mérleg2020'!I175+'1.3.mell._HVÓBKI_Mérleg2020'!I175+'1.4.mell._HKK_Mérleg2020'!I175+'1.5._mell._MŐSZ_Mérleg2020'!I175+'1.6._mell._HVGYKCSSZ_Mérleg2020'!I175</f>
        <v>0</v>
      </c>
      <c r="K175" s="4">
        <f t="shared" si="110"/>
        <v>0</v>
      </c>
      <c r="L175" s="3"/>
    </row>
    <row r="176" spans="1:12" s="3" customFormat="1" ht="12.75" thickBot="1">
      <c r="A176" s="83" t="s">
        <v>10</v>
      </c>
      <c r="B176" s="69" t="s">
        <v>313</v>
      </c>
      <c r="C176" s="129">
        <f t="shared" ref="C176:F176" si="130">+C109+C149</f>
        <v>4522728</v>
      </c>
      <c r="D176" s="1171">
        <f t="shared" si="130"/>
        <v>5150290</v>
      </c>
      <c r="E176" s="1171">
        <f t="shared" si="130"/>
        <v>20604</v>
      </c>
      <c r="F176" s="29">
        <f t="shared" si="130"/>
        <v>5170894</v>
      </c>
      <c r="G176" s="27">
        <f t="shared" ref="G176:I176" si="131">+G109+G149</f>
        <v>4758155</v>
      </c>
      <c r="H176" s="28">
        <f t="shared" si="131"/>
        <v>412739</v>
      </c>
      <c r="I176" s="29">
        <f t="shared" si="131"/>
        <v>0</v>
      </c>
      <c r="J176" s="689">
        <f>+F176/$F$208</f>
        <v>0.99414650839975849</v>
      </c>
      <c r="K176" s="3">
        <f t="shared" si="110"/>
        <v>0</v>
      </c>
    </row>
    <row r="177" spans="1:12" s="3" customFormat="1" ht="12.75" thickBot="1">
      <c r="A177" s="83" t="s">
        <v>9</v>
      </c>
      <c r="B177" s="70" t="s">
        <v>314</v>
      </c>
      <c r="C177" s="129">
        <f t="shared" ref="C177" si="132">+C178</f>
        <v>30446</v>
      </c>
      <c r="D177" s="1171">
        <f t="shared" ref="D177" si="133">+D178</f>
        <v>30446</v>
      </c>
      <c r="E177" s="1171">
        <f t="shared" ref="E177" si="134">+E178</f>
        <v>0</v>
      </c>
      <c r="F177" s="29">
        <f t="shared" ref="F177" si="135">+F178</f>
        <v>30446</v>
      </c>
      <c r="G177" s="27">
        <f t="shared" ref="G177:I177" si="136">+G178</f>
        <v>30446</v>
      </c>
      <c r="H177" s="28">
        <f t="shared" si="136"/>
        <v>0</v>
      </c>
      <c r="I177" s="29">
        <f t="shared" si="136"/>
        <v>0</v>
      </c>
      <c r="J177" s="689">
        <f>+F177/$F$208</f>
        <v>5.853491600241476E-3</v>
      </c>
      <c r="K177" s="3">
        <f t="shared" si="110"/>
        <v>0</v>
      </c>
      <c r="L177" s="4"/>
    </row>
    <row r="178" spans="1:12" s="3" customFormat="1" ht="12.75" thickBot="1">
      <c r="A178" s="83" t="s">
        <v>45</v>
      </c>
      <c r="B178" s="64" t="s">
        <v>941</v>
      </c>
      <c r="C178" s="129">
        <f t="shared" ref="C178" si="137">+C179+C189+C190+C191</f>
        <v>30446</v>
      </c>
      <c r="D178" s="1171">
        <f t="shared" ref="D178" si="138">+D179+D189+D190+D191</f>
        <v>30446</v>
      </c>
      <c r="E178" s="1171">
        <f t="shared" ref="E178" si="139">+E179+E189+E190+E191</f>
        <v>0</v>
      </c>
      <c r="F178" s="29">
        <f t="shared" ref="F178" si="140">+F179+F189+F190+F191</f>
        <v>30446</v>
      </c>
      <c r="G178" s="27">
        <f t="shared" ref="G178:I178" si="141">+G179+G189+G190+G191</f>
        <v>30446</v>
      </c>
      <c r="H178" s="28">
        <f t="shared" si="141"/>
        <v>0</v>
      </c>
      <c r="I178" s="29">
        <f t="shared" si="141"/>
        <v>0</v>
      </c>
      <c r="J178" s="689">
        <f>+F178/$F$208</f>
        <v>5.853491600241476E-3</v>
      </c>
      <c r="K178" s="3">
        <f t="shared" si="110"/>
        <v>0</v>
      </c>
      <c r="L178" s="13"/>
    </row>
    <row r="179" spans="1:12">
      <c r="A179" s="84" t="s">
        <v>75</v>
      </c>
      <c r="B179" s="65" t="s">
        <v>942</v>
      </c>
      <c r="C179" s="404">
        <f t="shared" ref="C179" si="142">+C180+C181+C182+C183+C184+C185+C186+C187+C188</f>
        <v>30446</v>
      </c>
      <c r="D179" s="1172">
        <f t="shared" ref="D179" si="143">+D180+D181+D182+D183+D184+D185+D186+D187+D188</f>
        <v>30446</v>
      </c>
      <c r="E179" s="1172">
        <f t="shared" ref="E179" si="144">+E180+E181+E182+E183+E184+E185+E186+E187+E188</f>
        <v>0</v>
      </c>
      <c r="F179" s="35">
        <f t="shared" ref="F179" si="145">+F180+F181+F182+F183+F184+F185+F186+F187+F188</f>
        <v>30446</v>
      </c>
      <c r="G179" s="34">
        <f t="shared" ref="G179:I179" si="146">+G180+G181+G182+G183+G184+G185+G186+G187+G188</f>
        <v>30446</v>
      </c>
      <c r="H179" s="10">
        <f t="shared" si="146"/>
        <v>0</v>
      </c>
      <c r="I179" s="35">
        <f t="shared" si="146"/>
        <v>0</v>
      </c>
      <c r="K179" s="4">
        <f t="shared" si="110"/>
        <v>0</v>
      </c>
      <c r="L179" s="13"/>
    </row>
    <row r="180" spans="1:12" s="13" customFormat="1">
      <c r="A180" s="86" t="s">
        <v>204</v>
      </c>
      <c r="B180" s="66" t="s">
        <v>169</v>
      </c>
      <c r="C180" s="400">
        <f>+'1.1.mell._ÖNK_Mérleg2020'!C180+'1.2.mell._HKÖH_Mérleg2020'!C180+'1.3.mell._HVÓBKI_Mérleg2020'!C180+'1.4.mell._HKK_Mérleg2020'!C180+'1.5._mell._MŐSZ_Mérleg2020'!C180+'1.6._mell._HVGYKCSSZ_Mérleg2020'!C180</f>
        <v>0</v>
      </c>
      <c r="D180" s="1173">
        <f>+'1.1.mell._ÖNK_Mérleg2020'!D180+'1.2.mell._HKÖH_Mérleg2020'!D180+'1.3.mell._HVÓBKI_Mérleg2020'!D180+'1.4.mell._HKK_Mérleg2020'!D180+'1.5._mell._MŐSZ_Mérleg2020'!D180+'1.6._mell._HVGYKCSSZ_Mérleg2020'!D180</f>
        <v>0</v>
      </c>
      <c r="E180" s="1173">
        <f>+'1.1.mell._ÖNK_Mérleg2020'!E180+'1.2.mell._HKÖH_Mérleg2020'!E180+'1.3.mell._HVÓBKI_Mérleg2020'!E180+'1.4.mell._HKK_Mérleg2020'!E180+'1.5._mell._MŐSZ_Mérleg2020'!E180+'1.6._mell._HVGYKCSSZ_Mérleg2020'!E180</f>
        <v>0</v>
      </c>
      <c r="F180" s="15">
        <f>+'1.1.mell._ÖNK_Mérleg2020'!F180+'1.2.mell._HKÖH_Mérleg2020'!F180+'1.3.mell._HVÓBKI_Mérleg2020'!F180+'1.4.mell._HKK_Mérleg2020'!F180+'1.5._mell._MŐSZ_Mérleg2020'!F180+'1.6._mell._HVGYKCSSZ_Mérleg2020'!F180</f>
        <v>0</v>
      </c>
      <c r="G180" s="19">
        <f>+'1.1.mell._ÖNK_Mérleg2020'!G180+'1.2.mell._HKÖH_Mérleg2020'!G180+'1.3.mell._HVÓBKI_Mérleg2020'!G180+'1.4.mell._HKK_Mérleg2020'!G180+'1.5._mell._MŐSZ_Mérleg2020'!G180+'1.6._mell._HVGYKCSSZ_Mérleg2020'!G180</f>
        <v>0</v>
      </c>
      <c r="H180" s="12">
        <f>+'1.1.mell._ÖNK_Mérleg2020'!H180+'1.2.mell._HKÖH_Mérleg2020'!H180+'1.3.mell._HVÓBKI_Mérleg2020'!H180+'1.4.mell._HKK_Mérleg2020'!H180+'1.5._mell._MŐSZ_Mérleg2020'!H180+'1.6._mell._HVGYKCSSZ_Mérleg2020'!H180</f>
        <v>0</v>
      </c>
      <c r="I180" s="15">
        <f>+'1.1.mell._ÖNK_Mérleg2020'!I180+'1.2.mell._HKÖH_Mérleg2020'!I180+'1.3.mell._HVÓBKI_Mérleg2020'!I180+'1.4.mell._HKK_Mérleg2020'!I180+'1.5._mell._MŐSZ_Mérleg2020'!I180+'1.6._mell._HVGYKCSSZ_Mérleg2020'!I180</f>
        <v>0</v>
      </c>
      <c r="K180" s="13">
        <f t="shared" si="110"/>
        <v>0</v>
      </c>
    </row>
    <row r="181" spans="1:12" s="13" customFormat="1">
      <c r="A181" s="86" t="s">
        <v>205</v>
      </c>
      <c r="B181" s="66" t="s">
        <v>170</v>
      </c>
      <c r="C181" s="400">
        <f>+'1.1.mell._ÖNK_Mérleg2020'!C181+'1.2.mell._HKÖH_Mérleg2020'!C181+'1.3.mell._HVÓBKI_Mérleg2020'!C181+'1.4.mell._HKK_Mérleg2020'!C181+'1.5._mell._MŐSZ_Mérleg2020'!C181+'1.6._mell._HVGYKCSSZ_Mérleg2020'!C181</f>
        <v>0</v>
      </c>
      <c r="D181" s="1173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173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5">
        <f>+'1.1.mell._ÖNK_Mérleg2020'!F181+'1.2.mell._HKÖH_Mérleg2020'!F181+'1.3.mell._HVÓBKI_Mérleg2020'!F181+'1.4.mell._HKK_Mérleg2020'!F181+'1.5._mell._MŐSZ_Mérleg2020'!F181+'1.6._mell._HVGYKCSSZ_Mérleg2020'!F181</f>
        <v>0</v>
      </c>
      <c r="G181" s="19">
        <f>+'1.1.mell._ÖNK_Mérleg2020'!G181+'1.2.mell._HKÖH_Mérleg2020'!G181+'1.3.mell._HVÓBKI_Mérleg2020'!G181+'1.4.mell._HKK_Mérleg2020'!G181+'1.5._mell._MŐSZ_Mérleg2020'!G181+'1.6._mell._HVGYKCSSZ_Mérleg2020'!G181</f>
        <v>0</v>
      </c>
      <c r="H181" s="12">
        <f>+'1.1.mell._ÖNK_Mérleg2020'!H181+'1.2.mell._HKÖH_Mérleg2020'!H181+'1.3.mell._HVÓBKI_Mérleg2020'!H181+'1.4.mell._HKK_Mérleg2020'!H181+'1.5._mell._MŐSZ_Mérleg2020'!H181+'1.6._mell._HVGYKCSSZ_Mérleg2020'!H181</f>
        <v>0</v>
      </c>
      <c r="I181" s="15">
        <f>+'1.1.mell._ÖNK_Mérleg2020'!I181+'1.2.mell._HKÖH_Mérleg2020'!I181+'1.3.mell._HVÓBKI_Mérleg2020'!I181+'1.4.mell._HKK_Mérleg2020'!I181+'1.5._mell._MŐSZ_Mérleg2020'!I181+'1.6._mell._HVGYKCSSZ_Mérleg2020'!I181</f>
        <v>0</v>
      </c>
      <c r="K181" s="13">
        <f t="shared" si="110"/>
        <v>0</v>
      </c>
    </row>
    <row r="182" spans="1:12" s="13" customFormat="1">
      <c r="A182" s="86" t="s">
        <v>206</v>
      </c>
      <c r="B182" s="66" t="s">
        <v>171</v>
      </c>
      <c r="C182" s="400">
        <f>+'1.1.mell._ÖNK_Mérleg2020'!C182+'1.2.mell._HKÖH_Mérleg2020'!C182+'1.3.mell._HVÓBKI_Mérleg2020'!C182+'1.4.mell._HKK_Mérleg2020'!C182+'1.5._mell._MŐSZ_Mérleg2020'!C182+'1.6._mell._HVGYKCSSZ_Mérleg2020'!C182</f>
        <v>0</v>
      </c>
      <c r="D182" s="1173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173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5">
        <f>+'1.1.mell._ÖNK_Mérleg2020'!F182+'1.2.mell._HKÖH_Mérleg2020'!F182+'1.3.mell._HVÓBKI_Mérleg2020'!F182+'1.4.mell._HKK_Mérleg2020'!F182+'1.5._mell._MŐSZ_Mérleg2020'!F182+'1.6._mell._HVGYKCSSZ_Mérleg2020'!F182</f>
        <v>0</v>
      </c>
      <c r="G182" s="19">
        <f>+'1.1.mell._ÖNK_Mérleg2020'!G182+'1.2.mell._HKÖH_Mérleg2020'!G182+'1.3.mell._HVÓBKI_Mérleg2020'!G182+'1.4.mell._HKK_Mérleg2020'!G182+'1.5._mell._MŐSZ_Mérleg2020'!G182+'1.6._mell._HVGYKCSSZ_Mérleg2020'!G182</f>
        <v>0</v>
      </c>
      <c r="H182" s="12">
        <f>+'1.1.mell._ÖNK_Mérleg2020'!H182+'1.2.mell._HKÖH_Mérleg2020'!H182+'1.3.mell._HVÓBKI_Mérleg2020'!H182+'1.4.mell._HKK_Mérleg2020'!H182+'1.5._mell._MŐSZ_Mérleg2020'!H182+'1.6._mell._HVGYKCSSZ_Mérleg2020'!H182</f>
        <v>0</v>
      </c>
      <c r="I182" s="15">
        <f>+'1.1.mell._ÖNK_Mérleg2020'!I182+'1.2.mell._HKÖH_Mérleg2020'!I182+'1.3.mell._HVÓBKI_Mérleg2020'!I182+'1.4.mell._HKK_Mérleg2020'!I182+'1.5._mell._MŐSZ_Mérleg2020'!I182+'1.6._mell._HVGYKCSSZ_Mérleg2020'!I182</f>
        <v>0</v>
      </c>
      <c r="K182" s="13">
        <f t="shared" si="110"/>
        <v>0</v>
      </c>
    </row>
    <row r="183" spans="1:12" s="13" customFormat="1">
      <c r="A183" s="86" t="s">
        <v>207</v>
      </c>
      <c r="B183" s="66" t="s">
        <v>172</v>
      </c>
      <c r="C183" s="400">
        <f>+'1.1.mell._ÖNK_Mérleg2020'!C183+'1.2.mell._HKÖH_Mérleg2020'!C183+'1.3.mell._HVÓBKI_Mérleg2020'!C183+'1.4.mell._HKK_Mérleg2020'!C183+'1.5._mell._MŐSZ_Mérleg2020'!C183+'1.6._mell._HVGYKCSSZ_Mérleg2020'!C183</f>
        <v>30446</v>
      </c>
      <c r="D183" s="1173">
        <f>+'1.1.mell._ÖNK_Mérleg2020'!D183+'1.2.mell._HKÖH_Mérleg2020'!D183+'1.3.mell._HVÓBKI_Mérleg2020'!D183+'1.4.mell._HKK_Mérleg2020'!D183+'1.5._mell._MŐSZ_Mérleg2020'!D183+'1.6._mell._HVGYKCSSZ_Mérleg2020'!D183</f>
        <v>30446</v>
      </c>
      <c r="E183" s="1173">
        <f>+'1.1.mell._ÖNK_Mérleg2020'!E183+'1.2.mell._HKÖH_Mérleg2020'!E183+'1.3.mell._HVÓBKI_Mérleg2020'!E183+'1.4.mell._HKK_Mérleg2020'!E183+'1.5._mell._MŐSZ_Mérleg2020'!E183+'1.6._mell._HVGYKCSSZ_Mérleg2020'!E183</f>
        <v>0</v>
      </c>
      <c r="F183" s="15">
        <f>+'1.1.mell._ÖNK_Mérleg2020'!F183+'1.2.mell._HKÖH_Mérleg2020'!F183+'1.3.mell._HVÓBKI_Mérleg2020'!F183+'1.4.mell._HKK_Mérleg2020'!F183+'1.5._mell._MŐSZ_Mérleg2020'!F183+'1.6._mell._HVGYKCSSZ_Mérleg2020'!F183</f>
        <v>30446</v>
      </c>
      <c r="G183" s="19">
        <f>+'1.1.mell._ÖNK_Mérleg2020'!G183+'1.2.mell._HKÖH_Mérleg2020'!G183+'1.3.mell._HVÓBKI_Mérleg2020'!G183+'1.4.mell._HKK_Mérleg2020'!G183+'1.5._mell._MŐSZ_Mérleg2020'!G183+'1.6._mell._HVGYKCSSZ_Mérleg2020'!G183</f>
        <v>30446</v>
      </c>
      <c r="H183" s="12">
        <f>+'1.1.mell._ÖNK_Mérleg2020'!H183+'1.2.mell._HKÖH_Mérleg2020'!H183+'1.3.mell._HVÓBKI_Mérleg2020'!H183+'1.4.mell._HKK_Mérleg2020'!H183+'1.5._mell._MŐSZ_Mérleg2020'!H183+'1.6._mell._HVGYKCSSZ_Mérleg2020'!H183</f>
        <v>0</v>
      </c>
      <c r="I183" s="15">
        <f>+'1.1.mell._ÖNK_Mérleg2020'!I183+'1.2.mell._HKÖH_Mérleg2020'!I183+'1.3.mell._HVÓBKI_Mérleg2020'!I183+'1.4.mell._HKK_Mérleg2020'!I183+'1.5._mell._MŐSZ_Mérleg2020'!I183+'1.6._mell._HVGYKCSSZ_Mérleg2020'!I183</f>
        <v>0</v>
      </c>
      <c r="K183" s="13">
        <f t="shared" si="110"/>
        <v>0</v>
      </c>
    </row>
    <row r="184" spans="1:12" s="13" customFormat="1">
      <c r="A184" s="103" t="s">
        <v>208</v>
      </c>
      <c r="B184" s="104" t="s">
        <v>173</v>
      </c>
      <c r="C184" s="399"/>
      <c r="D184" s="1282"/>
      <c r="E184" s="1282"/>
      <c r="F184" s="107"/>
      <c r="G184" s="105"/>
      <c r="H184" s="106"/>
      <c r="I184" s="107"/>
      <c r="K184" s="117">
        <f t="shared" si="110"/>
        <v>0</v>
      </c>
    </row>
    <row r="185" spans="1:12" s="13" customFormat="1">
      <c r="A185" s="86" t="s">
        <v>209</v>
      </c>
      <c r="B185" s="66" t="s">
        <v>178</v>
      </c>
      <c r="C185" s="400">
        <f>+'1.1.mell._ÖNK_Mérleg2020'!C185+'1.2.mell._HKÖH_Mérleg2020'!C185+'1.3.mell._HVÓBKI_Mérleg2020'!C185+'1.4.mell._HKK_Mérleg2020'!C185+'1.5._mell._MŐSZ_Mérleg2020'!C185+'1.6._mell._HVGYKCSSZ_Mérleg2020'!C185</f>
        <v>0</v>
      </c>
      <c r="D185" s="1173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173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5">
        <f>+'1.1.mell._ÖNK_Mérleg2020'!F185+'1.2.mell._HKÖH_Mérleg2020'!F185+'1.3.mell._HVÓBKI_Mérleg2020'!F185+'1.4.mell._HKK_Mérleg2020'!F185+'1.5._mell._MŐSZ_Mérleg2020'!F185+'1.6._mell._HVGYKCSSZ_Mérleg2020'!F185</f>
        <v>0</v>
      </c>
      <c r="G185" s="19">
        <f>+'1.1.mell._ÖNK_Mérleg2020'!G185+'1.2.mell._HKÖH_Mérleg2020'!G185+'1.3.mell._HVÓBKI_Mérleg2020'!G185+'1.4.mell._HKK_Mérleg2020'!G185+'1.5._mell._MŐSZ_Mérleg2020'!G185+'1.6._mell._HVGYKCSSZ_Mérleg2020'!G185</f>
        <v>0</v>
      </c>
      <c r="H185" s="12">
        <f>+'1.1.mell._ÖNK_Mérleg2020'!H185+'1.2.mell._HKÖH_Mérleg2020'!H185+'1.3.mell._HVÓBKI_Mérleg2020'!H185+'1.4.mell._HKK_Mérleg2020'!H185+'1.5._mell._MŐSZ_Mérleg2020'!H185+'1.6._mell._HVGYKCSSZ_Mérleg2020'!H185</f>
        <v>0</v>
      </c>
      <c r="I185" s="15">
        <f>+'1.1.mell._ÖNK_Mérleg2020'!I185+'1.2.mell._HKÖH_Mérleg2020'!I185+'1.3.mell._HVÓBKI_Mérleg2020'!I185+'1.4.mell._HKK_Mérleg2020'!I185+'1.5._mell._MŐSZ_Mérleg2020'!I185+'1.6._mell._HVGYKCSSZ_Mérleg2020'!I185</f>
        <v>0</v>
      </c>
      <c r="K185" s="13">
        <f t="shared" si="110"/>
        <v>0</v>
      </c>
    </row>
    <row r="186" spans="1:12" s="13" customFormat="1">
      <c r="A186" s="86" t="s">
        <v>210</v>
      </c>
      <c r="B186" s="66" t="s">
        <v>174</v>
      </c>
      <c r="C186" s="400">
        <f>+'1.1.mell._ÖNK_Mérleg2020'!C186+'1.2.mell._HKÖH_Mérleg2020'!C186+'1.3.mell._HVÓBKI_Mérleg2020'!C186+'1.4.mell._HKK_Mérleg2020'!C186+'1.5._mell._MŐSZ_Mérleg2020'!C186+'1.6._mell._HVGYKCSSZ_Mérleg2020'!C186</f>
        <v>0</v>
      </c>
      <c r="D186" s="1173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173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5">
        <f>+'1.1.mell._ÖNK_Mérleg2020'!F186+'1.2.mell._HKÖH_Mérleg2020'!F186+'1.3.mell._HVÓBKI_Mérleg2020'!F186+'1.4.mell._HKK_Mérleg2020'!F186+'1.5._mell._MŐSZ_Mérleg2020'!F186+'1.6._mell._HVGYKCSSZ_Mérleg2020'!F186</f>
        <v>0</v>
      </c>
      <c r="G186" s="19">
        <f>+'1.1.mell._ÖNK_Mérleg2020'!G186+'1.2.mell._HKÖH_Mérleg2020'!G186+'1.3.mell._HVÓBKI_Mérleg2020'!G186+'1.4.mell._HKK_Mérleg2020'!G186+'1.5._mell._MŐSZ_Mérleg2020'!G186+'1.6._mell._HVGYKCSSZ_Mérleg2020'!G186</f>
        <v>0</v>
      </c>
      <c r="H186" s="12">
        <f>+'1.1.mell._ÖNK_Mérleg2020'!H186+'1.2.mell._HKÖH_Mérleg2020'!H186+'1.3.mell._HVÓBKI_Mérleg2020'!H186+'1.4.mell._HKK_Mérleg2020'!H186+'1.5._mell._MŐSZ_Mérleg2020'!H186+'1.6._mell._HVGYKCSSZ_Mérleg2020'!H186</f>
        <v>0</v>
      </c>
      <c r="I186" s="15">
        <f>+'1.1.mell._ÖNK_Mérleg2020'!I186+'1.2.mell._HKÖH_Mérleg2020'!I186+'1.3.mell._HVÓBKI_Mérleg2020'!I186+'1.4.mell._HKK_Mérleg2020'!I186+'1.5._mell._MŐSZ_Mérleg2020'!I186+'1.6._mell._HVGYKCSSZ_Mérleg2020'!I186</f>
        <v>0</v>
      </c>
      <c r="K186" s="13">
        <f t="shared" si="110"/>
        <v>0</v>
      </c>
    </row>
    <row r="187" spans="1:12" s="13" customFormat="1">
      <c r="A187" s="86" t="s">
        <v>211</v>
      </c>
      <c r="B187" s="66" t="s">
        <v>175</v>
      </c>
      <c r="C187" s="400">
        <f>+'1.1.mell._ÖNK_Mérleg2020'!C187+'1.2.mell._HKÖH_Mérleg2020'!C187+'1.3.mell._HVÓBKI_Mérleg2020'!C187+'1.4.mell._HKK_Mérleg2020'!C187+'1.5._mell._MŐSZ_Mérleg2020'!C187+'1.6._mell._HVGYKCSSZ_Mérleg2020'!C187</f>
        <v>0</v>
      </c>
      <c r="D187" s="1173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173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5">
        <f>+'1.1.mell._ÖNK_Mérleg2020'!F187+'1.2.mell._HKÖH_Mérleg2020'!F187+'1.3.mell._HVÓBKI_Mérleg2020'!F187+'1.4.mell._HKK_Mérleg2020'!F187+'1.5._mell._MŐSZ_Mérleg2020'!F187+'1.6._mell._HVGYKCSSZ_Mérleg2020'!F187</f>
        <v>0</v>
      </c>
      <c r="G187" s="19">
        <f>+'1.1.mell._ÖNK_Mérleg2020'!G187+'1.2.mell._HKÖH_Mérleg2020'!G187+'1.3.mell._HVÓBKI_Mérleg2020'!G187+'1.4.mell._HKK_Mérleg2020'!G187+'1.5._mell._MŐSZ_Mérleg2020'!G187+'1.6._mell._HVGYKCSSZ_Mérleg2020'!G187</f>
        <v>0</v>
      </c>
      <c r="H187" s="12">
        <f>+'1.1.mell._ÖNK_Mérleg2020'!H187+'1.2.mell._HKÖH_Mérleg2020'!H187+'1.3.mell._HVÓBKI_Mérleg2020'!H187+'1.4.mell._HKK_Mérleg2020'!H187+'1.5._mell._MŐSZ_Mérleg2020'!H187+'1.6._mell._HVGYKCSSZ_Mérleg2020'!H187</f>
        <v>0</v>
      </c>
      <c r="I187" s="15">
        <f>+'1.1.mell._ÖNK_Mérleg2020'!I187+'1.2.mell._HKÖH_Mérleg2020'!I187+'1.3.mell._HVÓBKI_Mérleg2020'!I187+'1.4.mell._HKK_Mérleg2020'!I187+'1.5._mell._MŐSZ_Mérleg2020'!I187+'1.6._mell._HVGYKCSSZ_Mérleg2020'!I187</f>
        <v>0</v>
      </c>
      <c r="K187" s="13">
        <f t="shared" si="110"/>
        <v>0</v>
      </c>
      <c r="L187" s="4"/>
    </row>
    <row r="188" spans="1:12" s="13" customFormat="1">
      <c r="A188" s="86" t="s">
        <v>935</v>
      </c>
      <c r="B188" s="66" t="s">
        <v>937</v>
      </c>
      <c r="C188" s="400">
        <f>+'1.1.mell._ÖNK_Mérleg2020'!C188+'1.2.mell._HKÖH_Mérleg2020'!C188+'1.3.mell._HVÓBKI_Mérleg2020'!C188+'1.4.mell._HKK_Mérleg2020'!C188+'1.5._mell._MŐSZ_Mérleg2020'!C188+'1.6._mell._HVGYKCSSZ_Mérleg2020'!C188</f>
        <v>0</v>
      </c>
      <c r="D188" s="1173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173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5">
        <f>+'1.1.mell._ÖNK_Mérleg2020'!F188+'1.2.mell._HKÖH_Mérleg2020'!F188+'1.3.mell._HVÓBKI_Mérleg2020'!F188+'1.4.mell._HKK_Mérleg2020'!F188+'1.5._mell._MŐSZ_Mérleg2020'!F188+'1.6._mell._HVGYKCSSZ_Mérleg2020'!F188</f>
        <v>0</v>
      </c>
      <c r="G188" s="19">
        <f>+'1.1.mell._ÖNK_Mérleg2020'!G188+'1.2.mell._HKÖH_Mérleg2020'!G188+'1.3.mell._HVÓBKI_Mérleg2020'!G188+'1.4.mell._HKK_Mérleg2020'!G188+'1.5._mell._MŐSZ_Mérleg2020'!G188+'1.6._mell._HVGYKCSSZ_Mérleg2020'!G188</f>
        <v>0</v>
      </c>
      <c r="H188" s="12">
        <f>+'1.1.mell._ÖNK_Mérleg2020'!H188+'1.2.mell._HKÖH_Mérleg2020'!H188+'1.3.mell._HVÓBKI_Mérleg2020'!H188+'1.4.mell._HKK_Mérleg2020'!H188+'1.5._mell._MŐSZ_Mérleg2020'!H188+'1.6._mell._HVGYKCSSZ_Mérleg2020'!H188</f>
        <v>0</v>
      </c>
      <c r="I188" s="15">
        <f>+'1.1.mell._ÖNK_Mérleg2020'!I188+'1.2.mell._HKÖH_Mérleg2020'!I188+'1.3.mell._HVÓBKI_Mérleg2020'!I188+'1.4.mell._HKK_Mérleg2020'!I188+'1.5._mell._MŐSZ_Mérleg2020'!I188+'1.6._mell._HVGYKCSSZ_Mérleg2020'!I188</f>
        <v>0</v>
      </c>
      <c r="K188" s="13">
        <f t="shared" si="110"/>
        <v>0</v>
      </c>
      <c r="L188" s="4"/>
    </row>
    <row r="189" spans="1:12">
      <c r="A189" s="85" t="s">
        <v>76</v>
      </c>
      <c r="B189" s="67" t="s">
        <v>176</v>
      </c>
      <c r="C189" s="402">
        <f>+'1.1.mell._ÖNK_Mérleg2020'!C189+'1.2.mell._HKÖH_Mérleg2020'!C189+'1.3.mell._HVÓBKI_Mérleg2020'!C189+'1.4.mell._HKK_Mérleg2020'!C189+'1.5._mell._MŐSZ_Mérleg2020'!C189+'1.6._mell._HVGYKCSSZ_Mérleg2020'!C189</f>
        <v>0</v>
      </c>
      <c r="D189" s="1174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174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6">
        <f>+'1.1.mell._ÖNK_Mérleg2020'!F189+'1.2.mell._HKÖH_Mérleg2020'!F189+'1.3.mell._HVÓBKI_Mérleg2020'!F189+'1.4.mell._HKK_Mérleg2020'!F189+'1.5._mell._MŐSZ_Mérleg2020'!F189+'1.6._mell._HVGYKCSSZ_Mérleg2020'!F189</f>
        <v>0</v>
      </c>
      <c r="G189" s="20">
        <f>+'1.1.mell._ÖNK_Mérleg2020'!G189+'1.2.mell._HKÖH_Mérleg2020'!G189+'1.3.mell._HVÓBKI_Mérleg2020'!G189+'1.4.mell._HKK_Mérleg2020'!G189+'1.5._mell._MŐSZ_Mérleg2020'!G189+'1.6._mell._HVGYKCSSZ_Mérleg2020'!G189</f>
        <v>0</v>
      </c>
      <c r="H189" s="11">
        <f>+'1.1.mell._ÖNK_Mérleg2020'!H189+'1.2.mell._HKÖH_Mérleg2020'!H189+'1.3.mell._HVÓBKI_Mérleg2020'!H189+'1.4.mell._HKK_Mérleg2020'!H189+'1.5._mell._MŐSZ_Mérleg2020'!H189+'1.6._mell._HVGYKCSSZ_Mérleg2020'!H189</f>
        <v>0</v>
      </c>
      <c r="I189" s="16">
        <f>+'1.1.mell._ÖNK_Mérleg2020'!I189+'1.2.mell._HKÖH_Mérleg2020'!I189+'1.3.mell._HVÓBKI_Mérleg2020'!I189+'1.4.mell._HKK_Mérleg2020'!I189+'1.5._mell._MŐSZ_Mérleg2020'!I189+'1.6._mell._HVGYKCSSZ_Mérleg2020'!I189</f>
        <v>0</v>
      </c>
      <c r="K189" s="4">
        <f t="shared" si="110"/>
        <v>0</v>
      </c>
    </row>
    <row r="190" spans="1:12">
      <c r="A190" s="78" t="s">
        <v>77</v>
      </c>
      <c r="B190" s="68" t="s">
        <v>177</v>
      </c>
      <c r="C190" s="403">
        <f>+'1.1.mell._ÖNK_Mérleg2020'!C190+'1.2.mell._HKÖH_Mérleg2020'!C190+'1.3.mell._HVÓBKI_Mérleg2020'!C190+'1.4.mell._HKK_Mérleg2020'!C190+'1.5._mell._MŐSZ_Mérleg2020'!C190+'1.6._mell._HVGYKCSSZ_Mérleg2020'!C190</f>
        <v>0</v>
      </c>
      <c r="D190" s="1175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1175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23">
        <f>+'1.1.mell._ÖNK_Mérleg2020'!F190+'1.2.mell._HKÖH_Mérleg2020'!F190+'1.3.mell._HVÓBKI_Mérleg2020'!F190+'1.4.mell._HKK_Mérleg2020'!F190+'1.5._mell._MŐSZ_Mérleg2020'!F190+'1.6._mell._HVGYKCSSZ_Mérleg2020'!F190</f>
        <v>0</v>
      </c>
      <c r="G190" s="21">
        <f>+'1.1.mell._ÖNK_Mérleg2020'!G190+'1.2.mell._HKÖH_Mérleg2020'!G190+'1.3.mell._HVÓBKI_Mérleg2020'!G190+'1.4.mell._HKK_Mérleg2020'!G190+'1.5._mell._MŐSZ_Mérleg2020'!G190+'1.6._mell._HVGYKCSSZ_Mérleg2020'!G190</f>
        <v>0</v>
      </c>
      <c r="H190" s="22">
        <f>+'1.1.mell._ÖNK_Mérleg2020'!H190+'1.2.mell._HKÖH_Mérleg2020'!H190+'1.3.mell._HVÓBKI_Mérleg2020'!H190+'1.4.mell._HKK_Mérleg2020'!H190+'1.5._mell._MŐSZ_Mérleg2020'!H190+'1.6._mell._HVGYKCSSZ_Mérleg2020'!H190</f>
        <v>0</v>
      </c>
      <c r="I190" s="23">
        <f>+'1.1.mell._ÖNK_Mérleg2020'!I190+'1.2.mell._HKÖH_Mérleg2020'!I190+'1.3.mell._HVÓBKI_Mérleg2020'!I190+'1.4.mell._HKK_Mérleg2020'!I190+'1.5._mell._MŐSZ_Mérleg2020'!I190+'1.6._mell._HVGYKCSSZ_Mérleg2020'!I190</f>
        <v>0</v>
      </c>
      <c r="K190" s="4">
        <f t="shared" si="110"/>
        <v>0</v>
      </c>
      <c r="L190" s="3"/>
    </row>
    <row r="191" spans="1:12" ht="12.75" thickBot="1">
      <c r="A191" s="78" t="s">
        <v>940</v>
      </c>
      <c r="B191" s="68" t="s">
        <v>938</v>
      </c>
      <c r="C191" s="403">
        <f>+'1.1.mell._ÖNK_Mérleg2020'!C191+'1.2.mell._HKÖH_Mérleg2020'!C191+'1.3.mell._HVÓBKI_Mérleg2020'!C191+'1.4.mell._HKK_Mérleg2020'!C191+'1.5._mell._MŐSZ_Mérleg2020'!C191+'1.6._mell._HVGYKCSSZ_Mérleg2020'!C191</f>
        <v>0</v>
      </c>
      <c r="D191" s="1175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1175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23">
        <f>+'1.1.mell._ÖNK_Mérleg2020'!F191+'1.2.mell._HKÖH_Mérleg2020'!F191+'1.3.mell._HVÓBKI_Mérleg2020'!F191+'1.4.mell._HKK_Mérleg2020'!F191+'1.5._mell._MŐSZ_Mérleg2020'!F191+'1.6._mell._HVGYKCSSZ_Mérleg2020'!F191</f>
        <v>0</v>
      </c>
      <c r="G191" s="21">
        <f>+'1.1.mell._ÖNK_Mérleg2020'!G191+'1.2.mell._HKÖH_Mérleg2020'!G191+'1.3.mell._HVÓBKI_Mérleg2020'!G191+'1.4.mell._HKK_Mérleg2020'!G191+'1.5._mell._MŐSZ_Mérleg2020'!G191+'1.6._mell._HVGYKCSSZ_Mérleg2020'!G191</f>
        <v>0</v>
      </c>
      <c r="H191" s="22">
        <f>+'1.1.mell._ÖNK_Mérleg2020'!H191+'1.2.mell._HKÖH_Mérleg2020'!H191+'1.3.mell._HVÓBKI_Mérleg2020'!H191+'1.4.mell._HKK_Mérleg2020'!H191+'1.5._mell._MŐSZ_Mérleg2020'!H191+'1.6._mell._HVGYKCSSZ_Mérleg2020'!H191</f>
        <v>0</v>
      </c>
      <c r="I191" s="23">
        <f>+'1.1.mell._ÖNK_Mérleg2020'!I191+'1.2.mell._HKÖH_Mérleg2020'!I191+'1.3.mell._HVÓBKI_Mérleg2020'!I191+'1.4.mell._HKK_Mérleg2020'!I191+'1.5._mell._MŐSZ_Mérleg2020'!I191+'1.6._mell._HVGYKCSSZ_Mérleg2020'!I191</f>
        <v>0</v>
      </c>
      <c r="K191" s="4">
        <f t="shared" si="110"/>
        <v>0</v>
      </c>
      <c r="L191" s="3"/>
    </row>
    <row r="192" spans="1:12" s="3" customFormat="1" ht="12.75" thickBot="1">
      <c r="A192" s="83" t="s">
        <v>44</v>
      </c>
      <c r="B192" s="69" t="s">
        <v>315</v>
      </c>
      <c r="C192" s="129">
        <f t="shared" ref="C192" si="147">+C193</f>
        <v>0</v>
      </c>
      <c r="D192" s="1171">
        <f t="shared" ref="D192" si="148">+D193</f>
        <v>0</v>
      </c>
      <c r="E192" s="1171">
        <f t="shared" ref="E192" si="149">+E193</f>
        <v>0</v>
      </c>
      <c r="F192" s="29">
        <f t="shared" ref="F192" si="150">+F193</f>
        <v>0</v>
      </c>
      <c r="G192" s="27">
        <f t="shared" ref="G192:I192" si="151">+G193</f>
        <v>0</v>
      </c>
      <c r="H192" s="28">
        <f t="shared" si="151"/>
        <v>0</v>
      </c>
      <c r="I192" s="29">
        <f t="shared" si="151"/>
        <v>0</v>
      </c>
      <c r="J192" s="689">
        <f>+F192/$F$208</f>
        <v>0</v>
      </c>
      <c r="K192" s="3">
        <f t="shared" si="110"/>
        <v>0</v>
      </c>
      <c r="L192" s="4"/>
    </row>
    <row r="193" spans="1:12" s="3" customFormat="1" ht="12.75" thickBot="1">
      <c r="A193" s="83" t="s">
        <v>43</v>
      </c>
      <c r="B193" s="64" t="s">
        <v>936</v>
      </c>
      <c r="C193" s="129">
        <f t="shared" ref="C193" si="152">+C194+C204+C205+C206</f>
        <v>0</v>
      </c>
      <c r="D193" s="1171">
        <f t="shared" ref="D193" si="153">+D194+D204+D205+D206</f>
        <v>0</v>
      </c>
      <c r="E193" s="1171">
        <f t="shared" ref="E193" si="154">+E194+E204+E205+E206</f>
        <v>0</v>
      </c>
      <c r="F193" s="29">
        <f t="shared" ref="F193" si="155">+F194+F204+F205+F206</f>
        <v>0</v>
      </c>
      <c r="G193" s="27">
        <f t="shared" ref="G193:I193" si="156">+G194+G204+G205+G206</f>
        <v>0</v>
      </c>
      <c r="H193" s="28">
        <f t="shared" si="156"/>
        <v>0</v>
      </c>
      <c r="I193" s="29">
        <f t="shared" si="156"/>
        <v>0</v>
      </c>
      <c r="J193" s="689">
        <f>+F193/$F$208</f>
        <v>0</v>
      </c>
      <c r="K193" s="3">
        <f t="shared" si="110"/>
        <v>0</v>
      </c>
      <c r="L193" s="13"/>
    </row>
    <row r="194" spans="1:12">
      <c r="A194" s="84" t="s">
        <v>78</v>
      </c>
      <c r="B194" s="65" t="s">
        <v>971</v>
      </c>
      <c r="C194" s="404">
        <f t="shared" ref="C194" si="157">+C195+C196+C197+C198+C199+C200+C201+C202+C203</f>
        <v>0</v>
      </c>
      <c r="D194" s="1172">
        <f t="shared" ref="D194" si="158">+D195+D196+D197+D198+D199+D200+D201+D202+D203</f>
        <v>0</v>
      </c>
      <c r="E194" s="1172">
        <f t="shared" ref="E194" si="159">+E195+E196+E197+E198+E199+E200+E201+E202+E203</f>
        <v>0</v>
      </c>
      <c r="F194" s="35">
        <f t="shared" ref="F194" si="160">+F195+F196+F197+F198+F199+F200+F201+F202+F203</f>
        <v>0</v>
      </c>
      <c r="G194" s="34">
        <f t="shared" ref="G194:I194" si="161">+G195+G196+G197+G198+G199+G200+G201+G202+G203</f>
        <v>0</v>
      </c>
      <c r="H194" s="10">
        <f t="shared" si="161"/>
        <v>0</v>
      </c>
      <c r="I194" s="35">
        <f t="shared" si="161"/>
        <v>0</v>
      </c>
      <c r="K194" s="4">
        <f t="shared" si="110"/>
        <v>0</v>
      </c>
      <c r="L194" s="13"/>
    </row>
    <row r="195" spans="1:12" s="13" customFormat="1">
      <c r="A195" s="86" t="s">
        <v>212</v>
      </c>
      <c r="B195" s="66" t="s">
        <v>169</v>
      </c>
      <c r="C195" s="400">
        <f>+'1.1.mell._ÖNK_Mérleg2020'!C195+'1.2.mell._HKÖH_Mérleg2020'!C195+'1.3.mell._HVÓBKI_Mérleg2020'!C195+'1.4.mell._HKK_Mérleg2020'!C195+'1.5._mell._MŐSZ_Mérleg2020'!C195+'1.6._mell._HVGYKCSSZ_Mérleg2020'!C195</f>
        <v>0</v>
      </c>
      <c r="D195" s="1173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173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5">
        <f>+'1.1.mell._ÖNK_Mérleg2020'!F195+'1.2.mell._HKÖH_Mérleg2020'!F195+'1.3.mell._HVÓBKI_Mérleg2020'!F195+'1.4.mell._HKK_Mérleg2020'!F195+'1.5._mell._MŐSZ_Mérleg2020'!F195+'1.6._mell._HVGYKCSSZ_Mérleg2020'!F195</f>
        <v>0</v>
      </c>
      <c r="G195" s="19">
        <f>+'1.1.mell._ÖNK_Mérleg2020'!G195+'1.2.mell._HKÖH_Mérleg2020'!G195+'1.3.mell._HVÓBKI_Mérleg2020'!G195+'1.4.mell._HKK_Mérleg2020'!G195+'1.5._mell._MŐSZ_Mérleg2020'!G195+'1.6._mell._HVGYKCSSZ_Mérleg2020'!G195</f>
        <v>0</v>
      </c>
      <c r="H195" s="12">
        <f>+'1.1.mell._ÖNK_Mérleg2020'!H195+'1.2.mell._HKÖH_Mérleg2020'!H195+'1.3.mell._HVÓBKI_Mérleg2020'!H195+'1.4.mell._HKK_Mérleg2020'!H195+'1.5._mell._MŐSZ_Mérleg2020'!H195+'1.6._mell._HVGYKCSSZ_Mérleg2020'!H195</f>
        <v>0</v>
      </c>
      <c r="I195" s="15">
        <f>+'1.1.mell._ÖNK_Mérleg2020'!I195+'1.2.mell._HKÖH_Mérleg2020'!I195+'1.3.mell._HVÓBKI_Mérleg2020'!I195+'1.4.mell._HKK_Mérleg2020'!I195+'1.5._mell._MŐSZ_Mérleg2020'!I195+'1.6._mell._HVGYKCSSZ_Mérleg2020'!I195</f>
        <v>0</v>
      </c>
      <c r="K195" s="13">
        <f t="shared" si="110"/>
        <v>0</v>
      </c>
    </row>
    <row r="196" spans="1:12" s="13" customFormat="1">
      <c r="A196" s="86" t="s">
        <v>213</v>
      </c>
      <c r="B196" s="66" t="s">
        <v>170</v>
      </c>
      <c r="C196" s="400">
        <f>+'1.1.mell._ÖNK_Mérleg2020'!C196+'1.2.mell._HKÖH_Mérleg2020'!C196+'1.3.mell._HVÓBKI_Mérleg2020'!C196+'1.4.mell._HKK_Mérleg2020'!C196+'1.5._mell._MŐSZ_Mérleg2020'!C196+'1.6._mell._HVGYKCSSZ_Mérleg2020'!C196</f>
        <v>0</v>
      </c>
      <c r="D196" s="1173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173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5">
        <f>+'1.1.mell._ÖNK_Mérleg2020'!F196+'1.2.mell._HKÖH_Mérleg2020'!F196+'1.3.mell._HVÓBKI_Mérleg2020'!F196+'1.4.mell._HKK_Mérleg2020'!F196+'1.5._mell._MŐSZ_Mérleg2020'!F196+'1.6._mell._HVGYKCSSZ_Mérleg2020'!F196</f>
        <v>0</v>
      </c>
      <c r="G196" s="19">
        <f>+'1.1.mell._ÖNK_Mérleg2020'!G196+'1.2.mell._HKÖH_Mérleg2020'!G196+'1.3.mell._HVÓBKI_Mérleg2020'!G196+'1.4.mell._HKK_Mérleg2020'!G196+'1.5._mell._MŐSZ_Mérleg2020'!G196+'1.6._mell._HVGYKCSSZ_Mérleg2020'!G196</f>
        <v>0</v>
      </c>
      <c r="H196" s="12">
        <f>+'1.1.mell._ÖNK_Mérleg2020'!H196+'1.2.mell._HKÖH_Mérleg2020'!H196+'1.3.mell._HVÓBKI_Mérleg2020'!H196+'1.4.mell._HKK_Mérleg2020'!H196+'1.5._mell._MŐSZ_Mérleg2020'!H196+'1.6._mell._HVGYKCSSZ_Mérleg2020'!H196</f>
        <v>0</v>
      </c>
      <c r="I196" s="15">
        <f>+'1.1.mell._ÖNK_Mérleg2020'!I196+'1.2.mell._HKÖH_Mérleg2020'!I196+'1.3.mell._HVÓBKI_Mérleg2020'!I196+'1.4.mell._HKK_Mérleg2020'!I196+'1.5._mell._MŐSZ_Mérleg2020'!I196+'1.6._mell._HVGYKCSSZ_Mérleg2020'!I196</f>
        <v>0</v>
      </c>
      <c r="K196" s="13">
        <f t="shared" si="110"/>
        <v>0</v>
      </c>
    </row>
    <row r="197" spans="1:12" s="13" customFormat="1">
      <c r="A197" s="86" t="s">
        <v>214</v>
      </c>
      <c r="B197" s="66" t="s">
        <v>171</v>
      </c>
      <c r="C197" s="400">
        <f>+'1.1.mell._ÖNK_Mérleg2020'!C197+'1.2.mell._HKÖH_Mérleg2020'!C197+'1.3.mell._HVÓBKI_Mérleg2020'!C197+'1.4.mell._HKK_Mérleg2020'!C197+'1.5._mell._MŐSZ_Mérleg2020'!C197+'1.6._mell._HVGYKCSSZ_Mérleg2020'!C197</f>
        <v>0</v>
      </c>
      <c r="D197" s="1173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173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5">
        <f>+'1.1.mell._ÖNK_Mérleg2020'!F197+'1.2.mell._HKÖH_Mérleg2020'!F197+'1.3.mell._HVÓBKI_Mérleg2020'!F197+'1.4.mell._HKK_Mérleg2020'!F197+'1.5._mell._MŐSZ_Mérleg2020'!F197+'1.6._mell._HVGYKCSSZ_Mérleg2020'!F197</f>
        <v>0</v>
      </c>
      <c r="G197" s="19">
        <f>+'1.1.mell._ÖNK_Mérleg2020'!G197+'1.2.mell._HKÖH_Mérleg2020'!G197+'1.3.mell._HVÓBKI_Mérleg2020'!G197+'1.4.mell._HKK_Mérleg2020'!G197+'1.5._mell._MŐSZ_Mérleg2020'!G197+'1.6._mell._HVGYKCSSZ_Mérleg2020'!G197</f>
        <v>0</v>
      </c>
      <c r="H197" s="12">
        <f>+'1.1.mell._ÖNK_Mérleg2020'!H197+'1.2.mell._HKÖH_Mérleg2020'!H197+'1.3.mell._HVÓBKI_Mérleg2020'!H197+'1.4.mell._HKK_Mérleg2020'!H197+'1.5._mell._MŐSZ_Mérleg2020'!H197+'1.6._mell._HVGYKCSSZ_Mérleg2020'!H197</f>
        <v>0</v>
      </c>
      <c r="I197" s="15">
        <f>+'1.1.mell._ÖNK_Mérleg2020'!I197+'1.2.mell._HKÖH_Mérleg2020'!I197+'1.3.mell._HVÓBKI_Mérleg2020'!I197+'1.4.mell._HKK_Mérleg2020'!I197+'1.5._mell._MŐSZ_Mérleg2020'!I197+'1.6._mell._HVGYKCSSZ_Mérleg2020'!I197</f>
        <v>0</v>
      </c>
      <c r="K197" s="13">
        <f t="shared" si="110"/>
        <v>0</v>
      </c>
    </row>
    <row r="198" spans="1:12" s="13" customFormat="1">
      <c r="A198" s="86" t="s">
        <v>215</v>
      </c>
      <c r="B198" s="66" t="s">
        <v>172</v>
      </c>
      <c r="C198" s="400">
        <f>+'1.1.mell._ÖNK_Mérleg2020'!C198+'1.2.mell._HKÖH_Mérleg2020'!C198+'1.3.mell._HVÓBKI_Mérleg2020'!C198+'1.4.mell._HKK_Mérleg2020'!C198+'1.5._mell._MŐSZ_Mérleg2020'!C198+'1.6._mell._HVGYKCSSZ_Mérleg2020'!C198</f>
        <v>0</v>
      </c>
      <c r="D198" s="1173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173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5">
        <f>+'1.1.mell._ÖNK_Mérleg2020'!F198+'1.2.mell._HKÖH_Mérleg2020'!F198+'1.3.mell._HVÓBKI_Mérleg2020'!F198+'1.4.mell._HKK_Mérleg2020'!F198+'1.5._mell._MŐSZ_Mérleg2020'!F198+'1.6._mell._HVGYKCSSZ_Mérleg2020'!F198</f>
        <v>0</v>
      </c>
      <c r="G198" s="19">
        <f>+'1.1.mell._ÖNK_Mérleg2020'!G198+'1.2.mell._HKÖH_Mérleg2020'!G198+'1.3.mell._HVÓBKI_Mérleg2020'!G198+'1.4.mell._HKK_Mérleg2020'!G198+'1.5._mell._MŐSZ_Mérleg2020'!G198+'1.6._mell._HVGYKCSSZ_Mérleg2020'!G198</f>
        <v>0</v>
      </c>
      <c r="H198" s="12">
        <f>+'1.1.mell._ÖNK_Mérleg2020'!H198+'1.2.mell._HKÖH_Mérleg2020'!H198+'1.3.mell._HVÓBKI_Mérleg2020'!H198+'1.4.mell._HKK_Mérleg2020'!H198+'1.5._mell._MŐSZ_Mérleg2020'!H198+'1.6._mell._HVGYKCSSZ_Mérleg2020'!H198</f>
        <v>0</v>
      </c>
      <c r="I198" s="15">
        <f>+'1.1.mell._ÖNK_Mérleg2020'!I198+'1.2.mell._HKÖH_Mérleg2020'!I198+'1.3.mell._HVÓBKI_Mérleg2020'!I198+'1.4.mell._HKK_Mérleg2020'!I198+'1.5._mell._MŐSZ_Mérleg2020'!I198+'1.6._mell._HVGYKCSSZ_Mérleg2020'!I198</f>
        <v>0</v>
      </c>
      <c r="K198" s="13">
        <f t="shared" si="110"/>
        <v>0</v>
      </c>
    </row>
    <row r="199" spans="1:12" s="13" customFormat="1">
      <c r="A199" s="103" t="s">
        <v>216</v>
      </c>
      <c r="B199" s="104" t="s">
        <v>173</v>
      </c>
      <c r="C199" s="399"/>
      <c r="D199" s="1282"/>
      <c r="E199" s="1282"/>
      <c r="F199" s="107"/>
      <c r="G199" s="105"/>
      <c r="H199" s="106"/>
      <c r="I199" s="107"/>
      <c r="K199" s="117">
        <f t="shared" si="110"/>
        <v>0</v>
      </c>
    </row>
    <row r="200" spans="1:12" s="13" customFormat="1">
      <c r="A200" s="86" t="s">
        <v>217</v>
      </c>
      <c r="B200" s="66" t="s">
        <v>178</v>
      </c>
      <c r="C200" s="400">
        <f>+'1.1.mell._ÖNK_Mérleg2020'!C200+'1.2.mell._HKÖH_Mérleg2020'!C200+'1.3.mell._HVÓBKI_Mérleg2020'!C200+'1.4.mell._HKK_Mérleg2020'!C200+'1.5._mell._MŐSZ_Mérleg2020'!C200+'1.6._mell._HVGYKCSSZ_Mérleg2020'!C200</f>
        <v>0</v>
      </c>
      <c r="D200" s="1173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173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5">
        <f>+'1.1.mell._ÖNK_Mérleg2020'!F200+'1.2.mell._HKÖH_Mérleg2020'!F200+'1.3.mell._HVÓBKI_Mérleg2020'!F200+'1.4.mell._HKK_Mérleg2020'!F200+'1.5._mell._MŐSZ_Mérleg2020'!F200+'1.6._mell._HVGYKCSSZ_Mérleg2020'!F200</f>
        <v>0</v>
      </c>
      <c r="G200" s="19">
        <f>+'1.1.mell._ÖNK_Mérleg2020'!G200+'1.2.mell._HKÖH_Mérleg2020'!G200+'1.3.mell._HVÓBKI_Mérleg2020'!G200+'1.4.mell._HKK_Mérleg2020'!G200+'1.5._mell._MŐSZ_Mérleg2020'!G200+'1.6._mell._HVGYKCSSZ_Mérleg2020'!G200</f>
        <v>0</v>
      </c>
      <c r="H200" s="12">
        <f>+'1.1.mell._ÖNK_Mérleg2020'!H200+'1.2.mell._HKÖH_Mérleg2020'!H200+'1.3.mell._HVÓBKI_Mérleg2020'!H200+'1.4.mell._HKK_Mérleg2020'!H200+'1.5._mell._MŐSZ_Mérleg2020'!H200+'1.6._mell._HVGYKCSSZ_Mérleg2020'!H200</f>
        <v>0</v>
      </c>
      <c r="I200" s="15">
        <f>+'1.1.mell._ÖNK_Mérleg2020'!I200+'1.2.mell._HKÖH_Mérleg2020'!I200+'1.3.mell._HVÓBKI_Mérleg2020'!I200+'1.4.mell._HKK_Mérleg2020'!I200+'1.5._mell._MŐSZ_Mérleg2020'!I200+'1.6._mell._HVGYKCSSZ_Mérleg2020'!I200</f>
        <v>0</v>
      </c>
      <c r="K200" s="13">
        <f t="shared" si="110"/>
        <v>0</v>
      </c>
    </row>
    <row r="201" spans="1:12" s="13" customFormat="1">
      <c r="A201" s="86" t="s">
        <v>218</v>
      </c>
      <c r="B201" s="66" t="s">
        <v>174</v>
      </c>
      <c r="C201" s="400">
        <f>+'1.1.mell._ÖNK_Mérleg2020'!C201+'1.2.mell._HKÖH_Mérleg2020'!C201+'1.3.mell._HVÓBKI_Mérleg2020'!C201+'1.4.mell._HKK_Mérleg2020'!C201+'1.5._mell._MŐSZ_Mérleg2020'!C201+'1.6._mell._HVGYKCSSZ_Mérleg2020'!C201</f>
        <v>0</v>
      </c>
      <c r="D201" s="1173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173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5">
        <f>+'1.1.mell._ÖNK_Mérleg2020'!F201+'1.2.mell._HKÖH_Mérleg2020'!F201+'1.3.mell._HVÓBKI_Mérleg2020'!F201+'1.4.mell._HKK_Mérleg2020'!F201+'1.5._mell._MŐSZ_Mérleg2020'!F201+'1.6._mell._HVGYKCSSZ_Mérleg2020'!F201</f>
        <v>0</v>
      </c>
      <c r="G201" s="19">
        <f>+'1.1.mell._ÖNK_Mérleg2020'!G201+'1.2.mell._HKÖH_Mérleg2020'!G201+'1.3.mell._HVÓBKI_Mérleg2020'!G201+'1.4.mell._HKK_Mérleg2020'!G201+'1.5._mell._MŐSZ_Mérleg2020'!G201+'1.6._mell._HVGYKCSSZ_Mérleg2020'!G201</f>
        <v>0</v>
      </c>
      <c r="H201" s="12">
        <f>+'1.1.mell._ÖNK_Mérleg2020'!H201+'1.2.mell._HKÖH_Mérleg2020'!H201+'1.3.mell._HVÓBKI_Mérleg2020'!H201+'1.4.mell._HKK_Mérleg2020'!H201+'1.5._mell._MŐSZ_Mérleg2020'!H201+'1.6._mell._HVGYKCSSZ_Mérleg2020'!H201</f>
        <v>0</v>
      </c>
      <c r="I201" s="15">
        <f>+'1.1.mell._ÖNK_Mérleg2020'!I201+'1.2.mell._HKÖH_Mérleg2020'!I201+'1.3.mell._HVÓBKI_Mérleg2020'!I201+'1.4.mell._HKK_Mérleg2020'!I201+'1.5._mell._MŐSZ_Mérleg2020'!I201+'1.6._mell._HVGYKCSSZ_Mérleg2020'!I201</f>
        <v>0</v>
      </c>
      <c r="K201" s="13">
        <f t="shared" si="110"/>
        <v>0</v>
      </c>
    </row>
    <row r="202" spans="1:12" s="13" customFormat="1">
      <c r="A202" s="86" t="s">
        <v>219</v>
      </c>
      <c r="B202" s="66" t="s">
        <v>175</v>
      </c>
      <c r="C202" s="400">
        <f>+'1.1.mell._ÖNK_Mérleg2020'!C202+'1.2.mell._HKÖH_Mérleg2020'!C202+'1.3.mell._HVÓBKI_Mérleg2020'!C202+'1.4.mell._HKK_Mérleg2020'!C202+'1.5._mell._MŐSZ_Mérleg2020'!C202+'1.6._mell._HVGYKCSSZ_Mérleg2020'!C202</f>
        <v>0</v>
      </c>
      <c r="D202" s="1173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173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5">
        <f>+'1.1.mell._ÖNK_Mérleg2020'!F202+'1.2.mell._HKÖH_Mérleg2020'!F202+'1.3.mell._HVÓBKI_Mérleg2020'!F202+'1.4.mell._HKK_Mérleg2020'!F202+'1.5._mell._MŐSZ_Mérleg2020'!F202+'1.6._mell._HVGYKCSSZ_Mérleg2020'!F202</f>
        <v>0</v>
      </c>
      <c r="G202" s="19">
        <f>+'1.1.mell._ÖNK_Mérleg2020'!G202+'1.2.mell._HKÖH_Mérleg2020'!G202+'1.3.mell._HVÓBKI_Mérleg2020'!G202+'1.4.mell._HKK_Mérleg2020'!G202+'1.5._mell._MŐSZ_Mérleg2020'!G202+'1.6._mell._HVGYKCSSZ_Mérleg2020'!G202</f>
        <v>0</v>
      </c>
      <c r="H202" s="12">
        <f>+'1.1.mell._ÖNK_Mérleg2020'!H202+'1.2.mell._HKÖH_Mérleg2020'!H202+'1.3.mell._HVÓBKI_Mérleg2020'!H202+'1.4.mell._HKK_Mérleg2020'!H202+'1.5._mell._MŐSZ_Mérleg2020'!H202+'1.6._mell._HVGYKCSSZ_Mérleg2020'!H202</f>
        <v>0</v>
      </c>
      <c r="I202" s="15">
        <f>+'1.1.mell._ÖNK_Mérleg2020'!I202+'1.2.mell._HKÖH_Mérleg2020'!I202+'1.3.mell._HVÓBKI_Mérleg2020'!I202+'1.4.mell._HKK_Mérleg2020'!I202+'1.5._mell._MŐSZ_Mérleg2020'!I202+'1.6._mell._HVGYKCSSZ_Mérleg2020'!I202</f>
        <v>0</v>
      </c>
      <c r="K202" s="13">
        <f t="shared" si="110"/>
        <v>0</v>
      </c>
      <c r="L202" s="4"/>
    </row>
    <row r="203" spans="1:12" s="13" customFormat="1">
      <c r="A203" s="86" t="s">
        <v>935</v>
      </c>
      <c r="B203" s="66" t="s">
        <v>937</v>
      </c>
      <c r="C203" s="400">
        <f>+'1.1.mell._ÖNK_Mérleg2020'!C203+'1.2.mell._HKÖH_Mérleg2020'!C203+'1.3.mell._HVÓBKI_Mérleg2020'!C203+'1.4.mell._HKK_Mérleg2020'!C203+'1.5._mell._MŐSZ_Mérleg2020'!C203+'1.6._mell._HVGYKCSSZ_Mérleg2020'!C203</f>
        <v>0</v>
      </c>
      <c r="D203" s="1173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173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5">
        <f>+'1.1.mell._ÖNK_Mérleg2020'!F203+'1.2.mell._HKÖH_Mérleg2020'!F203+'1.3.mell._HVÓBKI_Mérleg2020'!F203+'1.4.mell._HKK_Mérleg2020'!F203+'1.5._mell._MŐSZ_Mérleg2020'!F203+'1.6._mell._HVGYKCSSZ_Mérleg2020'!F203</f>
        <v>0</v>
      </c>
      <c r="G203" s="19">
        <f>+'1.1.mell._ÖNK_Mérleg2020'!G203+'1.2.mell._HKÖH_Mérleg2020'!G203+'1.3.mell._HVÓBKI_Mérleg2020'!G203+'1.4.mell._HKK_Mérleg2020'!G203+'1.5._mell._MŐSZ_Mérleg2020'!G203+'1.6._mell._HVGYKCSSZ_Mérleg2020'!G203</f>
        <v>0</v>
      </c>
      <c r="H203" s="12">
        <f>+'1.1.mell._ÖNK_Mérleg2020'!H203+'1.2.mell._HKÖH_Mérleg2020'!H203+'1.3.mell._HVÓBKI_Mérleg2020'!H203+'1.4.mell._HKK_Mérleg2020'!H203+'1.5._mell._MŐSZ_Mérleg2020'!H203+'1.6._mell._HVGYKCSSZ_Mérleg2020'!H203</f>
        <v>0</v>
      </c>
      <c r="I203" s="15">
        <f>+'1.1.mell._ÖNK_Mérleg2020'!I203+'1.2.mell._HKÖH_Mérleg2020'!I203+'1.3.mell._HVÓBKI_Mérleg2020'!I203+'1.4.mell._HKK_Mérleg2020'!I203+'1.5._mell._MŐSZ_Mérleg2020'!I203+'1.6._mell._HVGYKCSSZ_Mérleg2020'!I203</f>
        <v>0</v>
      </c>
      <c r="K203" s="13">
        <f t="shared" ref="K203:K242" si="162">+F203-G203-H203-I203</f>
        <v>0</v>
      </c>
      <c r="L203" s="4"/>
    </row>
    <row r="204" spans="1:12">
      <c r="A204" s="85" t="s">
        <v>79</v>
      </c>
      <c r="B204" s="67" t="s">
        <v>176</v>
      </c>
      <c r="C204" s="402">
        <f>+'1.1.mell._ÖNK_Mérleg2020'!C204+'1.2.mell._HKÖH_Mérleg2020'!C204+'1.3.mell._HVÓBKI_Mérleg2020'!C204+'1.4.mell._HKK_Mérleg2020'!C204+'1.5._mell._MŐSZ_Mérleg2020'!C204+'1.6._mell._HVGYKCSSZ_Mérleg2020'!C204</f>
        <v>0</v>
      </c>
      <c r="D204" s="1174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174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6">
        <f>+'1.1.mell._ÖNK_Mérleg2020'!F204+'1.2.mell._HKÖH_Mérleg2020'!F204+'1.3.mell._HVÓBKI_Mérleg2020'!F204+'1.4.mell._HKK_Mérleg2020'!F204+'1.5._mell._MŐSZ_Mérleg2020'!F204+'1.6._mell._HVGYKCSSZ_Mérleg2020'!F204</f>
        <v>0</v>
      </c>
      <c r="G204" s="20">
        <f>+'1.1.mell._ÖNK_Mérleg2020'!G204+'1.2.mell._HKÖH_Mérleg2020'!G204+'1.3.mell._HVÓBKI_Mérleg2020'!G204+'1.4.mell._HKK_Mérleg2020'!G204+'1.5._mell._MŐSZ_Mérleg2020'!G204+'1.6._mell._HVGYKCSSZ_Mérleg2020'!G204</f>
        <v>0</v>
      </c>
      <c r="H204" s="11">
        <f>+'1.1.mell._ÖNK_Mérleg2020'!H204+'1.2.mell._HKÖH_Mérleg2020'!H204+'1.3.mell._HVÓBKI_Mérleg2020'!H204+'1.4.mell._HKK_Mérleg2020'!H204+'1.5._mell._MŐSZ_Mérleg2020'!H204+'1.6._mell._HVGYKCSSZ_Mérleg2020'!H204</f>
        <v>0</v>
      </c>
      <c r="I204" s="16">
        <f>+'1.1.mell._ÖNK_Mérleg2020'!I204+'1.2.mell._HKÖH_Mérleg2020'!I204+'1.3.mell._HVÓBKI_Mérleg2020'!I204+'1.4.mell._HKK_Mérleg2020'!I204+'1.5._mell._MŐSZ_Mérleg2020'!I204+'1.6._mell._HVGYKCSSZ_Mérleg2020'!I204</f>
        <v>0</v>
      </c>
      <c r="K204" s="4">
        <f t="shared" si="162"/>
        <v>0</v>
      </c>
    </row>
    <row r="205" spans="1:12">
      <c r="A205" s="78" t="s">
        <v>220</v>
      </c>
      <c r="B205" s="68" t="s">
        <v>177</v>
      </c>
      <c r="C205" s="403">
        <f>+'1.1.mell._ÖNK_Mérleg2020'!C205+'1.2.mell._HKÖH_Mérleg2020'!C205+'1.3.mell._HVÓBKI_Mérleg2020'!C205+'1.4.mell._HKK_Mérleg2020'!C205+'1.5._mell._MŐSZ_Mérleg2020'!C205+'1.6._mell._HVGYKCSSZ_Mérleg2020'!C205</f>
        <v>0</v>
      </c>
      <c r="D205" s="1175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1175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23">
        <f>+'1.1.mell._ÖNK_Mérleg2020'!F205+'1.2.mell._HKÖH_Mérleg2020'!F205+'1.3.mell._HVÓBKI_Mérleg2020'!F205+'1.4.mell._HKK_Mérleg2020'!F205+'1.5._mell._MŐSZ_Mérleg2020'!F205+'1.6._mell._HVGYKCSSZ_Mérleg2020'!F205</f>
        <v>0</v>
      </c>
      <c r="G205" s="21">
        <f>+'1.1.mell._ÖNK_Mérleg2020'!G205+'1.2.mell._HKÖH_Mérleg2020'!G205+'1.3.mell._HVÓBKI_Mérleg2020'!G205+'1.4.mell._HKK_Mérleg2020'!G205+'1.5._mell._MŐSZ_Mérleg2020'!G205+'1.6._mell._HVGYKCSSZ_Mérleg2020'!G205</f>
        <v>0</v>
      </c>
      <c r="H205" s="22">
        <f>+'1.1.mell._ÖNK_Mérleg2020'!H205+'1.2.mell._HKÖH_Mérleg2020'!H205+'1.3.mell._HVÓBKI_Mérleg2020'!H205+'1.4.mell._HKK_Mérleg2020'!H205+'1.5._mell._MŐSZ_Mérleg2020'!H205+'1.6._mell._HVGYKCSSZ_Mérleg2020'!H205</f>
        <v>0</v>
      </c>
      <c r="I205" s="23">
        <f>+'1.1.mell._ÖNK_Mérleg2020'!I205+'1.2.mell._HKÖH_Mérleg2020'!I205+'1.3.mell._HVÓBKI_Mérleg2020'!I205+'1.4.mell._HKK_Mérleg2020'!I205+'1.5._mell._MŐSZ_Mérleg2020'!I205+'1.6._mell._HVGYKCSSZ_Mérleg2020'!I205</f>
        <v>0</v>
      </c>
      <c r="K205" s="4">
        <f t="shared" si="162"/>
        <v>0</v>
      </c>
      <c r="L205" s="3"/>
    </row>
    <row r="206" spans="1:12" ht="12.75" thickBot="1">
      <c r="A206" s="78" t="s">
        <v>939</v>
      </c>
      <c r="B206" s="68" t="s">
        <v>938</v>
      </c>
      <c r="C206" s="403">
        <f>+'1.1.mell._ÖNK_Mérleg2020'!C206+'1.2.mell._HKÖH_Mérleg2020'!C206+'1.3.mell._HVÓBKI_Mérleg2020'!C206+'1.4.mell._HKK_Mérleg2020'!C206+'1.5._mell._MŐSZ_Mérleg2020'!C206+'1.6._mell._HVGYKCSSZ_Mérleg2020'!C206</f>
        <v>0</v>
      </c>
      <c r="D206" s="1175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1175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23">
        <f>+'1.1.mell._ÖNK_Mérleg2020'!F206+'1.2.mell._HKÖH_Mérleg2020'!F206+'1.3.mell._HVÓBKI_Mérleg2020'!F206+'1.4.mell._HKK_Mérleg2020'!F206+'1.5._mell._MŐSZ_Mérleg2020'!F206+'1.6._mell._HVGYKCSSZ_Mérleg2020'!F206</f>
        <v>0</v>
      </c>
      <c r="G206" s="21">
        <f>+'1.1.mell._ÖNK_Mérleg2020'!G206+'1.2.mell._HKÖH_Mérleg2020'!G206+'1.3.mell._HVÓBKI_Mérleg2020'!G206+'1.4.mell._HKK_Mérleg2020'!G206+'1.5._mell._MŐSZ_Mérleg2020'!G206+'1.6._mell._HVGYKCSSZ_Mérleg2020'!G206</f>
        <v>0</v>
      </c>
      <c r="H206" s="22">
        <f>+'1.1.mell._ÖNK_Mérleg2020'!H206+'1.2.mell._HKÖH_Mérleg2020'!H206+'1.3.mell._HVÓBKI_Mérleg2020'!H206+'1.4.mell._HKK_Mérleg2020'!H206+'1.5._mell._MŐSZ_Mérleg2020'!H206+'1.6._mell._HVGYKCSSZ_Mérleg2020'!H206</f>
        <v>0</v>
      </c>
      <c r="I206" s="23">
        <f>+'1.1.mell._ÖNK_Mérleg2020'!I206+'1.2.mell._HKÖH_Mérleg2020'!I206+'1.3.mell._HVÓBKI_Mérleg2020'!I206+'1.4.mell._HKK_Mérleg2020'!I206+'1.5._mell._MŐSZ_Mérleg2020'!I206+'1.6._mell._HVGYKCSSZ_Mérleg2020'!I206</f>
        <v>0</v>
      </c>
      <c r="K206" s="4">
        <f t="shared" si="162"/>
        <v>0</v>
      </c>
      <c r="L206" s="3"/>
    </row>
    <row r="207" spans="1:12" s="3" customFormat="1" ht="12.75" thickBot="1">
      <c r="A207" s="83" t="s">
        <v>40</v>
      </c>
      <c r="B207" s="69" t="s">
        <v>316</v>
      </c>
      <c r="C207" s="129">
        <f t="shared" ref="C207:F207" si="163">+C177+C192</f>
        <v>30446</v>
      </c>
      <c r="D207" s="1171">
        <f t="shared" si="163"/>
        <v>30446</v>
      </c>
      <c r="E207" s="1171">
        <f t="shared" si="163"/>
        <v>0</v>
      </c>
      <c r="F207" s="29">
        <f t="shared" si="163"/>
        <v>30446</v>
      </c>
      <c r="G207" s="27">
        <f t="shared" ref="G207:I207" si="164">+G177+G192</f>
        <v>30446</v>
      </c>
      <c r="H207" s="28">
        <f t="shared" si="164"/>
        <v>0</v>
      </c>
      <c r="I207" s="29">
        <f t="shared" si="164"/>
        <v>0</v>
      </c>
      <c r="J207" s="689">
        <f>+F207/$F$208</f>
        <v>5.853491600241476E-3</v>
      </c>
      <c r="K207" s="3">
        <f t="shared" si="162"/>
        <v>0</v>
      </c>
      <c r="L207" s="4"/>
    </row>
    <row r="208" spans="1:12" s="3" customFormat="1" ht="12.75" thickBot="1">
      <c r="A208" s="87" t="s">
        <v>39</v>
      </c>
      <c r="B208" s="71" t="s">
        <v>334</v>
      </c>
      <c r="C208" s="398">
        <f t="shared" ref="C208" si="165">+C176+C207</f>
        <v>4553174</v>
      </c>
      <c r="D208" s="1182">
        <f t="shared" ref="D208" si="166">+D176+D207</f>
        <v>5180736</v>
      </c>
      <c r="E208" s="1182">
        <f t="shared" ref="E208" si="167">+E176+E207</f>
        <v>20604</v>
      </c>
      <c r="F208" s="26">
        <f t="shared" ref="F208" si="168">+F176+F207</f>
        <v>5201340</v>
      </c>
      <c r="G208" s="24">
        <f t="shared" ref="G208:I208" si="169">+G176+G207</f>
        <v>4788601</v>
      </c>
      <c r="H208" s="25">
        <f t="shared" si="169"/>
        <v>412739</v>
      </c>
      <c r="I208" s="26">
        <f t="shared" si="169"/>
        <v>0</v>
      </c>
      <c r="J208" s="689">
        <f>+F208/$F$208</f>
        <v>1</v>
      </c>
      <c r="K208" s="3">
        <f t="shared" si="162"/>
        <v>0</v>
      </c>
      <c r="L208" s="4"/>
    </row>
    <row r="209" spans="1:29">
      <c r="L209" s="2"/>
    </row>
    <row r="210" spans="1:29">
      <c r="L210" s="36"/>
    </row>
    <row r="211" spans="1:29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I212" s="37" t="s">
        <v>280</v>
      </c>
      <c r="L212" s="4"/>
    </row>
    <row r="213" spans="1:29" s="3" customFormat="1" ht="12.75" thickBot="1">
      <c r="A213" s="83" t="s">
        <v>4</v>
      </c>
      <c r="B213" s="69" t="s">
        <v>317</v>
      </c>
      <c r="C213" s="129">
        <f t="shared" ref="C213:I213" si="170">+C214+C215</f>
        <v>-2855803</v>
      </c>
      <c r="D213" s="1171">
        <f t="shared" si="170"/>
        <v>-3333416</v>
      </c>
      <c r="E213" s="1171">
        <f t="shared" si="170"/>
        <v>0</v>
      </c>
      <c r="F213" s="29">
        <f t="shared" si="170"/>
        <v>-3333416</v>
      </c>
      <c r="G213" s="27">
        <f t="shared" si="170"/>
        <v>-2974721</v>
      </c>
      <c r="H213" s="28">
        <f t="shared" si="170"/>
        <v>-358695</v>
      </c>
      <c r="I213" s="29">
        <f t="shared" si="170"/>
        <v>0</v>
      </c>
      <c r="K213" s="3">
        <f t="shared" si="162"/>
        <v>0</v>
      </c>
      <c r="L213" s="4"/>
    </row>
    <row r="214" spans="1:29">
      <c r="A214" s="84" t="s">
        <v>81</v>
      </c>
      <c r="B214" s="72" t="s">
        <v>318</v>
      </c>
      <c r="C214" s="404">
        <f t="shared" ref="C214:I214" si="171">+C10-C109</f>
        <v>-2425549</v>
      </c>
      <c r="D214" s="1172">
        <f t="shared" si="171"/>
        <v>-2882162</v>
      </c>
      <c r="E214" s="1172">
        <f t="shared" si="171"/>
        <v>35700</v>
      </c>
      <c r="F214" s="35">
        <f t="shared" si="171"/>
        <v>-2846462</v>
      </c>
      <c r="G214" s="34">
        <f t="shared" si="171"/>
        <v>-2831917</v>
      </c>
      <c r="H214" s="10">
        <f t="shared" si="171"/>
        <v>-14545</v>
      </c>
      <c r="I214" s="35">
        <f t="shared" si="171"/>
        <v>0</v>
      </c>
      <c r="K214" s="4">
        <f t="shared" si="162"/>
        <v>0</v>
      </c>
    </row>
    <row r="215" spans="1:29" ht="12.75" thickBot="1">
      <c r="A215" s="88" t="s">
        <v>82</v>
      </c>
      <c r="B215" s="73" t="s">
        <v>319</v>
      </c>
      <c r="C215" s="397">
        <f t="shared" ref="C215:I215" si="172">+C50-C149</f>
        <v>-430254</v>
      </c>
      <c r="D215" s="1189">
        <f t="shared" si="172"/>
        <v>-451254</v>
      </c>
      <c r="E215" s="1189">
        <f t="shared" si="172"/>
        <v>-35700</v>
      </c>
      <c r="F215" s="39">
        <f t="shared" si="172"/>
        <v>-486954</v>
      </c>
      <c r="G215" s="40">
        <f t="shared" si="172"/>
        <v>-142804</v>
      </c>
      <c r="H215" s="17">
        <f t="shared" si="172"/>
        <v>-344150</v>
      </c>
      <c r="I215" s="39">
        <f t="shared" si="172"/>
        <v>0</v>
      </c>
      <c r="K215" s="4">
        <f t="shared" si="162"/>
        <v>0</v>
      </c>
    </row>
    <row r="216" spans="1:29">
      <c r="L216" s="2"/>
    </row>
    <row r="217" spans="1:29">
      <c r="L217" s="36"/>
    </row>
    <row r="218" spans="1:29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I219" s="37" t="s">
        <v>280</v>
      </c>
      <c r="L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I220" si="173">+C221+C228</f>
        <v>2855803</v>
      </c>
      <c r="D220" s="1171">
        <f t="shared" si="173"/>
        <v>3333416</v>
      </c>
      <c r="E220" s="1171">
        <f t="shared" si="173"/>
        <v>0</v>
      </c>
      <c r="F220" s="29">
        <f t="shared" si="173"/>
        <v>3333416</v>
      </c>
      <c r="G220" s="27">
        <f t="shared" si="173"/>
        <v>3333392</v>
      </c>
      <c r="H220" s="28">
        <f t="shared" si="173"/>
        <v>24</v>
      </c>
      <c r="I220" s="29">
        <f t="shared" si="173"/>
        <v>0</v>
      </c>
      <c r="K220" s="3">
        <f t="shared" si="162"/>
        <v>0</v>
      </c>
      <c r="L220" s="4"/>
    </row>
    <row r="221" spans="1:29" s="3" customFormat="1" ht="12.75" thickBot="1">
      <c r="A221" s="83" t="s">
        <v>5</v>
      </c>
      <c r="B221" s="64" t="s">
        <v>321</v>
      </c>
      <c r="C221" s="129">
        <f t="shared" ref="C221:I221" si="174">+C222-C225</f>
        <v>2845803</v>
      </c>
      <c r="D221" s="1171">
        <f t="shared" si="174"/>
        <v>679384</v>
      </c>
      <c r="E221" s="1171">
        <f t="shared" si="174"/>
        <v>0</v>
      </c>
      <c r="F221" s="29">
        <f t="shared" si="174"/>
        <v>679384</v>
      </c>
      <c r="G221" s="27">
        <f t="shared" si="174"/>
        <v>679360</v>
      </c>
      <c r="H221" s="28">
        <f t="shared" si="174"/>
        <v>24</v>
      </c>
      <c r="I221" s="29">
        <f t="shared" si="174"/>
        <v>0</v>
      </c>
      <c r="K221" s="3">
        <f t="shared" si="162"/>
        <v>0</v>
      </c>
      <c r="L221" s="13"/>
    </row>
    <row r="222" spans="1:29">
      <c r="A222" s="84" t="s">
        <v>54</v>
      </c>
      <c r="B222" s="65" t="s">
        <v>322</v>
      </c>
      <c r="C222" s="404">
        <f t="shared" ref="C222:I222" si="175">+C223+C224</f>
        <v>2876249</v>
      </c>
      <c r="D222" s="1172">
        <f t="shared" si="175"/>
        <v>709830</v>
      </c>
      <c r="E222" s="1172">
        <f t="shared" si="175"/>
        <v>0</v>
      </c>
      <c r="F222" s="35">
        <f t="shared" si="175"/>
        <v>709830</v>
      </c>
      <c r="G222" s="34">
        <f t="shared" si="175"/>
        <v>709806</v>
      </c>
      <c r="H222" s="10">
        <f t="shared" si="175"/>
        <v>24</v>
      </c>
      <c r="I222" s="35">
        <f t="shared" si="175"/>
        <v>0</v>
      </c>
      <c r="K222" s="4">
        <f t="shared" si="162"/>
        <v>0</v>
      </c>
      <c r="L222" s="13"/>
    </row>
    <row r="223" spans="1:29" s="13" customFormat="1">
      <c r="A223" s="86" t="s">
        <v>189</v>
      </c>
      <c r="B223" s="66" t="s">
        <v>284</v>
      </c>
      <c r="C223" s="400">
        <f t="shared" ref="C223:I223" si="176">+C76+C80</f>
        <v>2876249</v>
      </c>
      <c r="D223" s="1173">
        <f t="shared" si="176"/>
        <v>709830</v>
      </c>
      <c r="E223" s="1173">
        <f t="shared" si="176"/>
        <v>0</v>
      </c>
      <c r="F223" s="15">
        <f t="shared" si="176"/>
        <v>709830</v>
      </c>
      <c r="G223" s="19">
        <f t="shared" si="176"/>
        <v>709806</v>
      </c>
      <c r="H223" s="12">
        <f t="shared" si="176"/>
        <v>24</v>
      </c>
      <c r="I223" s="15">
        <f t="shared" si="176"/>
        <v>0</v>
      </c>
      <c r="K223" s="13">
        <f t="shared" si="162"/>
        <v>0</v>
      </c>
      <c r="L223" s="4"/>
    </row>
    <row r="224" spans="1:29" s="13" customFormat="1">
      <c r="A224" s="86" t="s">
        <v>190</v>
      </c>
      <c r="B224" s="66" t="s">
        <v>285</v>
      </c>
      <c r="C224" s="400">
        <f t="shared" ref="C224:I224" si="177">+C74+C75+C77+C78+C79+C81</f>
        <v>0</v>
      </c>
      <c r="D224" s="1173">
        <f t="shared" si="177"/>
        <v>0</v>
      </c>
      <c r="E224" s="1173">
        <f t="shared" si="177"/>
        <v>0</v>
      </c>
      <c r="F224" s="15">
        <f t="shared" si="177"/>
        <v>0</v>
      </c>
      <c r="G224" s="19">
        <f t="shared" si="177"/>
        <v>0</v>
      </c>
      <c r="H224" s="12">
        <f t="shared" si="177"/>
        <v>0</v>
      </c>
      <c r="I224" s="15">
        <f t="shared" si="177"/>
        <v>0</v>
      </c>
      <c r="K224" s="13">
        <f t="shared" si="162"/>
        <v>0</v>
      </c>
    </row>
    <row r="225" spans="1:29">
      <c r="A225" s="85" t="s">
        <v>55</v>
      </c>
      <c r="B225" s="67" t="s">
        <v>323</v>
      </c>
      <c r="C225" s="402">
        <f t="shared" ref="C225:I225" si="178">+C227</f>
        <v>30446</v>
      </c>
      <c r="D225" s="1174">
        <f t="shared" si="178"/>
        <v>30446</v>
      </c>
      <c r="E225" s="1174">
        <f t="shared" si="178"/>
        <v>0</v>
      </c>
      <c r="F225" s="16">
        <f t="shared" si="178"/>
        <v>30446</v>
      </c>
      <c r="G225" s="20">
        <f t="shared" si="178"/>
        <v>30446</v>
      </c>
      <c r="H225" s="11">
        <f t="shared" si="178"/>
        <v>0</v>
      </c>
      <c r="I225" s="16">
        <f t="shared" si="178"/>
        <v>0</v>
      </c>
      <c r="K225" s="4">
        <f t="shared" si="162"/>
        <v>0</v>
      </c>
      <c r="L225" s="13"/>
    </row>
    <row r="226" spans="1:29" s="13" customFormat="1">
      <c r="A226" s="86" t="s">
        <v>56</v>
      </c>
      <c r="B226" s="66" t="s">
        <v>286</v>
      </c>
      <c r="C226" s="400">
        <f t="shared" ref="C226:I226" si="179">+C185</f>
        <v>0</v>
      </c>
      <c r="D226" s="1173">
        <f t="shared" si="179"/>
        <v>0</v>
      </c>
      <c r="E226" s="1173">
        <f t="shared" si="179"/>
        <v>0</v>
      </c>
      <c r="F226" s="15">
        <f t="shared" si="179"/>
        <v>0</v>
      </c>
      <c r="G226" s="19">
        <f t="shared" si="179"/>
        <v>0</v>
      </c>
      <c r="H226" s="12">
        <f t="shared" si="179"/>
        <v>0</v>
      </c>
      <c r="I226" s="15">
        <f t="shared" si="179"/>
        <v>0</v>
      </c>
      <c r="K226" s="13">
        <f t="shared" si="162"/>
        <v>0</v>
      </c>
      <c r="L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I227" si="180">+C180+C181+C182+C183+C184+C186+C187</f>
        <v>30446</v>
      </c>
      <c r="D227" s="1176">
        <f t="shared" si="180"/>
        <v>30446</v>
      </c>
      <c r="E227" s="1176">
        <f t="shared" si="180"/>
        <v>0</v>
      </c>
      <c r="F227" s="44">
        <f t="shared" si="180"/>
        <v>30446</v>
      </c>
      <c r="G227" s="45">
        <f t="shared" si="180"/>
        <v>30446</v>
      </c>
      <c r="H227" s="43">
        <f t="shared" si="180"/>
        <v>0</v>
      </c>
      <c r="I227" s="44">
        <f t="shared" si="180"/>
        <v>0</v>
      </c>
      <c r="K227" s="13">
        <f t="shared" si="162"/>
        <v>0</v>
      </c>
      <c r="L227" s="4"/>
    </row>
    <row r="228" spans="1:29" s="3" customFormat="1" ht="12.75" thickBot="1">
      <c r="A228" s="83" t="s">
        <v>6</v>
      </c>
      <c r="B228" s="64" t="s">
        <v>324</v>
      </c>
      <c r="C228" s="129">
        <f t="shared" ref="C228:I228" si="181">+C229-C232</f>
        <v>10000</v>
      </c>
      <c r="D228" s="1171">
        <f t="shared" si="181"/>
        <v>2654032</v>
      </c>
      <c r="E228" s="1171">
        <f t="shared" si="181"/>
        <v>0</v>
      </c>
      <c r="F228" s="29">
        <f t="shared" si="181"/>
        <v>2654032</v>
      </c>
      <c r="G228" s="27">
        <f t="shared" si="181"/>
        <v>2654032</v>
      </c>
      <c r="H228" s="28">
        <f t="shared" si="181"/>
        <v>0</v>
      </c>
      <c r="I228" s="29">
        <f t="shared" si="181"/>
        <v>0</v>
      </c>
      <c r="K228" s="3">
        <f t="shared" si="162"/>
        <v>0</v>
      </c>
      <c r="L228" s="13"/>
    </row>
    <row r="229" spans="1:29">
      <c r="A229" s="84" t="s">
        <v>58</v>
      </c>
      <c r="B229" s="65" t="s">
        <v>325</v>
      </c>
      <c r="C229" s="404">
        <f t="shared" ref="C229:I229" si="182">+C230+C231</f>
        <v>10000</v>
      </c>
      <c r="D229" s="1172">
        <f t="shared" si="182"/>
        <v>2654032</v>
      </c>
      <c r="E229" s="1172">
        <f t="shared" si="182"/>
        <v>0</v>
      </c>
      <c r="F229" s="35">
        <f t="shared" si="182"/>
        <v>2654032</v>
      </c>
      <c r="G229" s="34">
        <f t="shared" si="182"/>
        <v>2654032</v>
      </c>
      <c r="H229" s="10">
        <f t="shared" si="182"/>
        <v>0</v>
      </c>
      <c r="I229" s="35">
        <f t="shared" si="182"/>
        <v>0</v>
      </c>
      <c r="K229" s="4">
        <f t="shared" si="162"/>
        <v>0</v>
      </c>
      <c r="L229" s="13"/>
    </row>
    <row r="230" spans="1:29" s="13" customFormat="1">
      <c r="A230" s="86" t="s">
        <v>292</v>
      </c>
      <c r="B230" s="66" t="s">
        <v>290</v>
      </c>
      <c r="C230" s="400">
        <f t="shared" ref="C230:I230" si="183">+C91+C95</f>
        <v>0</v>
      </c>
      <c r="D230" s="1173">
        <f t="shared" si="183"/>
        <v>2644032</v>
      </c>
      <c r="E230" s="1173">
        <f t="shared" si="183"/>
        <v>0</v>
      </c>
      <c r="F230" s="15">
        <f t="shared" si="183"/>
        <v>2644032</v>
      </c>
      <c r="G230" s="19">
        <f t="shared" si="183"/>
        <v>2644032</v>
      </c>
      <c r="H230" s="12">
        <f t="shared" si="183"/>
        <v>0</v>
      </c>
      <c r="I230" s="15">
        <f t="shared" si="183"/>
        <v>0</v>
      </c>
      <c r="K230" s="13">
        <f t="shared" si="162"/>
        <v>0</v>
      </c>
      <c r="L230" s="4"/>
    </row>
    <row r="231" spans="1:29" s="13" customFormat="1">
      <c r="A231" s="86" t="s">
        <v>293</v>
      </c>
      <c r="B231" s="66" t="s">
        <v>291</v>
      </c>
      <c r="C231" s="400">
        <f t="shared" ref="C231:I231" si="184">+C89+C90+C92+C93+C94+C96</f>
        <v>10000</v>
      </c>
      <c r="D231" s="1173">
        <f t="shared" si="184"/>
        <v>10000</v>
      </c>
      <c r="E231" s="1173">
        <f t="shared" si="184"/>
        <v>0</v>
      </c>
      <c r="F231" s="15">
        <f t="shared" si="184"/>
        <v>10000</v>
      </c>
      <c r="G231" s="19">
        <f t="shared" si="184"/>
        <v>10000</v>
      </c>
      <c r="H231" s="12">
        <f t="shared" si="184"/>
        <v>0</v>
      </c>
      <c r="I231" s="15">
        <f t="shared" si="184"/>
        <v>0</v>
      </c>
      <c r="K231" s="13">
        <f t="shared" si="162"/>
        <v>0</v>
      </c>
    </row>
    <row r="232" spans="1:29">
      <c r="A232" s="85" t="s">
        <v>59</v>
      </c>
      <c r="B232" s="67" t="s">
        <v>326</v>
      </c>
      <c r="C232" s="402">
        <f t="shared" ref="C232:I232" si="185">+C233+C234</f>
        <v>0</v>
      </c>
      <c r="D232" s="1174">
        <f t="shared" si="185"/>
        <v>0</v>
      </c>
      <c r="E232" s="1174">
        <f t="shared" si="185"/>
        <v>0</v>
      </c>
      <c r="F232" s="16">
        <f t="shared" si="185"/>
        <v>0</v>
      </c>
      <c r="G232" s="20">
        <f t="shared" si="185"/>
        <v>0</v>
      </c>
      <c r="H232" s="11">
        <f t="shared" si="185"/>
        <v>0</v>
      </c>
      <c r="I232" s="16">
        <f t="shared" si="185"/>
        <v>0</v>
      </c>
      <c r="K232" s="4">
        <f t="shared" si="162"/>
        <v>0</v>
      </c>
      <c r="L232" s="13"/>
    </row>
    <row r="233" spans="1:29" s="13" customFormat="1">
      <c r="A233" s="86" t="s">
        <v>294</v>
      </c>
      <c r="B233" s="66" t="s">
        <v>288</v>
      </c>
      <c r="C233" s="400">
        <f t="shared" ref="C233:I233" si="186">+C200</f>
        <v>0</v>
      </c>
      <c r="D233" s="1173">
        <f t="shared" si="186"/>
        <v>0</v>
      </c>
      <c r="E233" s="1173">
        <f t="shared" si="186"/>
        <v>0</v>
      </c>
      <c r="F233" s="15">
        <f t="shared" si="186"/>
        <v>0</v>
      </c>
      <c r="G233" s="19">
        <f t="shared" si="186"/>
        <v>0</v>
      </c>
      <c r="H233" s="12">
        <f t="shared" si="186"/>
        <v>0</v>
      </c>
      <c r="I233" s="15">
        <f t="shared" si="186"/>
        <v>0</v>
      </c>
      <c r="K233" s="13">
        <f t="shared" si="162"/>
        <v>0</v>
      </c>
      <c r="L233" s="4"/>
    </row>
    <row r="234" spans="1:29" s="13" customFormat="1" ht="12.75" thickBot="1">
      <c r="A234" s="90" t="s">
        <v>295</v>
      </c>
      <c r="B234" s="75" t="s">
        <v>289</v>
      </c>
      <c r="C234" s="396">
        <f t="shared" ref="C234:I234" si="187">+C195+C196+C197+C198+C199+C201+C202</f>
        <v>0</v>
      </c>
      <c r="D234" s="1277">
        <f t="shared" si="187"/>
        <v>0</v>
      </c>
      <c r="E234" s="1277">
        <f t="shared" si="187"/>
        <v>0</v>
      </c>
      <c r="F234" s="42">
        <f t="shared" si="187"/>
        <v>0</v>
      </c>
      <c r="G234" s="46">
        <f t="shared" si="187"/>
        <v>0</v>
      </c>
      <c r="H234" s="41">
        <f t="shared" si="187"/>
        <v>0</v>
      </c>
      <c r="I234" s="42">
        <f t="shared" si="187"/>
        <v>0</v>
      </c>
      <c r="K234" s="13">
        <f t="shared" si="162"/>
        <v>0</v>
      </c>
      <c r="L234" s="4"/>
    </row>
    <row r="235" spans="1:29">
      <c r="L235" s="2"/>
    </row>
    <row r="236" spans="1:29">
      <c r="L236" s="36"/>
    </row>
    <row r="237" spans="1:29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I238" s="37"/>
      <c r="L238" s="13"/>
    </row>
    <row r="239" spans="1:29" s="3" customFormat="1">
      <c r="A239" s="91" t="s">
        <v>4</v>
      </c>
      <c r="B239" s="76" t="s">
        <v>91</v>
      </c>
      <c r="C239" s="1185">
        <f>+'1.1.mell._ÖNK_Mérleg2020'!C239+'1.2.mell._HKÖH_Mérleg2020'!C239+'1.3.mell._HVÓBKI_Mérleg2020'!C239+'1.4.mell._HKK_Mérleg2020'!C239+'1.5._mell._MŐSZ_Mérleg2020'!C239+'1.6._mell._HVGYKCSSZ_Mérleg2020'!C239</f>
        <v>196</v>
      </c>
      <c r="D239" s="1278">
        <f>+'1.1.mell._ÖNK_Mérleg2020'!D239+'1.2.mell._HKÖH_Mérleg2020'!D239+'1.3.mell._HVÓBKI_Mérleg2020'!D239+'1.4.mell._HKK_Mérleg2020'!D239+'1.5._mell._MŐSZ_Mérleg2020'!D239+'1.6._mell._HVGYKCSSZ_Mérleg2020'!D239</f>
        <v>223</v>
      </c>
      <c r="E239" s="1278">
        <f>+'1.1.mell._ÖNK_Mérleg2020'!E239+'1.2.mell._HKÖH_Mérleg2020'!E239+'1.3.mell._HVÓBKI_Mérleg2020'!E239+'1.4.mell._HKK_Mérleg2020'!E239+'1.5._mell._MŐSZ_Mérleg2020'!E239+'1.6._mell._HVGYKCSSZ_Mérleg2020'!E239</f>
        <v>0</v>
      </c>
      <c r="F239" s="56">
        <f>+'1.1.mell._ÖNK_Mérleg2020'!F239+'1.2.mell._HKÖH_Mérleg2020'!F239+'1.3.mell._HVÓBKI_Mérleg2020'!F239+'1.4.mell._HKK_Mérleg2020'!F239+'1.5._mell._MŐSZ_Mérleg2020'!F239+'1.6._mell._HVGYKCSSZ_Mérleg2020'!F239</f>
        <v>223</v>
      </c>
      <c r="G239" s="54">
        <f>+'1.1.mell._ÖNK_Mérleg2020'!G239+'1.2.mell._HKÖH_Mérleg2020'!G239+'1.3.mell._HVÓBKI_Mérleg2020'!G239+'1.4.mell._HKK_Mérleg2020'!G239+'1.5._mell._MŐSZ_Mérleg2020'!G239+'1.6._mell._HVGYKCSSZ_Mérleg2020'!G239</f>
        <v>214</v>
      </c>
      <c r="H239" s="55">
        <f>+'1.1.mell._ÖNK_Mérleg2020'!H239+'1.2.mell._HKÖH_Mérleg2020'!H239+'1.3.mell._HVÓBKI_Mérleg2020'!H239+'1.4.mell._HKK_Mérleg2020'!H239+'1.5._mell._MŐSZ_Mérleg2020'!H239+'1.6._mell._HVGYKCSSZ_Mérleg2020'!H239</f>
        <v>9</v>
      </c>
      <c r="I239" s="56">
        <f>+'1.1.mell._ÖNK_Mérleg2020'!I239+'1.2.mell._HKÖH_Mérleg2020'!I239+'1.3.mell._HVÓBKI_Mérleg2020'!I239+'1.4.mell._HKK_Mérleg2020'!I239+'1.5._mell._MŐSZ_Mérleg2020'!I239+'1.6._mell._HVGYKCSSZ_Mérleg2020'!I239</f>
        <v>0</v>
      </c>
      <c r="K239" s="3">
        <f t="shared" si="162"/>
        <v>0</v>
      </c>
    </row>
    <row r="240" spans="1:29" s="13" customFormat="1">
      <c r="A240" s="89" t="s">
        <v>350</v>
      </c>
      <c r="B240" s="99" t="s">
        <v>351</v>
      </c>
      <c r="C240" s="1186">
        <f>+'1.1.mell._ÖNK_Mérleg2020'!C240+'1.2.mell._HKÖH_Mérleg2020'!C240+'1.3.mell._HVÓBKI_Mérleg2020'!C240+'1.4.mell._HKK_Mérleg2020'!C240+'1.5._mell._MŐSZ_Mérleg2020'!C240+'1.6._mell._HVGYKCSSZ_Mérleg2020'!C240</f>
        <v>0</v>
      </c>
      <c r="D240" s="1279">
        <f>+'1.1.mell._ÖNK_Mérleg2020'!D240+'1.2.mell._HKÖH_Mérleg2020'!D240+'1.3.mell._HVÓBKI_Mérleg2020'!D240+'1.4.mell._HKK_Mérleg2020'!D240+'1.5._mell._MŐSZ_Mérleg2020'!D240+'1.6._mell._HVGYKCSSZ_Mérleg2020'!D240</f>
        <v>0</v>
      </c>
      <c r="E240" s="1279">
        <f>+'1.1.mell._ÖNK_Mérleg2020'!E240+'1.2.mell._HKÖH_Mérleg2020'!E240+'1.3.mell._HVÓBKI_Mérleg2020'!E240+'1.4.mell._HKK_Mérleg2020'!E240+'1.5._mell._MŐSZ_Mérleg2020'!E240+'1.6._mell._HVGYKCSSZ_Mérleg2020'!E240</f>
        <v>0</v>
      </c>
      <c r="F240" s="102">
        <f>+'1.1.mell._ÖNK_Mérleg2020'!F240+'1.2.mell._HKÖH_Mérleg2020'!F240+'1.3.mell._HVÓBKI_Mérleg2020'!F240+'1.4.mell._HKK_Mérleg2020'!F240+'1.5._mell._MŐSZ_Mérleg2020'!F240+'1.6._mell._HVGYKCSSZ_Mérleg2020'!F240</f>
        <v>0</v>
      </c>
      <c r="G240" s="100">
        <f>+'1.1.mell._ÖNK_Mérleg2020'!G240+'1.2.mell._HKÖH_Mérleg2020'!G240+'1.3.mell._HVÓBKI_Mérleg2020'!G240+'1.4.mell._HKK_Mérleg2020'!G240+'1.5._mell._MŐSZ_Mérleg2020'!G240+'1.6._mell._HVGYKCSSZ_Mérleg2020'!G240</f>
        <v>0</v>
      </c>
      <c r="H240" s="101">
        <f>+'1.1.mell._ÖNK_Mérleg2020'!H240+'1.2.mell._HKÖH_Mérleg2020'!H240+'1.3.mell._HVÓBKI_Mérleg2020'!H240+'1.4.mell._HKK_Mérleg2020'!H240+'1.5._mell._MŐSZ_Mérleg2020'!H240+'1.6._mell._HVGYKCSSZ_Mérleg2020'!H240</f>
        <v>0</v>
      </c>
      <c r="I240" s="102">
        <f>+'1.1.mell._ÖNK_Mérleg2020'!I240+'1.2.mell._HKÖH_Mérleg2020'!I240+'1.3.mell._HVÓBKI_Mérleg2020'!I240+'1.4.mell._HKK_Mérleg2020'!I240+'1.5._mell._MŐSZ_Mérleg2020'!I240+'1.6._mell._HVGYKCSSZ_Mérleg2020'!I240</f>
        <v>0</v>
      </c>
      <c r="K240" s="13">
        <f t="shared" si="162"/>
        <v>0</v>
      </c>
      <c r="L240" s="3"/>
    </row>
    <row r="241" spans="1:12" s="3" customFormat="1" ht="12.75" thickBot="1">
      <c r="A241" s="92" t="s">
        <v>5</v>
      </c>
      <c r="B241" s="77" t="s">
        <v>92</v>
      </c>
      <c r="C241" s="1187">
        <f>+'1.1.mell._ÖNK_Mérleg2020'!C241+'1.2.mell._HKÖH_Mérleg2020'!C241+'1.3.mell._HVÓBKI_Mérleg2020'!C241+'1.4.mell._HKK_Mérleg2020'!C241+'1.5._mell._MŐSZ_Mérleg2020'!C241+'1.6._mell._HVGYKCSSZ_Mérleg2020'!C241</f>
        <v>148</v>
      </c>
      <c r="D241" s="1280">
        <f>+'1.1.mell._ÖNK_Mérleg2020'!D241+'1.2.mell._HKÖH_Mérleg2020'!D241+'1.3.mell._HVÓBKI_Mérleg2020'!D241+'1.4.mell._HKK_Mérleg2020'!D241+'1.5._mell._MŐSZ_Mérleg2020'!D241+'1.6._mell._HVGYKCSSZ_Mérleg2020'!D241</f>
        <v>159</v>
      </c>
      <c r="E241" s="1280">
        <f>+'1.1.mell._ÖNK_Mérleg2020'!E241+'1.2.mell._HKÖH_Mérleg2020'!E241+'1.3.mell._HVÓBKI_Mérleg2020'!E241+'1.4.mell._HKK_Mérleg2020'!E241+'1.5._mell._MŐSZ_Mérleg2020'!E241+'1.6._mell._HVGYKCSSZ_Mérleg2020'!E241</f>
        <v>0</v>
      </c>
      <c r="F241" s="59">
        <f>+'1.1.mell._ÖNK_Mérleg2020'!F241+'1.2.mell._HKÖH_Mérleg2020'!F241+'1.3.mell._HVÓBKI_Mérleg2020'!F241+'1.4.mell._HKK_Mérleg2020'!F241+'1.5._mell._MŐSZ_Mérleg2020'!F241+'1.6._mell._HVGYKCSSZ_Mérleg2020'!F241</f>
        <v>159</v>
      </c>
      <c r="G241" s="57">
        <f>+'1.1.mell._ÖNK_Mérleg2020'!G241+'1.2.mell._HKÖH_Mérleg2020'!G241+'1.3.mell._HVÓBKI_Mérleg2020'!G241+'1.4.mell._HKK_Mérleg2020'!G241+'1.5._mell._MŐSZ_Mérleg2020'!G241+'1.6._mell._HVGYKCSSZ_Mérleg2020'!G241</f>
        <v>159</v>
      </c>
      <c r="H241" s="58">
        <f>+'1.1.mell._ÖNK_Mérleg2020'!H241+'1.2.mell._HKÖH_Mérleg2020'!H241+'1.3.mell._HVÓBKI_Mérleg2020'!H241+'1.4.mell._HKK_Mérleg2020'!H241+'1.5._mell._MŐSZ_Mérleg2020'!H241+'1.6._mell._HVGYKCSSZ_Mérleg2020'!H241</f>
        <v>0</v>
      </c>
      <c r="I241" s="59">
        <f>+'1.1.mell._ÖNK_Mérleg2020'!I241+'1.2.mell._HKÖH_Mérleg2020'!I241+'1.3.mell._HVÓBKI_Mérleg2020'!I241+'1.4.mell._HKK_Mérleg2020'!I241+'1.5._mell._MŐSZ_Mérleg2020'!I241+'1.6._mell._HVGYKCSSZ_Mérleg2020'!I241</f>
        <v>0</v>
      </c>
      <c r="K241" s="3">
        <f t="shared" si="162"/>
        <v>0</v>
      </c>
      <c r="L241" s="4"/>
    </row>
    <row r="242" spans="1:12" s="3" customFormat="1" ht="12.75" thickBot="1">
      <c r="A242" s="83" t="s">
        <v>6</v>
      </c>
      <c r="B242" s="69" t="s">
        <v>329</v>
      </c>
      <c r="C242" s="1188">
        <f t="shared" ref="C242" si="188">+C239+C241</f>
        <v>344</v>
      </c>
      <c r="D242" s="1281">
        <f t="shared" ref="D242" si="189">+D239+D241</f>
        <v>382</v>
      </c>
      <c r="E242" s="1281">
        <f t="shared" ref="E242" si="190">+E239+E241</f>
        <v>0</v>
      </c>
      <c r="F242" s="62">
        <f t="shared" ref="F242" si="191">+F239+F241</f>
        <v>382</v>
      </c>
      <c r="G242" s="60">
        <f t="shared" ref="G242:I242" si="192">+G239+G241</f>
        <v>373</v>
      </c>
      <c r="H242" s="61">
        <f t="shared" si="192"/>
        <v>9</v>
      </c>
      <c r="I242" s="62">
        <f t="shared" si="192"/>
        <v>0</v>
      </c>
      <c r="K242" s="3">
        <f t="shared" si="162"/>
        <v>0</v>
      </c>
      <c r="L242" s="4"/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9:I9"/>
    <mergeCell ref="C108:I108"/>
  </mergeCells>
  <conditionalFormatting sqref="F26:I31 F89:I100 F74:I85 F65:I69 F59:I63 F52:I57 F45:I49 F33:I43 F13:I24 F195:I206 F180:I191 F166:I175 F160:I164 F151:I158 F147:I148 F133:I145 F124:I131 F117:I122 F111:I115">
    <cfRule type="cellIs" dxfId="3" priority="5" stopIfTrue="1" operator="equal">
      <formula>0</formula>
    </cfRule>
  </conditionalFormatting>
  <conditionalFormatting sqref="E26:E31 E89:E100 E74:E85 E65:E69 E59:E63 E52:E57 E45:E49 E33:E43 E13:E24 E195:E206 E180:E191 E166:E175 E160:E164 E151:E158 E147:E148 E133:E145 E124:E131 E117:E122 E111:E115">
    <cfRule type="cellIs" dxfId="2" priority="3" stopIfTrue="1" operator="equal">
      <formula>0</formula>
    </cfRule>
  </conditionalFormatting>
  <conditionalFormatting sqref="D26:D31 D89:D100 D74:D85 D65:D69 D59:D63 D52:D57 D45:D49 D33:D43 D13:D24 D195:D206 D180:D191 D166:D175 D160:D164 D151:D158 D147:D148 D133:D145 D124:D131 D117:D122 D111:D115">
    <cfRule type="cellIs" dxfId="1" priority="2" stopIfTrue="1" operator="equal">
      <formula>0</formula>
    </cfRule>
  </conditionalFormatting>
  <conditionalFormatting sqref="C26:C31 C89:C100 C74:C85 C65:C69 C59:C63 C52:C57 C45:C49 C33:C43 C13:C24 C195:C206 C180:C191 C166:C175 C160:C164 C151:C158 C147:C148 C133:C145 C124:C131 C117:C122 C111:C115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E242"/>
  <sheetViews>
    <sheetView topLeftCell="A31"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18" customWidth="1"/>
    <col min="7" max="9" width="9.28515625" style="4" customWidth="1"/>
    <col min="10" max="11" width="9.140625" style="4" hidden="1" customWidth="1"/>
    <col min="12" max="16384" width="9.140625" style="4"/>
  </cols>
  <sheetData>
    <row r="1" spans="1:11" s="50" customFormat="1" ht="15.75">
      <c r="F1" s="1190"/>
      <c r="I1" s="51" t="s">
        <v>352</v>
      </c>
    </row>
    <row r="2" spans="1:11" s="50" customFormat="1" ht="15.75">
      <c r="F2" s="1190"/>
    </row>
    <row r="3" spans="1:11" s="52" customFormat="1" ht="15.75">
      <c r="A3" s="1448" t="s">
        <v>353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>
      <c r="F5" s="1190"/>
    </row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F7" s="1191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1508776</v>
      </c>
      <c r="D10" s="1170">
        <f>+D11+D25+D32+D44</f>
        <v>1658725</v>
      </c>
      <c r="E10" s="1170">
        <f>+E11+E25+E32+E44</f>
        <v>20604</v>
      </c>
      <c r="F10" s="1192">
        <f t="shared" ref="F10" si="0">+F11+F25+F32+F44</f>
        <v>1679329</v>
      </c>
      <c r="G10" s="31">
        <f>+G11+G25+G32+G44</f>
        <v>1679329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988986</v>
      </c>
      <c r="D11" s="1171">
        <f>+D12+D19+D20+D21+D22+D23</f>
        <v>1182045</v>
      </c>
      <c r="E11" s="1171">
        <f>+E12+E19+E20+E21+E22+E23</f>
        <v>20604</v>
      </c>
      <c r="F11" s="112">
        <f t="shared" ref="F11" si="1">+F12+F19+F20+F21+F22+F23</f>
        <v>1202649</v>
      </c>
      <c r="G11" s="27">
        <f>+G12+G19+G20+G21+G22+G23</f>
        <v>1202649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917056</v>
      </c>
      <c r="D12" s="1172">
        <f>+D13+D14+D15+D16+D17+D18</f>
        <v>985221</v>
      </c>
      <c r="E12" s="1172">
        <f>+E13+E14+E15+E16+E17+E18</f>
        <v>19935</v>
      </c>
      <c r="F12" s="1193">
        <f t="shared" ref="F12" si="3">+F13+F14+F15+F16+F17+F18</f>
        <v>1005156</v>
      </c>
      <c r="G12" s="18">
        <f>+G13+G14+G15+G16+G17+G18</f>
        <v>1005156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>
        <v>221585</v>
      </c>
      <c r="D13" s="1173">
        <v>222376</v>
      </c>
      <c r="E13" s="1173"/>
      <c r="F13" s="722">
        <f>+D13+E13</f>
        <v>222376</v>
      </c>
      <c r="G13" s="19">
        <f>221585+791</f>
        <v>222376</v>
      </c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>
        <v>238516</v>
      </c>
      <c r="D14" s="1173">
        <v>256541</v>
      </c>
      <c r="E14" s="1173">
        <v>2585</v>
      </c>
      <c r="F14" s="722">
        <f t="shared" ref="F14:F24" si="4">+D14+E14</f>
        <v>259126</v>
      </c>
      <c r="G14" s="19">
        <f>238516+18025+2585</f>
        <v>259126</v>
      </c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>
        <v>287846</v>
      </c>
      <c r="D15" s="1173">
        <v>297828</v>
      </c>
      <c r="E15" s="1173">
        <v>11695</v>
      </c>
      <c r="F15" s="722">
        <f t="shared" si="4"/>
        <v>309523</v>
      </c>
      <c r="G15" s="19">
        <f>287846+9982+11695</f>
        <v>309523</v>
      </c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>
        <v>13207</v>
      </c>
      <c r="D16" s="1173">
        <v>17747</v>
      </c>
      <c r="E16" s="1173"/>
      <c r="F16" s="722">
        <f t="shared" si="4"/>
        <v>17747</v>
      </c>
      <c r="G16" s="19">
        <f>13207+4540</f>
        <v>17747</v>
      </c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>
        <v>155902</v>
      </c>
      <c r="D17" s="1173">
        <f>(155902+(6938+210+929))+(21100+5017+533+100)</f>
        <v>190729</v>
      </c>
      <c r="E17" s="1173">
        <f>5029+527+99</f>
        <v>5655</v>
      </c>
      <c r="F17" s="722">
        <f t="shared" si="4"/>
        <v>196384</v>
      </c>
      <c r="G17" s="19">
        <f>155902+8077+26750+5655</f>
        <v>196384</v>
      </c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3"/>
      <c r="E18" s="1173"/>
      <c r="F18" s="722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>
        <v>8014</v>
      </c>
      <c r="D19" s="1174">
        <v>32148</v>
      </c>
      <c r="E19" s="1174"/>
      <c r="F19" s="985">
        <f t="shared" si="4"/>
        <v>32148</v>
      </c>
      <c r="G19" s="20">
        <f>8014+1000+23134</f>
        <v>32148</v>
      </c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4"/>
      <c r="E20" s="1174"/>
      <c r="F20" s="985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4"/>
      <c r="E21" s="1174"/>
      <c r="F21" s="985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4"/>
      <c r="E22" s="1174"/>
      <c r="F22" s="985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63916</v>
      </c>
      <c r="D23" s="1175">
        <f>(63916+(41083+49476))+(6009+4192)</f>
        <v>164676</v>
      </c>
      <c r="E23" s="1175">
        <v>669</v>
      </c>
      <c r="F23" s="988">
        <f t="shared" si="4"/>
        <v>165345</v>
      </c>
      <c r="G23" s="21">
        <f>63916+90559+10201+669</f>
        <v>165345</v>
      </c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6"/>
      <c r="E24" s="1176"/>
      <c r="F24" s="1039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396552</v>
      </c>
      <c r="D25" s="1171">
        <f>+D26+D27+D28+D29+D30+D31</f>
        <v>347952</v>
      </c>
      <c r="E25" s="1171">
        <f>+E26+E27+E28+E29+E30+E31</f>
        <v>0</v>
      </c>
      <c r="F25" s="112">
        <f t="shared" ref="F25" si="5">+F26+F27+F28+F29+F30+F31</f>
        <v>347952</v>
      </c>
      <c r="G25" s="27">
        <f>+G26+G27+G28+G29+G30+G31</f>
        <v>347952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>
        <v>50</v>
      </c>
      <c r="D26" s="1172">
        <v>50</v>
      </c>
      <c r="E26" s="1172"/>
      <c r="F26" s="116">
        <f t="shared" ref="F26:F31" si="6">+D26+E26</f>
        <v>50</v>
      </c>
      <c r="G26" s="34">
        <v>50</v>
      </c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4"/>
      <c r="E27" s="1174"/>
      <c r="F27" s="985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4"/>
      <c r="E28" s="1174"/>
      <c r="F28" s="985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>
        <v>66952</v>
      </c>
      <c r="D29" s="1174">
        <v>65852</v>
      </c>
      <c r="E29" s="1174"/>
      <c r="F29" s="985">
        <f t="shared" si="6"/>
        <v>65852</v>
      </c>
      <c r="G29" s="20">
        <f>66952-1100</f>
        <v>65852</v>
      </c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>
        <v>328350</v>
      </c>
      <c r="D30" s="1175">
        <f>(328350-27500)+-20000</f>
        <v>280850</v>
      </c>
      <c r="E30" s="1175"/>
      <c r="F30" s="988">
        <f t="shared" si="6"/>
        <v>280850</v>
      </c>
      <c r="G30" s="21">
        <f>328350-27500-20000</f>
        <v>280850</v>
      </c>
      <c r="H30" s="22"/>
      <c r="I30" s="23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1200</v>
      </c>
      <c r="D31" s="1175">
        <v>1200</v>
      </c>
      <c r="E31" s="1175"/>
      <c r="F31" s="988">
        <f t="shared" si="6"/>
        <v>1200</v>
      </c>
      <c r="G31" s="21">
        <v>1200</v>
      </c>
      <c r="H31" s="22"/>
      <c r="I31" s="23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123238</v>
      </c>
      <c r="D32" s="1171">
        <f>+D33+D34+D35+D36+D37+D38+D39+D40+D41+D42+D43</f>
        <v>123238</v>
      </c>
      <c r="E32" s="1171">
        <f>+E33+E34+E35+E36+E37+E38+E39+E40+E41+E42+E43</f>
        <v>0</v>
      </c>
      <c r="F32" s="112">
        <f t="shared" ref="F32" si="7">+F33+F34+F35+F36+F37+F38+F39+F40+F41+F42+F43</f>
        <v>123238</v>
      </c>
      <c r="G32" s="27">
        <f>+G33+G34+G35+G36+G37+G38+G39+G40+G41+G42+G43</f>
        <v>123238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>
        <v>8000</v>
      </c>
      <c r="D33" s="1172">
        <v>8000</v>
      </c>
      <c r="E33" s="1172"/>
      <c r="F33" s="116">
        <f t="shared" ref="F33:F43" si="8">+D33+E33</f>
        <v>8000</v>
      </c>
      <c r="G33" s="34">
        <v>8000</v>
      </c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34208</v>
      </c>
      <c r="D34" s="1174">
        <v>34208</v>
      </c>
      <c r="E34" s="1174"/>
      <c r="F34" s="985">
        <f t="shared" si="8"/>
        <v>34208</v>
      </c>
      <c r="G34" s="20">
        <v>34208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4"/>
      <c r="E35" s="1174"/>
      <c r="F35" s="985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>
        <v>236</v>
      </c>
      <c r="D36" s="1174">
        <v>236</v>
      </c>
      <c r="E36" s="1174"/>
      <c r="F36" s="985">
        <f t="shared" si="8"/>
        <v>236</v>
      </c>
      <c r="G36" s="20">
        <v>236</v>
      </c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4"/>
      <c r="E37" s="1174"/>
      <c r="F37" s="985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>
        <v>9300</v>
      </c>
      <c r="D38" s="1174">
        <v>9300</v>
      </c>
      <c r="E38" s="1174"/>
      <c r="F38" s="985">
        <f t="shared" si="8"/>
        <v>9300</v>
      </c>
      <c r="G38" s="20">
        <v>9300</v>
      </c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>
        <v>9851</v>
      </c>
      <c r="D39" s="1174">
        <v>9851</v>
      </c>
      <c r="E39" s="1174"/>
      <c r="F39" s="985">
        <f t="shared" si="8"/>
        <v>9851</v>
      </c>
      <c r="G39" s="20">
        <v>9851</v>
      </c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4"/>
      <c r="E40" s="1174"/>
      <c r="F40" s="985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4"/>
      <c r="E41" s="1174"/>
      <c r="F41" s="985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4"/>
      <c r="E42" s="1174"/>
      <c r="F42" s="985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>
        <v>61643</v>
      </c>
      <c r="D43" s="1175">
        <v>61643</v>
      </c>
      <c r="E43" s="1175"/>
      <c r="F43" s="988">
        <f t="shared" si="8"/>
        <v>61643</v>
      </c>
      <c r="G43" s="21">
        <v>61643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5490</v>
      </c>
      <c r="E44" s="1171">
        <f>+E45+E46+E47+E48+E49</f>
        <v>0</v>
      </c>
      <c r="F44" s="112">
        <f t="shared" ref="F44" si="9">+F45+F46+F47+F48+F49</f>
        <v>5490</v>
      </c>
      <c r="G44" s="27">
        <f>+G45+G46+G47+G48+G49</f>
        <v>5490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2"/>
      <c r="E45" s="1172"/>
      <c r="F45" s="116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2"/>
      <c r="D46" s="1174"/>
      <c r="E46" s="1174"/>
      <c r="F46" s="985">
        <f t="shared" si="10"/>
        <v>0</v>
      </c>
      <c r="G46" s="20"/>
      <c r="H46" s="11"/>
      <c r="I46" s="16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3"/>
      <c r="D47" s="1175"/>
      <c r="E47" s="1175"/>
      <c r="F47" s="988">
        <f t="shared" si="10"/>
        <v>0</v>
      </c>
      <c r="G47" s="21"/>
      <c r="H47" s="22"/>
      <c r="I47" s="23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4">
        <f>4000+100</f>
        <v>4100</v>
      </c>
      <c r="E48" s="1174"/>
      <c r="F48" s="985">
        <f t="shared" si="10"/>
        <v>4100</v>
      </c>
      <c r="G48" s="20">
        <f>0+4100</f>
        <v>4100</v>
      </c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5">
        <v>1390</v>
      </c>
      <c r="E49" s="1175"/>
      <c r="F49" s="988">
        <f t="shared" si="10"/>
        <v>1390</v>
      </c>
      <c r="G49" s="21">
        <f>0+1390</f>
        <v>1390</v>
      </c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73726</v>
      </c>
      <c r="D50" s="1171">
        <f>+D51+D58+D64</f>
        <v>73726</v>
      </c>
      <c r="E50" s="1171">
        <f>+E51+E58+E64</f>
        <v>0</v>
      </c>
      <c r="F50" s="112">
        <f t="shared" ref="F50" si="11">+F51+F58+F64</f>
        <v>73726</v>
      </c>
      <c r="G50" s="27">
        <f>+G51+G58+G64</f>
        <v>72626</v>
      </c>
      <c r="H50" s="28">
        <f>+H51+H58+H64</f>
        <v>1100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32276</v>
      </c>
      <c r="D51" s="1171">
        <f>+D52+D53+D54+D55+D56</f>
        <v>32276</v>
      </c>
      <c r="E51" s="1171">
        <f>+E52+E53+E54+E55+E56</f>
        <v>0</v>
      </c>
      <c r="F51" s="112">
        <f t="shared" ref="F51" si="12">+F52+F53+F54+F55+F56</f>
        <v>32276</v>
      </c>
      <c r="G51" s="27">
        <f>+G52+G53+G54+G55+G56</f>
        <v>32276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2"/>
      <c r="E52" s="1172"/>
      <c r="F52" s="116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4"/>
      <c r="E53" s="1174"/>
      <c r="F53" s="985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4"/>
      <c r="E54" s="1174"/>
      <c r="F54" s="985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4"/>
      <c r="E55" s="1174"/>
      <c r="F55" s="985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>
        <v>32276</v>
      </c>
      <c r="D56" s="1175">
        <v>32276</v>
      </c>
      <c r="E56" s="1175"/>
      <c r="F56" s="988">
        <f t="shared" si="13"/>
        <v>32276</v>
      </c>
      <c r="G56" s="21">
        <v>32276</v>
      </c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6"/>
      <c r="E57" s="1176"/>
      <c r="F57" s="1039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40350</v>
      </c>
      <c r="D58" s="1171">
        <f>+D59+D60+D61+D62+D63</f>
        <v>40350</v>
      </c>
      <c r="E58" s="1171">
        <f>+E59+E60+E61+E62+E63</f>
        <v>0</v>
      </c>
      <c r="F58" s="112">
        <f t="shared" ref="F58" si="14">+F59+F60+F61+F62+F63</f>
        <v>40350</v>
      </c>
      <c r="G58" s="27">
        <f>+G59+G60+G61+G62+G63</f>
        <v>40350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2"/>
      <c r="E59" s="1172"/>
      <c r="F59" s="116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>
        <v>40350</v>
      </c>
      <c r="D60" s="1174">
        <v>40350</v>
      </c>
      <c r="E60" s="1174"/>
      <c r="F60" s="985">
        <f t="shared" si="15"/>
        <v>40350</v>
      </c>
      <c r="G60" s="20">
        <v>40350</v>
      </c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4"/>
      <c r="E61" s="1174"/>
      <c r="F61" s="985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4"/>
      <c r="E62" s="1174"/>
      <c r="F62" s="985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5"/>
      <c r="E63" s="1175"/>
      <c r="F63" s="988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1100</v>
      </c>
      <c r="D64" s="1171">
        <f>+D65+D66+D67+D68+D69</f>
        <v>1100</v>
      </c>
      <c r="E64" s="1171">
        <f>+E65+E66+E67+E68+E69</f>
        <v>0</v>
      </c>
      <c r="F64" s="112">
        <f t="shared" ref="F64" si="16">+F65+F66+F67+F68+F69</f>
        <v>1100</v>
      </c>
      <c r="G64" s="27">
        <f>+G65+G66+G67+G68+G69</f>
        <v>0</v>
      </c>
      <c r="H64" s="28">
        <f>+H65+H66+H67+H68+H69</f>
        <v>1100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2"/>
      <c r="E65" s="1172"/>
      <c r="F65" s="116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2"/>
      <c r="D66" s="1174"/>
      <c r="E66" s="1174"/>
      <c r="F66" s="985">
        <f t="shared" si="17"/>
        <v>0</v>
      </c>
      <c r="G66" s="20"/>
      <c r="H66" s="11"/>
      <c r="I66" s="16"/>
      <c r="K66" s="4">
        <f t="shared" si="2"/>
        <v>0</v>
      </c>
    </row>
    <row r="67" spans="1:11">
      <c r="A67" s="84" t="s">
        <v>71</v>
      </c>
      <c r="B67" s="65" t="s">
        <v>909</v>
      </c>
      <c r="C67" s="403"/>
      <c r="D67" s="1175"/>
      <c r="E67" s="1175"/>
      <c r="F67" s="988">
        <f t="shared" si="17"/>
        <v>0</v>
      </c>
      <c r="G67" s="21"/>
      <c r="H67" s="22"/>
      <c r="I67" s="23"/>
      <c r="K67" s="4">
        <f t="shared" si="2"/>
        <v>0</v>
      </c>
    </row>
    <row r="68" spans="1:11">
      <c r="A68" s="85" t="s">
        <v>72</v>
      </c>
      <c r="B68" s="67" t="s">
        <v>905</v>
      </c>
      <c r="C68" s="402">
        <v>1100</v>
      </c>
      <c r="D68" s="1174">
        <v>1100</v>
      </c>
      <c r="E68" s="1174"/>
      <c r="F68" s="985">
        <f t="shared" si="17"/>
        <v>1100</v>
      </c>
      <c r="G68" s="20"/>
      <c r="H68" s="11">
        <v>1100</v>
      </c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5"/>
      <c r="E69" s="1175"/>
      <c r="F69" s="988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1582502</v>
      </c>
      <c r="D70" s="1171">
        <f>+D10+D50</f>
        <v>1732451</v>
      </c>
      <c r="E70" s="1171">
        <f>+E10+E50</f>
        <v>20604</v>
      </c>
      <c r="F70" s="112">
        <f t="shared" ref="F70" si="18">+F10+F50</f>
        <v>1753055</v>
      </c>
      <c r="G70" s="27">
        <f>+G10+G50</f>
        <v>1751955</v>
      </c>
      <c r="H70" s="28">
        <f>+H10+H50</f>
        <v>1100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2876249</v>
      </c>
      <c r="D71" s="1171">
        <f>+D72</f>
        <v>686696</v>
      </c>
      <c r="E71" s="1171">
        <f>+E72</f>
        <v>0</v>
      </c>
      <c r="F71" s="112">
        <f t="shared" ref="F71" si="19">+F72</f>
        <v>686696</v>
      </c>
      <c r="G71" s="27">
        <f>+G72</f>
        <v>686696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2876249</v>
      </c>
      <c r="D72" s="1171">
        <f>+D73+D83+D84+D85</f>
        <v>686696</v>
      </c>
      <c r="E72" s="1171">
        <f>+E73+E83+E84+E85</f>
        <v>0</v>
      </c>
      <c r="F72" s="112">
        <f t="shared" ref="F72" si="20">+F73+F83+F84+F85</f>
        <v>686696</v>
      </c>
      <c r="G72" s="27">
        <f>+G73+G83+G84+G85</f>
        <v>686696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2876249</v>
      </c>
      <c r="D73" s="1172">
        <f>+D74+D75+D76+D77+D78+D79+D80+D81+D82</f>
        <v>686696</v>
      </c>
      <c r="E73" s="1172">
        <f>+E74+E75+E76+E77+E78+E79+E80+E81+E82</f>
        <v>0</v>
      </c>
      <c r="F73" s="116">
        <f t="shared" ref="F73" si="21">+F74+F75+F76+F77+F78+F79+F80+F81+F82</f>
        <v>686696</v>
      </c>
      <c r="G73" s="34">
        <f>+G74+G75+G76+G77+G78+G79+G80+G81+G82</f>
        <v>686696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3"/>
      <c r="E74" s="1173"/>
      <c r="F74" s="722">
        <f t="shared" ref="F74:F85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3"/>
      <c r="E75" s="1173"/>
      <c r="F75" s="722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>
        <v>2876249</v>
      </c>
      <c r="D76" s="1173">
        <f>2876249-2189553</f>
        <v>686696</v>
      </c>
      <c r="E76" s="1173"/>
      <c r="F76" s="722">
        <f>+D76+E76</f>
        <v>686696</v>
      </c>
      <c r="G76" s="19">
        <f>2876249-2189553</f>
        <v>686696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3"/>
      <c r="E77" s="1173"/>
      <c r="F77" s="722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3"/>
      <c r="E78" s="1173"/>
      <c r="F78" s="722">
        <f t="shared" si="22"/>
        <v>0</v>
      </c>
      <c r="G78" s="19"/>
      <c r="H78" s="12"/>
      <c r="I78" s="15"/>
      <c r="K78" s="13">
        <f t="shared" si="23"/>
        <v>0</v>
      </c>
    </row>
    <row r="79" spans="1:11" s="117" customFormat="1">
      <c r="A79" s="108" t="s">
        <v>200</v>
      </c>
      <c r="B79" s="109" t="s">
        <v>250</v>
      </c>
      <c r="C79" s="1166"/>
      <c r="D79" s="1177"/>
      <c r="E79" s="1177"/>
      <c r="F79" s="722">
        <f t="shared" si="22"/>
        <v>0</v>
      </c>
      <c r="G79" s="720"/>
      <c r="H79" s="721"/>
      <c r="I79" s="722"/>
      <c r="K79" s="117">
        <f t="shared" si="23"/>
        <v>0</v>
      </c>
    </row>
    <row r="80" spans="1:11" s="117" customFormat="1">
      <c r="A80" s="86" t="s">
        <v>203</v>
      </c>
      <c r="B80" s="66" t="s">
        <v>251</v>
      </c>
      <c r="C80" s="1166"/>
      <c r="D80" s="1177"/>
      <c r="E80" s="1177"/>
      <c r="F80" s="722">
        <f t="shared" si="22"/>
        <v>0</v>
      </c>
      <c r="G80" s="720"/>
      <c r="H80" s="721"/>
      <c r="I80" s="722"/>
      <c r="K80" s="117">
        <f t="shared" si="23"/>
        <v>0</v>
      </c>
    </row>
    <row r="81" spans="1:11" s="117" customFormat="1">
      <c r="A81" s="86" t="s">
        <v>201</v>
      </c>
      <c r="B81" s="66" t="s">
        <v>244</v>
      </c>
      <c r="C81" s="1166"/>
      <c r="D81" s="1177"/>
      <c r="E81" s="1177"/>
      <c r="F81" s="722">
        <f t="shared" si="22"/>
        <v>0</v>
      </c>
      <c r="G81" s="720"/>
      <c r="H81" s="721"/>
      <c r="I81" s="722"/>
      <c r="K81" s="117">
        <f t="shared" si="23"/>
        <v>0</v>
      </c>
    </row>
    <row r="82" spans="1:11" s="117" customFormat="1">
      <c r="A82" s="86" t="s">
        <v>912</v>
      </c>
      <c r="B82" s="66" t="s">
        <v>913</v>
      </c>
      <c r="C82" s="1166"/>
      <c r="D82" s="1177"/>
      <c r="E82" s="1177"/>
      <c r="F82" s="722">
        <f t="shared" si="22"/>
        <v>0</v>
      </c>
      <c r="G82" s="720"/>
      <c r="H82" s="721"/>
      <c r="I82" s="722"/>
      <c r="K82" s="117">
        <f t="shared" si="23"/>
        <v>0</v>
      </c>
    </row>
    <row r="83" spans="1:11" s="118" customFormat="1">
      <c r="A83" s="85" t="s">
        <v>74</v>
      </c>
      <c r="B83" s="67" t="s">
        <v>242</v>
      </c>
      <c r="C83" s="1167"/>
      <c r="D83" s="1178"/>
      <c r="E83" s="1178"/>
      <c r="F83" s="985">
        <f t="shared" si="22"/>
        <v>0</v>
      </c>
      <c r="G83" s="983"/>
      <c r="H83" s="984"/>
      <c r="I83" s="985"/>
      <c r="K83" s="118">
        <f t="shared" si="23"/>
        <v>0</v>
      </c>
    </row>
    <row r="84" spans="1:11" s="118" customFormat="1">
      <c r="A84" s="78" t="s">
        <v>202</v>
      </c>
      <c r="B84" s="68" t="s">
        <v>243</v>
      </c>
      <c r="C84" s="1041"/>
      <c r="D84" s="1179"/>
      <c r="E84" s="1179"/>
      <c r="F84" s="988">
        <f t="shared" si="22"/>
        <v>0</v>
      </c>
      <c r="G84" s="986"/>
      <c r="H84" s="987"/>
      <c r="I84" s="988"/>
      <c r="K84" s="118">
        <f t="shared" si="23"/>
        <v>0</v>
      </c>
    </row>
    <row r="85" spans="1:11" s="118" customFormat="1" ht="12.75" thickBot="1">
      <c r="A85" s="78" t="s">
        <v>914</v>
      </c>
      <c r="B85" s="68" t="s">
        <v>915</v>
      </c>
      <c r="C85" s="1041"/>
      <c r="D85" s="1179"/>
      <c r="E85" s="1179"/>
      <c r="F85" s="988">
        <f t="shared" si="22"/>
        <v>0</v>
      </c>
      <c r="G85" s="986"/>
      <c r="H85" s="987"/>
      <c r="I85" s="988"/>
      <c r="K85" s="118">
        <f t="shared" si="23"/>
        <v>0</v>
      </c>
    </row>
    <row r="86" spans="1:11" s="119" customFormat="1" ht="12.75" thickBot="1">
      <c r="A86" s="83" t="s">
        <v>45</v>
      </c>
      <c r="B86" s="70" t="s">
        <v>304</v>
      </c>
      <c r="C86" s="1168">
        <f>+C87</f>
        <v>10000</v>
      </c>
      <c r="D86" s="1180">
        <f>+D87</f>
        <v>2654032</v>
      </c>
      <c r="E86" s="1180">
        <f>+E87</f>
        <v>0</v>
      </c>
      <c r="F86" s="112">
        <f t="shared" ref="F86" si="24">+F87</f>
        <v>2654032</v>
      </c>
      <c r="G86" s="110">
        <f>+G87</f>
        <v>2654032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83" t="s">
        <v>44</v>
      </c>
      <c r="B87" s="64" t="s">
        <v>918</v>
      </c>
      <c r="C87" s="1168">
        <f>+C88+C98+C99+C100</f>
        <v>10000</v>
      </c>
      <c r="D87" s="1180">
        <f>+D88+D98+D99+D100</f>
        <v>2654032</v>
      </c>
      <c r="E87" s="1180">
        <f>+E88+E98+E99+E100</f>
        <v>0</v>
      </c>
      <c r="F87" s="112">
        <f t="shared" ref="F87" si="25">+F88+F98+F99+F100</f>
        <v>2654032</v>
      </c>
      <c r="G87" s="110">
        <f>+G88+G98+G99+G100</f>
        <v>2654032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 s="118" customFormat="1">
      <c r="A88" s="84" t="s">
        <v>231</v>
      </c>
      <c r="B88" s="65" t="s">
        <v>970</v>
      </c>
      <c r="C88" s="1169">
        <f>+C89+C90+C91+C92+C93+C94+C95+C96+C97</f>
        <v>10000</v>
      </c>
      <c r="D88" s="1181">
        <f>+D89+D90+D91+D92+D93+D94+D95+D96+D97</f>
        <v>2654032</v>
      </c>
      <c r="E88" s="1181">
        <f>+E89+E90+E91+E92+E93+E94+E95+E96+E97</f>
        <v>0</v>
      </c>
      <c r="F88" s="116">
        <f t="shared" ref="F88" si="26">+F89+F90+F91+F92+F93+F94+F95+F96+F97</f>
        <v>2654032</v>
      </c>
      <c r="G88" s="114">
        <f>+G89+G90+G91+G92+G93+G94+G95+G96+G97</f>
        <v>2654032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86" t="s">
        <v>232</v>
      </c>
      <c r="B89" s="66" t="s">
        <v>910</v>
      </c>
      <c r="C89" s="1166">
        <v>10000</v>
      </c>
      <c r="D89" s="1177">
        <v>10000</v>
      </c>
      <c r="E89" s="1177"/>
      <c r="F89" s="722">
        <f t="shared" ref="F89:F100" si="27">+D89+E89</f>
        <v>10000</v>
      </c>
      <c r="G89" s="720">
        <v>10000</v>
      </c>
      <c r="H89" s="721"/>
      <c r="I89" s="722"/>
      <c r="K89" s="117">
        <f t="shared" si="23"/>
        <v>0</v>
      </c>
    </row>
    <row r="90" spans="1:11" s="117" customFormat="1">
      <c r="A90" s="86" t="s">
        <v>233</v>
      </c>
      <c r="B90" s="66" t="s">
        <v>246</v>
      </c>
      <c r="C90" s="1166"/>
      <c r="D90" s="1177"/>
      <c r="E90" s="1177"/>
      <c r="F90" s="722">
        <f t="shared" si="27"/>
        <v>0</v>
      </c>
      <c r="G90" s="720"/>
      <c r="H90" s="721"/>
      <c r="I90" s="722"/>
      <c r="K90" s="117">
        <f t="shared" si="23"/>
        <v>0</v>
      </c>
    </row>
    <row r="91" spans="1:11" s="117" customFormat="1">
      <c r="A91" s="86" t="s">
        <v>234</v>
      </c>
      <c r="B91" s="66" t="s">
        <v>247</v>
      </c>
      <c r="C91" s="1166"/>
      <c r="D91" s="1177">
        <f>0+2644032</f>
        <v>2644032</v>
      </c>
      <c r="E91" s="1177"/>
      <c r="F91" s="722">
        <f t="shared" si="27"/>
        <v>2644032</v>
      </c>
      <c r="G91" s="720">
        <v>2644032</v>
      </c>
      <c r="H91" s="721"/>
      <c r="I91" s="722"/>
      <c r="K91" s="117">
        <f t="shared" si="23"/>
        <v>0</v>
      </c>
    </row>
    <row r="92" spans="1:11" s="117" customFormat="1">
      <c r="A92" s="86" t="s">
        <v>235</v>
      </c>
      <c r="B92" s="66" t="s">
        <v>248</v>
      </c>
      <c r="C92" s="1166"/>
      <c r="D92" s="1177"/>
      <c r="E92" s="1177"/>
      <c r="F92" s="722">
        <f t="shared" si="27"/>
        <v>0</v>
      </c>
      <c r="G92" s="720"/>
      <c r="H92" s="721"/>
      <c r="I92" s="722"/>
      <c r="K92" s="117">
        <f t="shared" si="23"/>
        <v>0</v>
      </c>
    </row>
    <row r="93" spans="1:11" s="117" customFormat="1">
      <c r="A93" s="86" t="s">
        <v>236</v>
      </c>
      <c r="B93" s="66" t="s">
        <v>249</v>
      </c>
      <c r="C93" s="1166"/>
      <c r="D93" s="1177"/>
      <c r="E93" s="1177"/>
      <c r="F93" s="722">
        <f t="shared" si="27"/>
        <v>0</v>
      </c>
      <c r="G93" s="720"/>
      <c r="H93" s="721"/>
      <c r="I93" s="722"/>
      <c r="K93" s="117">
        <f t="shared" si="23"/>
        <v>0</v>
      </c>
    </row>
    <row r="94" spans="1:11" s="117" customFormat="1">
      <c r="A94" s="108" t="s">
        <v>237</v>
      </c>
      <c r="B94" s="109" t="s">
        <v>250</v>
      </c>
      <c r="C94" s="1166"/>
      <c r="D94" s="1177"/>
      <c r="E94" s="1177"/>
      <c r="F94" s="722">
        <f t="shared" si="27"/>
        <v>0</v>
      </c>
      <c r="G94" s="720"/>
      <c r="H94" s="721"/>
      <c r="I94" s="722"/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3"/>
      <c r="E95" s="1173"/>
      <c r="F95" s="722">
        <f t="shared" si="27"/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3"/>
      <c r="E96" s="1173"/>
      <c r="F96" s="722">
        <f t="shared" si="27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3"/>
      <c r="E97" s="1173"/>
      <c r="F97" s="722">
        <f t="shared" si="27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4"/>
      <c r="E98" s="1174"/>
      <c r="F98" s="985">
        <f t="shared" si="27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5"/>
      <c r="E99" s="1175"/>
      <c r="F99" s="988">
        <f t="shared" si="27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5"/>
      <c r="E100" s="1175"/>
      <c r="F100" s="988">
        <f t="shared" si="27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2886249</v>
      </c>
      <c r="D101" s="1171">
        <f>+D71+D86</f>
        <v>3340728</v>
      </c>
      <c r="E101" s="1171">
        <f>+E71+E86</f>
        <v>0</v>
      </c>
      <c r="F101" s="112">
        <f t="shared" ref="F101" si="28">+F71+F86</f>
        <v>3340728</v>
      </c>
      <c r="G101" s="27">
        <f>+G71+G86</f>
        <v>3340728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4468751</v>
      </c>
      <c r="D102" s="1182">
        <f>+D70+D101</f>
        <v>5073179</v>
      </c>
      <c r="E102" s="28">
        <f>+E70+E101</f>
        <v>20604</v>
      </c>
      <c r="F102" s="1194">
        <f t="shared" ref="F102" si="29">+F70+F101</f>
        <v>5093783</v>
      </c>
      <c r="G102" s="24">
        <f>+G70+G101</f>
        <v>5092683</v>
      </c>
      <c r="H102" s="25">
        <f>+H70+H101</f>
        <v>1100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1195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195"/>
      <c r="G104" s="30"/>
      <c r="H104" s="30"/>
      <c r="I104" s="30"/>
    </row>
    <row r="105" spans="1:11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>
      <c r="A106" s="38" t="s">
        <v>278</v>
      </c>
      <c r="F106" s="1191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3035060</v>
      </c>
      <c r="D109" s="1171">
        <f>+D110+D114+D116+D123+D132</f>
        <v>3598589</v>
      </c>
      <c r="E109" s="1171">
        <f>+E110+E114+E116+E123+E132</f>
        <v>-34071</v>
      </c>
      <c r="F109" s="112">
        <f t="shared" ref="F109" si="30">+F110+F114+F116+F123+F132</f>
        <v>3564518</v>
      </c>
      <c r="G109" s="27">
        <f>+G110+G114+G116+G123+G132</f>
        <v>3558094</v>
      </c>
      <c r="H109" s="28">
        <f>+H110+H114+H116+H123+H132</f>
        <v>6424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76485</v>
      </c>
      <c r="D110" s="1171">
        <f>+D112+D113</f>
        <v>163191</v>
      </c>
      <c r="E110" s="1171">
        <f>+E112+E113</f>
        <v>610</v>
      </c>
      <c r="F110" s="112">
        <f t="shared" ref="F110" si="31">+F112+F113</f>
        <v>163801</v>
      </c>
      <c r="G110" s="27">
        <f>+G112+G113</f>
        <v>163801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3"/>
      <c r="D111" s="1184"/>
      <c r="E111" s="1184"/>
      <c r="F111" s="1043">
        <f t="shared" ref="F111:F115" si="32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33433</v>
      </c>
      <c r="D112" s="1172">
        <f>(33433+(37433+40169))+(5475+3629)</f>
        <v>120139</v>
      </c>
      <c r="E112" s="1172">
        <v>610</v>
      </c>
      <c r="F112" s="116">
        <f t="shared" si="32"/>
        <v>120749</v>
      </c>
      <c r="G112" s="34">
        <f>33433+77602+9104+610</f>
        <v>120749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43051.999999999993</v>
      </c>
      <c r="D113" s="1175">
        <v>43051.999999999993</v>
      </c>
      <c r="E113" s="1175"/>
      <c r="F113" s="988">
        <f t="shared" si="32"/>
        <v>43051.999999999993</v>
      </c>
      <c r="G113" s="21">
        <v>43051.999999999993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10414</v>
      </c>
      <c r="D114" s="1171">
        <f>(10414+(3650+3917))+(534+563)</f>
        <v>19078</v>
      </c>
      <c r="E114" s="1171">
        <v>59</v>
      </c>
      <c r="F114" s="112">
        <f t="shared" si="32"/>
        <v>19137</v>
      </c>
      <c r="G114" s="27">
        <f>10414+7567+1097+59</f>
        <v>19137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3"/>
      <c r="D115" s="1184"/>
      <c r="E115" s="1184"/>
      <c r="F115" s="1043">
        <f t="shared" si="32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185775</v>
      </c>
      <c r="D116" s="1171">
        <f>+D118+D119+D120+D121+D122</f>
        <v>182165</v>
      </c>
      <c r="E116" s="1171">
        <f>+E118+E119+E120+E121+E122</f>
        <v>0</v>
      </c>
      <c r="F116" s="112">
        <f t="shared" ref="F116" si="33">+F118+F119+F120+F121+F122</f>
        <v>182165</v>
      </c>
      <c r="G116" s="27">
        <f>+G118+G119+G120+G121+G122</f>
        <v>180165</v>
      </c>
      <c r="H116" s="28">
        <f>+H118+H119+H120+H121+H122</f>
        <v>2000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3"/>
      <c r="D117" s="1184"/>
      <c r="E117" s="1184"/>
      <c r="F117" s="1043">
        <f t="shared" ref="F117:F122" si="34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10482</v>
      </c>
      <c r="D118" s="1172">
        <v>10482</v>
      </c>
      <c r="E118" s="1172"/>
      <c r="F118" s="116">
        <f t="shared" si="34"/>
        <v>10482</v>
      </c>
      <c r="G118" s="34">
        <v>10482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16430</v>
      </c>
      <c r="D119" s="1174">
        <v>16430</v>
      </c>
      <c r="E119" s="1174"/>
      <c r="F119" s="985">
        <f t="shared" si="34"/>
        <v>16430</v>
      </c>
      <c r="G119" s="20">
        <v>16430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94931</v>
      </c>
      <c r="D120" s="1174">
        <f>94931+(4244-7874-787)+(2000)</f>
        <v>92514</v>
      </c>
      <c r="E120" s="1174"/>
      <c r="F120" s="985">
        <f t="shared" si="34"/>
        <v>92514</v>
      </c>
      <c r="G120" s="20">
        <f>93357-4417+2000</f>
        <v>90940</v>
      </c>
      <c r="H120" s="11">
        <v>1574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1000</v>
      </c>
      <c r="D121" s="1174">
        <v>1000</v>
      </c>
      <c r="E121" s="1174"/>
      <c r="F121" s="985">
        <f t="shared" si="34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62932</v>
      </c>
      <c r="D122" s="1175">
        <f>62932+(1146-2126-213)</f>
        <v>61739</v>
      </c>
      <c r="E122" s="1175"/>
      <c r="F122" s="988">
        <f t="shared" si="34"/>
        <v>61739</v>
      </c>
      <c r="G122" s="21">
        <f>62506-1193</f>
        <v>61313</v>
      </c>
      <c r="H122" s="22">
        <v>426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52779</v>
      </c>
      <c r="D123" s="1171">
        <f>+D124+D125+D126+D127+D128+D129+D130+D131</f>
        <v>52779</v>
      </c>
      <c r="E123" s="1171">
        <f>+E124+E125+E126+E127+E128+E129+E130+E131</f>
        <v>0</v>
      </c>
      <c r="F123" s="112">
        <f t="shared" ref="F123" si="35">+F124+F125+F126+F127+F128+F129+F130+F131</f>
        <v>52779</v>
      </c>
      <c r="G123" s="27">
        <f>+G124+G125+G126+G127+G128+G129+G130+G131</f>
        <v>49355</v>
      </c>
      <c r="H123" s="28">
        <f>+H124+H125+H126+H127+H128+H129+H130+H131</f>
        <v>3424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2"/>
      <c r="E124" s="1172"/>
      <c r="F124" s="116">
        <f t="shared" ref="F124:F131" si="36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4"/>
      <c r="E125" s="1174"/>
      <c r="F125" s="985">
        <f t="shared" si="36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4"/>
      <c r="E126" s="1174"/>
      <c r="F126" s="985">
        <f t="shared" si="36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>
        <v>2400</v>
      </c>
      <c r="D127" s="1174">
        <v>2400</v>
      </c>
      <c r="E127" s="1174"/>
      <c r="F127" s="985">
        <f t="shared" si="36"/>
        <v>2400</v>
      </c>
      <c r="G127" s="20">
        <v>2400</v>
      </c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4"/>
      <c r="E128" s="1174"/>
      <c r="F128" s="985">
        <f t="shared" si="36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>
        <v>19200</v>
      </c>
      <c r="D129" s="1174">
        <v>19200</v>
      </c>
      <c r="E129" s="1174"/>
      <c r="F129" s="985">
        <f t="shared" si="36"/>
        <v>19200</v>
      </c>
      <c r="G129" s="20">
        <v>19200</v>
      </c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>
        <v>8299</v>
      </c>
      <c r="D130" s="1174">
        <v>8299</v>
      </c>
      <c r="E130" s="1174"/>
      <c r="F130" s="985">
        <f t="shared" si="36"/>
        <v>8299</v>
      </c>
      <c r="G130" s="20">
        <v>4875</v>
      </c>
      <c r="H130" s="11">
        <v>3424</v>
      </c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>
        <v>22880</v>
      </c>
      <c r="D131" s="1175">
        <v>22880</v>
      </c>
      <c r="E131" s="1175"/>
      <c r="F131" s="988">
        <f t="shared" si="36"/>
        <v>22880</v>
      </c>
      <c r="G131" s="21">
        <v>22880</v>
      </c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+C133+C134+C135+C136+C137+C138+C144+C140+C141+C142+C143+C145+C146</f>
        <v>2709607</v>
      </c>
      <c r="D132" s="1171">
        <f>+D133+D134+D135+D136+D137+D138+D144+D140+D141+D142+D143+D145+D146</f>
        <v>3181376</v>
      </c>
      <c r="E132" s="1171">
        <f>+E133+E134+E135+E136+E137+E138+E144+E140+E141+E142+E143+E145+E146</f>
        <v>-34740</v>
      </c>
      <c r="F132" s="112">
        <f t="shared" ref="F132" si="37">+F133+F134+F135+F136+F137+F138+F144+F140+F141+F142+F143+F145+F146</f>
        <v>3146636</v>
      </c>
      <c r="G132" s="27">
        <f>+G133+G134+G135+G136+G137+G138+G144+G140+G141+G142+G143+G145+G146</f>
        <v>3145636</v>
      </c>
      <c r="H132" s="28">
        <f>+H133+H134+H135+H136+H137+H138+H144+H140+H141+H142+H143+H145+H146</f>
        <v>1000</v>
      </c>
      <c r="I132" s="29">
        <f>+I133+I134+I135+I136+I137+I138+I144+I140+I141+I142+I143+I145+I146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2"/>
      <c r="E133" s="1172"/>
      <c r="F133" s="116">
        <f t="shared" ref="F133:F145" si="38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1000</v>
      </c>
      <c r="D134" s="1174">
        <v>1000</v>
      </c>
      <c r="E134" s="1174"/>
      <c r="F134" s="985">
        <f t="shared" si="38"/>
        <v>1000</v>
      </c>
      <c r="G134" s="20">
        <v>1000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4"/>
      <c r="E135" s="1174"/>
      <c r="F135" s="985">
        <f t="shared" si="38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4"/>
      <c r="E136" s="1174"/>
      <c r="F136" s="985">
        <f t="shared" si="38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4"/>
      <c r="E137" s="1174"/>
      <c r="F137" s="985">
        <f t="shared" si="38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>
        <v>9332</v>
      </c>
      <c r="D138" s="1174">
        <v>9332</v>
      </c>
      <c r="E138" s="1174"/>
      <c r="F138" s="985">
        <f t="shared" si="38"/>
        <v>9332</v>
      </c>
      <c r="G138" s="20">
        <v>9332</v>
      </c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6"/>
      <c r="E139" s="1176"/>
      <c r="F139" s="1039">
        <f t="shared" si="38"/>
        <v>0</v>
      </c>
      <c r="G139" s="45"/>
      <c r="H139" s="43"/>
      <c r="I139" s="44"/>
      <c r="K139" s="13">
        <f t="shared" ref="K139:K202" si="39">+F139-G139-H139-I139</f>
        <v>0</v>
      </c>
    </row>
    <row r="140" spans="1:11">
      <c r="A140" s="85" t="s">
        <v>262</v>
      </c>
      <c r="B140" s="67" t="s">
        <v>147</v>
      </c>
      <c r="C140" s="402"/>
      <c r="D140" s="1174"/>
      <c r="E140" s="1174"/>
      <c r="F140" s="985">
        <f t="shared" si="38"/>
        <v>0</v>
      </c>
      <c r="G140" s="20"/>
      <c r="H140" s="11"/>
      <c r="I140" s="16"/>
      <c r="K140" s="4">
        <f t="shared" si="39"/>
        <v>0</v>
      </c>
    </row>
    <row r="141" spans="1:11">
      <c r="A141" s="85" t="s">
        <v>263</v>
      </c>
      <c r="B141" s="67" t="s">
        <v>148</v>
      </c>
      <c r="C141" s="402"/>
      <c r="D141" s="1174">
        <f>4000+100+500</f>
        <v>4600</v>
      </c>
      <c r="E141" s="1174"/>
      <c r="F141" s="985">
        <f t="shared" si="38"/>
        <v>4600</v>
      </c>
      <c r="G141" s="20">
        <f>0+4600</f>
        <v>4600</v>
      </c>
      <c r="H141" s="11"/>
      <c r="I141" s="16"/>
      <c r="K141" s="4">
        <f t="shared" si="39"/>
        <v>0</v>
      </c>
    </row>
    <row r="142" spans="1:11">
      <c r="A142" s="85" t="s">
        <v>264</v>
      </c>
      <c r="B142" s="67" t="s">
        <v>149</v>
      </c>
      <c r="C142" s="402"/>
      <c r="D142" s="1174"/>
      <c r="E142" s="1174"/>
      <c r="F142" s="985">
        <f t="shared" si="38"/>
        <v>0</v>
      </c>
      <c r="G142" s="20"/>
      <c r="H142" s="11"/>
      <c r="I142" s="16"/>
      <c r="K142" s="4">
        <f t="shared" si="39"/>
        <v>0</v>
      </c>
    </row>
    <row r="143" spans="1:11">
      <c r="A143" s="85" t="s">
        <v>265</v>
      </c>
      <c r="B143" s="67" t="s">
        <v>150</v>
      </c>
      <c r="C143" s="402"/>
      <c r="D143" s="1174"/>
      <c r="E143" s="1174"/>
      <c r="F143" s="985">
        <f t="shared" si="38"/>
        <v>0</v>
      </c>
      <c r="G143" s="20"/>
      <c r="H143" s="11"/>
      <c r="I143" s="16"/>
      <c r="K143" s="4">
        <f t="shared" si="39"/>
        <v>0</v>
      </c>
    </row>
    <row r="144" spans="1:11">
      <c r="A144" s="85" t="s">
        <v>266</v>
      </c>
      <c r="B144" s="67" t="s">
        <v>924</v>
      </c>
      <c r="C144" s="402"/>
      <c r="D144" s="1174"/>
      <c r="E144" s="1174"/>
      <c r="F144" s="985">
        <f t="shared" si="38"/>
        <v>0</v>
      </c>
      <c r="G144" s="20"/>
      <c r="H144" s="11"/>
      <c r="I144" s="16"/>
      <c r="K144" s="4">
        <f t="shared" si="39"/>
        <v>0</v>
      </c>
    </row>
    <row r="145" spans="1:11">
      <c r="A145" s="85" t="s">
        <v>267</v>
      </c>
      <c r="B145" s="67" t="s">
        <v>925</v>
      </c>
      <c r="C145" s="402">
        <v>51350</v>
      </c>
      <c r="D145" s="1174">
        <f>51350+806</f>
        <v>52156</v>
      </c>
      <c r="E145" s="1174"/>
      <c r="F145" s="985">
        <f t="shared" si="38"/>
        <v>52156</v>
      </c>
      <c r="G145" s="20">
        <f>50350+806</f>
        <v>51156</v>
      </c>
      <c r="H145" s="11">
        <v>1000</v>
      </c>
      <c r="I145" s="16"/>
      <c r="K145" s="4">
        <f t="shared" si="39"/>
        <v>0</v>
      </c>
    </row>
    <row r="146" spans="1:11">
      <c r="A146" s="78" t="s">
        <v>920</v>
      </c>
      <c r="B146" s="68" t="s">
        <v>926</v>
      </c>
      <c r="C146" s="403">
        <f>+C147+C148</f>
        <v>2647925</v>
      </c>
      <c r="D146" s="1175">
        <f>+D147+D148</f>
        <v>3114288</v>
      </c>
      <c r="E146" s="1175">
        <f>+E147+E148</f>
        <v>-34740</v>
      </c>
      <c r="F146" s="988">
        <f t="shared" ref="F146" si="40">+F147+F148</f>
        <v>3079548</v>
      </c>
      <c r="G146" s="21">
        <f>+G147+G148</f>
        <v>3079548</v>
      </c>
      <c r="H146" s="22">
        <f>+H147+H148</f>
        <v>0</v>
      </c>
      <c r="I146" s="23">
        <f>+I147+I148</f>
        <v>0</v>
      </c>
      <c r="K146" s="4">
        <f t="shared" si="39"/>
        <v>0</v>
      </c>
    </row>
    <row r="147" spans="1:11" s="13" customFormat="1">
      <c r="A147" s="89" t="s">
        <v>921</v>
      </c>
      <c r="B147" s="74" t="s">
        <v>927</v>
      </c>
      <c r="C147" s="401">
        <v>15000</v>
      </c>
      <c r="D147" s="1176">
        <f>(15000+(-2000-3000-3000-500-1549+30500-27500))+(6023-806+15733-21000)</f>
        <v>7901</v>
      </c>
      <c r="E147" s="1176">
        <f>2585-7788</f>
        <v>-5203</v>
      </c>
      <c r="F147" s="1039">
        <f t="shared" ref="F147:F148" si="41">+D147+E147</f>
        <v>2698</v>
      </c>
      <c r="G147" s="45">
        <f>15000-7049-50-5203</f>
        <v>2698</v>
      </c>
      <c r="H147" s="43"/>
      <c r="I147" s="44"/>
      <c r="K147" s="13">
        <f t="shared" si="39"/>
        <v>0</v>
      </c>
    </row>
    <row r="148" spans="1:11" s="13" customFormat="1" ht="12.75" thickBot="1">
      <c r="A148" s="89" t="s">
        <v>922</v>
      </c>
      <c r="B148" s="74" t="s">
        <v>928</v>
      </c>
      <c r="C148" s="401">
        <v>2632925</v>
      </c>
      <c r="D148" s="1176">
        <f>(2632925+(-4500+8300-8300-5000+1390))+(317831+153759+9982)</f>
        <v>3106387</v>
      </c>
      <c r="E148" s="1176">
        <f>-1850-12598-2090-19162-13320+11695+7788</f>
        <v>-29537</v>
      </c>
      <c r="F148" s="1039">
        <f t="shared" si="41"/>
        <v>3076850</v>
      </c>
      <c r="G148" s="45">
        <f>2632925-8110+481572-29537</f>
        <v>3076850</v>
      </c>
      <c r="H148" s="43"/>
      <c r="I148" s="44"/>
      <c r="K148" s="13">
        <f t="shared" si="39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487508</v>
      </c>
      <c r="D149" s="1171">
        <f>+D150+D159+D165</f>
        <v>509508</v>
      </c>
      <c r="E149" s="1171">
        <f>+E150+E159+E165</f>
        <v>23102</v>
      </c>
      <c r="F149" s="112">
        <f t="shared" ref="F149" si="42">+F150+F159+F165</f>
        <v>532610</v>
      </c>
      <c r="G149" s="27">
        <f>+G150+G159+G165</f>
        <v>187360</v>
      </c>
      <c r="H149" s="28">
        <f>+H150+H159+H165</f>
        <v>345250</v>
      </c>
      <c r="I149" s="29">
        <f>+I150+I159+I165</f>
        <v>0</v>
      </c>
      <c r="K149" s="3">
        <f t="shared" si="39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420250</v>
      </c>
      <c r="D150" s="1171">
        <f>+D152+D153+D154+D155+D156+D157+D158</f>
        <v>448250</v>
      </c>
      <c r="E150" s="1171">
        <f>+E152+E153+E154+E155+E156+E157+E158</f>
        <v>3940</v>
      </c>
      <c r="F150" s="112">
        <f t="shared" ref="F150" si="43">+F152+F153+F154+F155+F156+F157+F158</f>
        <v>452190</v>
      </c>
      <c r="G150" s="27">
        <f>+G152+G153+G154+G155+G156+G157+G158</f>
        <v>106940</v>
      </c>
      <c r="H150" s="28">
        <f>+H152+H153+H154+H155+H156+H157+H158</f>
        <v>345250</v>
      </c>
      <c r="I150" s="29">
        <f>+I152+I153+I154+I155+I156+I157+I158</f>
        <v>0</v>
      </c>
      <c r="K150" s="3">
        <f t="shared" si="39"/>
        <v>0</v>
      </c>
    </row>
    <row r="151" spans="1:11" s="36" customFormat="1">
      <c r="A151" s="788" t="s">
        <v>930</v>
      </c>
      <c r="B151" s="789" t="s">
        <v>341</v>
      </c>
      <c r="C151" s="1183"/>
      <c r="D151" s="1184"/>
      <c r="E151" s="1184"/>
      <c r="F151" s="1043">
        <f t="shared" ref="F151:F158" si="44">+D151+E151</f>
        <v>0</v>
      </c>
      <c r="G151" s="96"/>
      <c r="H151" s="97"/>
      <c r="I151" s="98"/>
      <c r="K151" s="36">
        <f t="shared" si="39"/>
        <v>0</v>
      </c>
    </row>
    <row r="152" spans="1:11">
      <c r="A152" s="84" t="s">
        <v>66</v>
      </c>
      <c r="B152" s="65" t="s">
        <v>151</v>
      </c>
      <c r="C152" s="404">
        <v>11811</v>
      </c>
      <c r="D152" s="1172">
        <f>11811+(5000+7000+7000)</f>
        <v>30811</v>
      </c>
      <c r="E152" s="1172"/>
      <c r="F152" s="116">
        <f t="shared" si="44"/>
        <v>30811</v>
      </c>
      <c r="G152" s="34">
        <f>11811+19000</f>
        <v>30811</v>
      </c>
      <c r="H152" s="10"/>
      <c r="I152" s="35"/>
      <c r="K152" s="4">
        <f t="shared" si="39"/>
        <v>0</v>
      </c>
    </row>
    <row r="153" spans="1:11">
      <c r="A153" s="85" t="s">
        <v>67</v>
      </c>
      <c r="B153" s="67" t="s">
        <v>152</v>
      </c>
      <c r="C153" s="402">
        <v>328543</v>
      </c>
      <c r="D153" s="1174">
        <v>333043</v>
      </c>
      <c r="E153" s="1174">
        <f>1850+2090</f>
        <v>3940</v>
      </c>
      <c r="F153" s="985">
        <f t="shared" si="44"/>
        <v>336983</v>
      </c>
      <c r="G153" s="20">
        <f>56693+4500+3940</f>
        <v>65133</v>
      </c>
      <c r="H153" s="11">
        <v>271850</v>
      </c>
      <c r="I153" s="16"/>
      <c r="K153" s="4">
        <f t="shared" si="39"/>
        <v>0</v>
      </c>
    </row>
    <row r="154" spans="1:11">
      <c r="A154" s="85" t="s">
        <v>68</v>
      </c>
      <c r="B154" s="67" t="s">
        <v>153</v>
      </c>
      <c r="C154" s="402"/>
      <c r="D154" s="1174"/>
      <c r="E154" s="1174"/>
      <c r="F154" s="985">
        <f t="shared" si="44"/>
        <v>0</v>
      </c>
      <c r="G154" s="20"/>
      <c r="H154" s="11"/>
      <c r="I154" s="16"/>
      <c r="K154" s="4">
        <f t="shared" si="39"/>
        <v>0</v>
      </c>
    </row>
    <row r="155" spans="1:11">
      <c r="A155" s="85" t="s">
        <v>229</v>
      </c>
      <c r="B155" s="67" t="s">
        <v>154</v>
      </c>
      <c r="C155" s="402">
        <v>1181</v>
      </c>
      <c r="D155" s="1174">
        <v>0</v>
      </c>
      <c r="E155" s="1174"/>
      <c r="F155" s="985">
        <f t="shared" si="44"/>
        <v>0</v>
      </c>
      <c r="G155" s="20">
        <f>1181-1181</f>
        <v>0</v>
      </c>
      <c r="H155" s="11"/>
      <c r="I155" s="16"/>
      <c r="K155" s="4">
        <f t="shared" si="39"/>
        <v>0</v>
      </c>
    </row>
    <row r="156" spans="1:11">
      <c r="A156" s="85" t="s">
        <v>230</v>
      </c>
      <c r="B156" s="67" t="s">
        <v>155</v>
      </c>
      <c r="C156" s="402"/>
      <c r="D156" s="1174">
        <f>0+(3000+3000)</f>
        <v>6000</v>
      </c>
      <c r="E156" s="1174"/>
      <c r="F156" s="985">
        <f t="shared" si="44"/>
        <v>6000</v>
      </c>
      <c r="G156" s="20">
        <f>0+6000</f>
        <v>6000</v>
      </c>
      <c r="H156" s="11"/>
      <c r="I156" s="16"/>
      <c r="K156" s="4">
        <f t="shared" si="39"/>
        <v>0</v>
      </c>
    </row>
    <row r="157" spans="1:11">
      <c r="A157" s="85" t="s">
        <v>268</v>
      </c>
      <c r="B157" s="67" t="s">
        <v>156</v>
      </c>
      <c r="C157" s="402"/>
      <c r="D157" s="1174"/>
      <c r="E157" s="1174"/>
      <c r="F157" s="985">
        <f t="shared" si="44"/>
        <v>0</v>
      </c>
      <c r="G157" s="20"/>
      <c r="H157" s="11"/>
      <c r="I157" s="16"/>
      <c r="K157" s="4">
        <f t="shared" si="39"/>
        <v>0</v>
      </c>
    </row>
    <row r="158" spans="1:11" ht="12.75" thickBot="1">
      <c r="A158" s="78" t="s">
        <v>269</v>
      </c>
      <c r="B158" s="68" t="s">
        <v>157</v>
      </c>
      <c r="C158" s="403">
        <v>78715</v>
      </c>
      <c r="D158" s="1175">
        <v>78396</v>
      </c>
      <c r="E158" s="1175"/>
      <c r="F158" s="988">
        <f t="shared" si="44"/>
        <v>78396</v>
      </c>
      <c r="G158" s="21">
        <f>5315-319</f>
        <v>4996</v>
      </c>
      <c r="H158" s="22">
        <v>73400</v>
      </c>
      <c r="I158" s="23"/>
      <c r="K158" s="4">
        <f t="shared" si="39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67258</v>
      </c>
      <c r="D159" s="1171">
        <f>+D161+D162+D163+D164</f>
        <v>61258</v>
      </c>
      <c r="E159" s="1171">
        <f>+E161+E162+E163+E164</f>
        <v>0</v>
      </c>
      <c r="F159" s="112">
        <f t="shared" ref="F159" si="45">+F161+F162+F163+F164</f>
        <v>61258</v>
      </c>
      <c r="G159" s="27">
        <f>+G161+G162+G163+G164</f>
        <v>61258</v>
      </c>
      <c r="H159" s="28">
        <f>+H161+H162+H163+H164</f>
        <v>0</v>
      </c>
      <c r="I159" s="29">
        <f>+I161+I162+I163+I164</f>
        <v>0</v>
      </c>
      <c r="K159" s="3">
        <f t="shared" si="39"/>
        <v>0</v>
      </c>
    </row>
    <row r="160" spans="1:11" s="36" customFormat="1">
      <c r="A160" s="788" t="s">
        <v>343</v>
      </c>
      <c r="B160" s="789" t="s">
        <v>344</v>
      </c>
      <c r="C160" s="1183"/>
      <c r="D160" s="1184"/>
      <c r="E160" s="1184"/>
      <c r="F160" s="1043">
        <f t="shared" ref="F160:F164" si="46">+D160+E160</f>
        <v>0</v>
      </c>
      <c r="G160" s="96"/>
      <c r="H160" s="97"/>
      <c r="I160" s="98"/>
      <c r="K160" s="36">
        <f t="shared" si="39"/>
        <v>0</v>
      </c>
    </row>
    <row r="161" spans="1:11">
      <c r="A161" s="84" t="s">
        <v>69</v>
      </c>
      <c r="B161" s="65" t="s">
        <v>158</v>
      </c>
      <c r="C161" s="404">
        <v>52959</v>
      </c>
      <c r="D161" s="1172">
        <v>48235</v>
      </c>
      <c r="E161" s="1172"/>
      <c r="F161" s="116">
        <f t="shared" si="46"/>
        <v>48235</v>
      </c>
      <c r="G161" s="34">
        <f>52959-4724</f>
        <v>48235</v>
      </c>
      <c r="H161" s="10"/>
      <c r="I161" s="35"/>
      <c r="K161" s="4">
        <f t="shared" si="39"/>
        <v>0</v>
      </c>
    </row>
    <row r="162" spans="1:11">
      <c r="A162" s="85" t="s">
        <v>70</v>
      </c>
      <c r="B162" s="67" t="s">
        <v>159</v>
      </c>
      <c r="C162" s="402"/>
      <c r="D162" s="1174"/>
      <c r="E162" s="1174"/>
      <c r="F162" s="985">
        <f t="shared" si="46"/>
        <v>0</v>
      </c>
      <c r="G162" s="20"/>
      <c r="H162" s="11"/>
      <c r="I162" s="16"/>
      <c r="K162" s="4">
        <f t="shared" si="39"/>
        <v>0</v>
      </c>
    </row>
    <row r="163" spans="1:11">
      <c r="A163" s="85" t="s">
        <v>71</v>
      </c>
      <c r="B163" s="67" t="s">
        <v>160</v>
      </c>
      <c r="C163" s="402"/>
      <c r="D163" s="1174"/>
      <c r="E163" s="1174"/>
      <c r="F163" s="985">
        <f t="shared" si="46"/>
        <v>0</v>
      </c>
      <c r="G163" s="20"/>
      <c r="H163" s="11"/>
      <c r="I163" s="16"/>
      <c r="K163" s="4">
        <f t="shared" si="39"/>
        <v>0</v>
      </c>
    </row>
    <row r="164" spans="1:11" ht="12.75" thickBot="1">
      <c r="A164" s="78" t="s">
        <v>72</v>
      </c>
      <c r="B164" s="68" t="s">
        <v>161</v>
      </c>
      <c r="C164" s="403">
        <v>14299</v>
      </c>
      <c r="D164" s="1175">
        <v>13023</v>
      </c>
      <c r="E164" s="1175"/>
      <c r="F164" s="988">
        <f t="shared" si="46"/>
        <v>13023</v>
      </c>
      <c r="G164" s="21">
        <f>14299-1276</f>
        <v>13023</v>
      </c>
      <c r="H164" s="22"/>
      <c r="I164" s="23"/>
      <c r="K164" s="4">
        <f t="shared" si="39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19162</v>
      </c>
      <c r="F165" s="112">
        <f t="shared" ref="F165" si="47">+F166+F167+F168+F169+F171+F172+F173+F174+F175</f>
        <v>19162</v>
      </c>
      <c r="G165" s="27">
        <f>+G166+G167+G168+G169+G171+G172+G173+G174+G175</f>
        <v>19162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39"/>
        <v>0</v>
      </c>
    </row>
    <row r="166" spans="1:11">
      <c r="A166" s="84" t="s">
        <v>270</v>
      </c>
      <c r="B166" s="65" t="s">
        <v>162</v>
      </c>
      <c r="C166" s="404"/>
      <c r="D166" s="1172"/>
      <c r="E166" s="1172"/>
      <c r="F166" s="116">
        <f t="shared" ref="F166:F175" si="48">+D166+E166</f>
        <v>0</v>
      </c>
      <c r="G166" s="34"/>
      <c r="H166" s="10"/>
      <c r="I166" s="35"/>
      <c r="K166" s="4">
        <f t="shared" si="39"/>
        <v>0</v>
      </c>
    </row>
    <row r="167" spans="1:11">
      <c r="A167" s="85" t="s">
        <v>271</v>
      </c>
      <c r="B167" s="67" t="s">
        <v>163</v>
      </c>
      <c r="C167" s="402"/>
      <c r="D167" s="1174"/>
      <c r="E167" s="1174"/>
      <c r="F167" s="985">
        <f t="shared" si="48"/>
        <v>0</v>
      </c>
      <c r="G167" s="20"/>
      <c r="H167" s="11"/>
      <c r="I167" s="16"/>
      <c r="K167" s="4">
        <f t="shared" si="39"/>
        <v>0</v>
      </c>
    </row>
    <row r="168" spans="1:11">
      <c r="A168" s="85" t="s">
        <v>272</v>
      </c>
      <c r="B168" s="67" t="s">
        <v>164</v>
      </c>
      <c r="C168" s="402"/>
      <c r="D168" s="1174"/>
      <c r="E168" s="1174"/>
      <c r="F168" s="985">
        <f t="shared" si="48"/>
        <v>0</v>
      </c>
      <c r="G168" s="20"/>
      <c r="H168" s="11"/>
      <c r="I168" s="16"/>
      <c r="K168" s="4">
        <f t="shared" si="39"/>
        <v>0</v>
      </c>
    </row>
    <row r="169" spans="1:11">
      <c r="A169" s="85" t="s">
        <v>273</v>
      </c>
      <c r="B169" s="67" t="s">
        <v>165</v>
      </c>
      <c r="C169" s="402"/>
      <c r="D169" s="1174"/>
      <c r="E169" s="1174"/>
      <c r="F169" s="985">
        <f t="shared" si="48"/>
        <v>0</v>
      </c>
      <c r="G169" s="20"/>
      <c r="H169" s="11"/>
      <c r="I169" s="16"/>
      <c r="K169" s="4">
        <f t="shared" si="39"/>
        <v>0</v>
      </c>
    </row>
    <row r="170" spans="1:11" s="13" customFormat="1">
      <c r="A170" s="89" t="s">
        <v>338</v>
      </c>
      <c r="B170" s="787" t="s">
        <v>339</v>
      </c>
      <c r="C170" s="401"/>
      <c r="D170" s="1176"/>
      <c r="E170" s="1176"/>
      <c r="F170" s="1039">
        <f t="shared" si="48"/>
        <v>0</v>
      </c>
      <c r="G170" s="45"/>
      <c r="H170" s="43"/>
      <c r="I170" s="44"/>
      <c r="K170" s="13">
        <f t="shared" si="39"/>
        <v>0</v>
      </c>
    </row>
    <row r="171" spans="1:11">
      <c r="A171" s="85" t="s">
        <v>274</v>
      </c>
      <c r="B171" s="67" t="s">
        <v>166</v>
      </c>
      <c r="C171" s="402"/>
      <c r="D171" s="1174"/>
      <c r="E171" s="1174"/>
      <c r="F171" s="985">
        <f t="shared" si="48"/>
        <v>0</v>
      </c>
      <c r="G171" s="20"/>
      <c r="H171" s="11"/>
      <c r="I171" s="16"/>
      <c r="K171" s="4">
        <f t="shared" si="39"/>
        <v>0</v>
      </c>
    </row>
    <row r="172" spans="1:11">
      <c r="A172" s="85" t="s">
        <v>275</v>
      </c>
      <c r="B172" s="67" t="s">
        <v>167</v>
      </c>
      <c r="C172" s="402"/>
      <c r="D172" s="1174"/>
      <c r="E172" s="1174"/>
      <c r="F172" s="985">
        <f t="shared" si="48"/>
        <v>0</v>
      </c>
      <c r="G172" s="20"/>
      <c r="H172" s="11"/>
      <c r="I172" s="16"/>
      <c r="K172" s="4">
        <f t="shared" si="39"/>
        <v>0</v>
      </c>
    </row>
    <row r="173" spans="1:11">
      <c r="A173" s="85" t="s">
        <v>276</v>
      </c>
      <c r="B173" s="67" t="s">
        <v>168</v>
      </c>
      <c r="C173" s="402"/>
      <c r="D173" s="1174"/>
      <c r="E173" s="1174"/>
      <c r="F173" s="985">
        <f t="shared" si="48"/>
        <v>0</v>
      </c>
      <c r="G173" s="20"/>
      <c r="H173" s="11"/>
      <c r="I173" s="16"/>
      <c r="K173" s="4">
        <f t="shared" si="39"/>
        <v>0</v>
      </c>
    </row>
    <row r="174" spans="1:11">
      <c r="A174" s="85" t="s">
        <v>277</v>
      </c>
      <c r="B174" s="67" t="s">
        <v>933</v>
      </c>
      <c r="C174" s="402"/>
      <c r="D174" s="1174"/>
      <c r="E174" s="1174"/>
      <c r="F174" s="985">
        <f t="shared" si="48"/>
        <v>0</v>
      </c>
      <c r="G174" s="20"/>
      <c r="H174" s="11"/>
      <c r="I174" s="16"/>
      <c r="K174" s="4">
        <f t="shared" si="39"/>
        <v>0</v>
      </c>
    </row>
    <row r="175" spans="1:11" ht="12.75" thickBot="1">
      <c r="A175" s="78" t="s">
        <v>931</v>
      </c>
      <c r="B175" s="68" t="s">
        <v>934</v>
      </c>
      <c r="C175" s="403"/>
      <c r="D175" s="1175"/>
      <c r="E175" s="1175">
        <v>19162</v>
      </c>
      <c r="F175" s="988">
        <f t="shared" si="48"/>
        <v>19162</v>
      </c>
      <c r="G175" s="21">
        <v>19162</v>
      </c>
      <c r="H175" s="22"/>
      <c r="I175" s="23"/>
      <c r="K175" s="4">
        <f t="shared" si="3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3522568</v>
      </c>
      <c r="D176" s="1171">
        <f>+D109+D149</f>
        <v>4108097</v>
      </c>
      <c r="E176" s="1171">
        <f>+E109+E149</f>
        <v>-10969</v>
      </c>
      <c r="F176" s="112">
        <f t="shared" ref="F176" si="49">+F109+F149</f>
        <v>4097128</v>
      </c>
      <c r="G176" s="27">
        <f>+G109+G149</f>
        <v>3745454</v>
      </c>
      <c r="H176" s="28">
        <f>+H109+H149</f>
        <v>351674</v>
      </c>
      <c r="I176" s="29">
        <f>+I109+I149</f>
        <v>0</v>
      </c>
      <c r="K176" s="3">
        <f t="shared" si="3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929711</v>
      </c>
      <c r="D177" s="1171">
        <f>+D178</f>
        <v>949610</v>
      </c>
      <c r="E177" s="1171">
        <f>+E178</f>
        <v>18975</v>
      </c>
      <c r="F177" s="112">
        <f t="shared" ref="F177" si="50">+F178</f>
        <v>968585</v>
      </c>
      <c r="G177" s="27">
        <f>+G178</f>
        <v>960488</v>
      </c>
      <c r="H177" s="28">
        <f>+H178</f>
        <v>8097</v>
      </c>
      <c r="I177" s="29">
        <f>+I178</f>
        <v>0</v>
      </c>
      <c r="K177" s="3">
        <f t="shared" si="39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929711</v>
      </c>
      <c r="D178" s="1171">
        <f>+D179+D189+D190+D191</f>
        <v>949610</v>
      </c>
      <c r="E178" s="1171">
        <f>+E179+E189+E190+E191</f>
        <v>18975</v>
      </c>
      <c r="F178" s="112">
        <f t="shared" ref="F178" si="51">+F179+F189+F190+F191</f>
        <v>968585</v>
      </c>
      <c r="G178" s="27">
        <f>+G179+G189+G190+G191</f>
        <v>960488</v>
      </c>
      <c r="H178" s="28">
        <f>+H179+H189+H190+H191</f>
        <v>8097</v>
      </c>
      <c r="I178" s="29">
        <f>+I179+I189+I190+I191</f>
        <v>0</v>
      </c>
      <c r="K178" s="3">
        <f t="shared" si="39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929711</v>
      </c>
      <c r="D179" s="1172">
        <f>+D180+D181+D182+D183+D184+D185+D186+D187+D188</f>
        <v>949610</v>
      </c>
      <c r="E179" s="1172">
        <f>+E180+E181+E182+E183+E184+E185+E186+E187+E188</f>
        <v>18975</v>
      </c>
      <c r="F179" s="116">
        <f t="shared" ref="F179" si="52">+F180+F181+F182+F183+F184+F185+F186+F187+F188</f>
        <v>968585</v>
      </c>
      <c r="G179" s="604">
        <f>+G180+G181+G182+G183+G184+G185+G186+G187+G188</f>
        <v>960488</v>
      </c>
      <c r="H179" s="47">
        <f>+H180+H181+H182+H183+H184+H185+H186+H187+H188</f>
        <v>8097</v>
      </c>
      <c r="I179" s="48">
        <f>+I180+I181+I182+I183+I184+I185+I186+I187+I188</f>
        <v>0</v>
      </c>
      <c r="K179" s="4">
        <f t="shared" si="39"/>
        <v>0</v>
      </c>
    </row>
    <row r="180" spans="1:11" s="13" customFormat="1">
      <c r="A180" s="86" t="s">
        <v>204</v>
      </c>
      <c r="B180" s="66" t="s">
        <v>169</v>
      </c>
      <c r="C180" s="400"/>
      <c r="D180" s="1173"/>
      <c r="E180" s="1173"/>
      <c r="F180" s="722">
        <f t="shared" ref="F180:F191" si="53">+D180+E180</f>
        <v>0</v>
      </c>
      <c r="G180" s="476"/>
      <c r="H180" s="12"/>
      <c r="I180" s="15"/>
      <c r="K180" s="13">
        <f t="shared" si="39"/>
        <v>0</v>
      </c>
    </row>
    <row r="181" spans="1:11" s="13" customFormat="1">
      <c r="A181" s="86" t="s">
        <v>205</v>
      </c>
      <c r="B181" s="66" t="s">
        <v>170</v>
      </c>
      <c r="C181" s="400"/>
      <c r="D181" s="1173"/>
      <c r="E181" s="1173"/>
      <c r="F181" s="722">
        <f t="shared" si="53"/>
        <v>0</v>
      </c>
      <c r="G181" s="476"/>
      <c r="H181" s="12"/>
      <c r="I181" s="15"/>
      <c r="K181" s="13">
        <f t="shared" si="39"/>
        <v>0</v>
      </c>
    </row>
    <row r="182" spans="1:11" s="13" customFormat="1">
      <c r="A182" s="86" t="s">
        <v>206</v>
      </c>
      <c r="B182" s="66" t="s">
        <v>171</v>
      </c>
      <c r="C182" s="400"/>
      <c r="D182" s="1173"/>
      <c r="E182" s="1173"/>
      <c r="F182" s="722">
        <f t="shared" si="53"/>
        <v>0</v>
      </c>
      <c r="G182" s="476"/>
      <c r="H182" s="12"/>
      <c r="I182" s="15"/>
      <c r="K182" s="13">
        <f t="shared" si="39"/>
        <v>0</v>
      </c>
    </row>
    <row r="183" spans="1:11" s="13" customFormat="1">
      <c r="A183" s="86" t="s">
        <v>207</v>
      </c>
      <c r="B183" s="66" t="s">
        <v>172</v>
      </c>
      <c r="C183" s="400">
        <v>30446</v>
      </c>
      <c r="D183" s="1173">
        <v>30446</v>
      </c>
      <c r="E183" s="1173"/>
      <c r="F183" s="722">
        <f t="shared" si="53"/>
        <v>30446</v>
      </c>
      <c r="G183" s="476">
        <v>30446</v>
      </c>
      <c r="H183" s="12"/>
      <c r="I183" s="15"/>
      <c r="K183" s="13">
        <f t="shared" si="39"/>
        <v>0</v>
      </c>
    </row>
    <row r="184" spans="1:11" s="117" customFormat="1">
      <c r="A184" s="108" t="s">
        <v>208</v>
      </c>
      <c r="B184" s="109" t="s">
        <v>173</v>
      </c>
      <c r="C184" s="1166">
        <f>+'1.2.mell._HKÖH_Mérleg2020'!C79+'1.3.mell._HVÓBKI_Mérleg2020'!C79+'1.4.mell._HKK_Mérleg2020'!C79+'1.5._mell._MŐSZ_Mérleg2020'!C79+'1.6._mell._HVGYKCSSZ_Mérleg2020'!C79</f>
        <v>899265</v>
      </c>
      <c r="D184" s="1177">
        <f>+'1.2.mell._HKÖH_Mérleg2020'!D79+'1.3.mell._HVÓBKI_Mérleg2020'!D79+'1.4.mell._HKK_Mérleg2020'!D79+'1.5._mell._MŐSZ_Mérleg2020'!D79+'1.6._mell._HVGYKCSSZ_Mérleg2020'!D79</f>
        <v>919164</v>
      </c>
      <c r="E184" s="1177">
        <f>+'1.2.mell._HKÖH_Mérleg2020'!E79+'1.3.mell._HVÓBKI_Mérleg2020'!E79+'1.4.mell._HKK_Mérleg2020'!E79+'1.5._mell._MŐSZ_Mérleg2020'!E79+'1.6._mell._HVGYKCSSZ_Mérleg2020'!E79</f>
        <v>18975</v>
      </c>
      <c r="F184" s="722">
        <f>+'1.2.mell._HKÖH_Mérleg2020'!F79+'1.3.mell._HVÓBKI_Mérleg2020'!F79+'1.4.mell._HKK_Mérleg2020'!F79+'1.5._mell._MŐSZ_Mérleg2020'!F79+'1.6._mell._HVGYKCSSZ_Mérleg2020'!F79</f>
        <v>938139</v>
      </c>
      <c r="G184" s="853">
        <f>+'1.2.mell._HKÖH_Mérleg2020'!G79+'1.3.mell._HVÓBKI_Mérleg2020'!G79+'1.4.mell._HKK_Mérleg2020'!G79+'1.5._mell._MŐSZ_Mérleg2020'!G79+'1.6._mell._HVGYKCSSZ_Mérleg2020'!G79</f>
        <v>930042</v>
      </c>
      <c r="H184" s="720">
        <f>+'1.2.mell._HKÖH_Mérleg2020'!H79+'1.3.mell._HVÓBKI_Mérleg2020'!H79+'1.4.mell._HKK_Mérleg2020'!H79+'1.5._mell._MŐSZ_Mérleg2020'!H79+'1.6._mell._HVGYKCSSZ_Mérleg2020'!H79</f>
        <v>8097</v>
      </c>
      <c r="I184" s="854">
        <f>+'1.2.mell._HKÖH_Mérleg2020'!I79+'1.3.mell._HVÓBKI_Mérleg2020'!I79+'1.4.mell._HKK_Mérleg2020'!I79+'1.5._mell._MŐSZ_Mérleg2020'!I79+'1.6._mell._HVGYKCSSZ_Mérleg2020'!I79</f>
        <v>0</v>
      </c>
      <c r="K184" s="117">
        <f t="shared" si="39"/>
        <v>0</v>
      </c>
    </row>
    <row r="185" spans="1:11" s="13" customFormat="1">
      <c r="A185" s="86" t="s">
        <v>209</v>
      </c>
      <c r="B185" s="66" t="s">
        <v>178</v>
      </c>
      <c r="C185" s="400"/>
      <c r="D185" s="1173"/>
      <c r="E185" s="1173"/>
      <c r="F185" s="722">
        <f t="shared" si="53"/>
        <v>0</v>
      </c>
      <c r="G185" s="476"/>
      <c r="H185" s="12"/>
      <c r="I185" s="15"/>
      <c r="K185" s="13">
        <f t="shared" si="39"/>
        <v>0</v>
      </c>
    </row>
    <row r="186" spans="1:11" s="13" customFormat="1">
      <c r="A186" s="86" t="s">
        <v>210</v>
      </c>
      <c r="B186" s="66" t="s">
        <v>174</v>
      </c>
      <c r="C186" s="400"/>
      <c r="D186" s="1173"/>
      <c r="E186" s="1173"/>
      <c r="F186" s="722">
        <f t="shared" si="53"/>
        <v>0</v>
      </c>
      <c r="G186" s="476"/>
      <c r="H186" s="12"/>
      <c r="I186" s="15"/>
      <c r="K186" s="13">
        <f t="shared" si="39"/>
        <v>0</v>
      </c>
    </row>
    <row r="187" spans="1:11" s="13" customFormat="1">
      <c r="A187" s="86" t="s">
        <v>211</v>
      </c>
      <c r="B187" s="66" t="s">
        <v>175</v>
      </c>
      <c r="C187" s="400"/>
      <c r="D187" s="1173"/>
      <c r="E187" s="1173"/>
      <c r="F187" s="722">
        <f t="shared" si="53"/>
        <v>0</v>
      </c>
      <c r="G187" s="476"/>
      <c r="H187" s="12"/>
      <c r="I187" s="15"/>
      <c r="K187" s="13">
        <f t="shared" si="39"/>
        <v>0</v>
      </c>
    </row>
    <row r="188" spans="1:11" s="13" customFormat="1">
      <c r="A188" s="86" t="s">
        <v>935</v>
      </c>
      <c r="B188" s="66" t="s">
        <v>937</v>
      </c>
      <c r="C188" s="400"/>
      <c r="D188" s="1173"/>
      <c r="E188" s="1173"/>
      <c r="F188" s="722">
        <f t="shared" si="53"/>
        <v>0</v>
      </c>
      <c r="G188" s="476"/>
      <c r="H188" s="12"/>
      <c r="I188" s="15"/>
      <c r="K188" s="13">
        <f t="shared" si="39"/>
        <v>0</v>
      </c>
    </row>
    <row r="189" spans="1:11">
      <c r="A189" s="85" t="s">
        <v>76</v>
      </c>
      <c r="B189" s="67" t="s">
        <v>176</v>
      </c>
      <c r="C189" s="402"/>
      <c r="D189" s="1174"/>
      <c r="E189" s="1174"/>
      <c r="F189" s="985">
        <f t="shared" si="53"/>
        <v>0</v>
      </c>
      <c r="G189" s="475"/>
      <c r="H189" s="11"/>
      <c r="I189" s="16"/>
      <c r="K189" s="4">
        <f t="shared" si="39"/>
        <v>0</v>
      </c>
    </row>
    <row r="190" spans="1:11">
      <c r="A190" s="78" t="s">
        <v>77</v>
      </c>
      <c r="B190" s="68" t="s">
        <v>177</v>
      </c>
      <c r="C190" s="403"/>
      <c r="D190" s="1175"/>
      <c r="E190" s="1175"/>
      <c r="F190" s="988">
        <f t="shared" si="53"/>
        <v>0</v>
      </c>
      <c r="G190" s="474"/>
      <c r="H190" s="22"/>
      <c r="I190" s="23"/>
      <c r="K190" s="4">
        <f t="shared" si="39"/>
        <v>0</v>
      </c>
    </row>
    <row r="191" spans="1:11" ht="12.75" thickBot="1">
      <c r="A191" s="78" t="s">
        <v>940</v>
      </c>
      <c r="B191" s="68" t="s">
        <v>938</v>
      </c>
      <c r="C191" s="403"/>
      <c r="D191" s="1175"/>
      <c r="E191" s="1175"/>
      <c r="F191" s="988">
        <f t="shared" si="53"/>
        <v>0</v>
      </c>
      <c r="G191" s="477"/>
      <c r="H191" s="17"/>
      <c r="I191" s="39"/>
      <c r="K191" s="4">
        <f t="shared" si="3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16472</v>
      </c>
      <c r="D192" s="1171">
        <f>+D193</f>
        <v>15472</v>
      </c>
      <c r="E192" s="1171">
        <f>+E193</f>
        <v>12598</v>
      </c>
      <c r="F192" s="112">
        <f t="shared" ref="F192" si="54">+F193</f>
        <v>28070</v>
      </c>
      <c r="G192" s="27">
        <f>+G193</f>
        <v>28070</v>
      </c>
      <c r="H192" s="28">
        <f>+H193</f>
        <v>0</v>
      </c>
      <c r="I192" s="29">
        <f>+I193</f>
        <v>0</v>
      </c>
      <c r="K192" s="3">
        <f t="shared" si="39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16472</v>
      </c>
      <c r="D193" s="1171">
        <f>+D194+D204+D205+D206</f>
        <v>15472</v>
      </c>
      <c r="E193" s="1171">
        <f>+E194+E204+E205+E206</f>
        <v>12598</v>
      </c>
      <c r="F193" s="112">
        <f t="shared" ref="F193" si="55">+F194+F204+F205+F206</f>
        <v>28070</v>
      </c>
      <c r="G193" s="27">
        <f>+G194+G204+G205+G206</f>
        <v>28070</v>
      </c>
      <c r="H193" s="28">
        <f>+H194+H204+H205+H206</f>
        <v>0</v>
      </c>
      <c r="I193" s="29">
        <f>+I194+I204+I205+I206</f>
        <v>0</v>
      </c>
      <c r="K193" s="3">
        <f t="shared" si="39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16472</v>
      </c>
      <c r="D194" s="1172">
        <f>+D195+D196+D197+D198+D199+D200+D201+D202+D203</f>
        <v>15472</v>
      </c>
      <c r="E194" s="1172">
        <f>+E195+E196+E197+E198+E199+E200+E201+E202+E203</f>
        <v>12598</v>
      </c>
      <c r="F194" s="116">
        <f t="shared" ref="F194" si="56">+F195+F196+F197+F198+F199+F200+F201+F202+F203</f>
        <v>28070</v>
      </c>
      <c r="G194" s="604">
        <f>+G195+G196+G197+G198+G199+G200+G201+G202+G203</f>
        <v>28070</v>
      </c>
      <c r="H194" s="47">
        <f>+H195+H196+H197+H198+H199+H200+H201+H202+H203</f>
        <v>0</v>
      </c>
      <c r="I194" s="48">
        <f>+I195+I196+I197+I198+I199+I200+I201+I202+I203</f>
        <v>0</v>
      </c>
      <c r="K194" s="4">
        <f t="shared" si="39"/>
        <v>0</v>
      </c>
    </row>
    <row r="195" spans="1:11" s="13" customFormat="1">
      <c r="A195" s="86" t="s">
        <v>212</v>
      </c>
      <c r="B195" s="66" t="s">
        <v>169</v>
      </c>
      <c r="C195" s="400"/>
      <c r="D195" s="1173"/>
      <c r="E195" s="1173"/>
      <c r="F195" s="722">
        <f t="shared" ref="F195:F206" si="57">+D195+E195</f>
        <v>0</v>
      </c>
      <c r="G195" s="476"/>
      <c r="H195" s="12"/>
      <c r="I195" s="15"/>
      <c r="K195" s="13">
        <f t="shared" si="39"/>
        <v>0</v>
      </c>
    </row>
    <row r="196" spans="1:11" s="13" customFormat="1">
      <c r="A196" s="86" t="s">
        <v>213</v>
      </c>
      <c r="B196" s="66" t="s">
        <v>170</v>
      </c>
      <c r="C196" s="400"/>
      <c r="D196" s="1173"/>
      <c r="E196" s="1173"/>
      <c r="F196" s="722">
        <f t="shared" si="57"/>
        <v>0</v>
      </c>
      <c r="G196" s="476"/>
      <c r="H196" s="12"/>
      <c r="I196" s="15"/>
      <c r="K196" s="13">
        <f t="shared" si="39"/>
        <v>0</v>
      </c>
    </row>
    <row r="197" spans="1:11" s="13" customFormat="1">
      <c r="A197" s="86" t="s">
        <v>214</v>
      </c>
      <c r="B197" s="66" t="s">
        <v>171</v>
      </c>
      <c r="C197" s="400"/>
      <c r="D197" s="1173"/>
      <c r="E197" s="1173"/>
      <c r="F197" s="722">
        <f t="shared" si="57"/>
        <v>0</v>
      </c>
      <c r="G197" s="476"/>
      <c r="H197" s="12"/>
      <c r="I197" s="15"/>
      <c r="K197" s="13">
        <f t="shared" si="39"/>
        <v>0</v>
      </c>
    </row>
    <row r="198" spans="1:11" s="13" customFormat="1">
      <c r="A198" s="86" t="s">
        <v>215</v>
      </c>
      <c r="B198" s="66" t="s">
        <v>172</v>
      </c>
      <c r="C198" s="400"/>
      <c r="D198" s="1173"/>
      <c r="E198" s="1173"/>
      <c r="F198" s="722">
        <f t="shared" si="57"/>
        <v>0</v>
      </c>
      <c r="G198" s="476"/>
      <c r="H198" s="12"/>
      <c r="I198" s="15"/>
      <c r="K198" s="13">
        <f t="shared" si="39"/>
        <v>0</v>
      </c>
    </row>
    <row r="199" spans="1:11" s="117" customFormat="1">
      <c r="A199" s="108" t="s">
        <v>216</v>
      </c>
      <c r="B199" s="109" t="s">
        <v>173</v>
      </c>
      <c r="C199" s="1166">
        <f>+'1.2.mell._HKÖH_Mérleg2020'!C94+'1.3.mell._HVÓBKI_Mérleg2020'!C94+'1.4.mell._HKK_Mérleg2020'!C94+'1.5._mell._MŐSZ_Mérleg2020'!C94+'1.6._mell._HVGYKCSSZ_Mérleg2020'!C94</f>
        <v>16472</v>
      </c>
      <c r="D199" s="1177">
        <f>+'1.2.mell._HKÖH_Mérleg2020'!D94+'1.3.mell._HVÓBKI_Mérleg2020'!D94+'1.4.mell._HKK_Mérleg2020'!D94+'1.5._mell._MŐSZ_Mérleg2020'!D94+'1.6._mell._HVGYKCSSZ_Mérleg2020'!D94</f>
        <v>15472</v>
      </c>
      <c r="E199" s="1177">
        <f>+'1.2.mell._HKÖH_Mérleg2020'!E94+'1.3.mell._HVÓBKI_Mérleg2020'!E94+'1.4.mell._HKK_Mérleg2020'!E94+'1.5._mell._MŐSZ_Mérleg2020'!E94+'1.6._mell._HVGYKCSSZ_Mérleg2020'!E94</f>
        <v>12598</v>
      </c>
      <c r="F199" s="722">
        <f>+'1.2.mell._HKÖH_Mérleg2020'!F94+'1.3.mell._HVÓBKI_Mérleg2020'!F94+'1.4.mell._HKK_Mérleg2020'!F94+'1.5._mell._MŐSZ_Mérleg2020'!F94+'1.6._mell._HVGYKCSSZ_Mérleg2020'!F94</f>
        <v>28070</v>
      </c>
      <c r="G199" s="853">
        <f>+'1.2.mell._HKÖH_Mérleg2020'!G94+'1.3.mell._HVÓBKI_Mérleg2020'!G94+'1.4.mell._HKK_Mérleg2020'!G94+'1.5._mell._MŐSZ_Mérleg2020'!G94+'1.6._mell._HVGYKCSSZ_Mérleg2020'!G94</f>
        <v>28070</v>
      </c>
      <c r="H199" s="720">
        <f>+'1.2.mell._HKÖH_Mérleg2020'!H94+'1.3.mell._HVÓBKI_Mérleg2020'!H94+'1.4.mell._HKK_Mérleg2020'!H94+'1.5._mell._MŐSZ_Mérleg2020'!H94+'1.6._mell._HVGYKCSSZ_Mérleg2020'!H94</f>
        <v>0</v>
      </c>
      <c r="I199" s="854">
        <f>+'1.2.mell._HKÖH_Mérleg2020'!I94+'1.3.mell._HVÓBKI_Mérleg2020'!I94+'1.4.mell._HKK_Mérleg2020'!I94+'1.5._mell._MŐSZ_Mérleg2020'!I94+'1.6._mell._HVGYKCSSZ_Mérleg2020'!I94</f>
        <v>0</v>
      </c>
      <c r="K199" s="117">
        <f t="shared" si="39"/>
        <v>0</v>
      </c>
    </row>
    <row r="200" spans="1:11" s="13" customFormat="1">
      <c r="A200" s="86" t="s">
        <v>217</v>
      </c>
      <c r="B200" s="66" t="s">
        <v>178</v>
      </c>
      <c r="C200" s="400"/>
      <c r="D200" s="1173"/>
      <c r="E200" s="1173"/>
      <c r="F200" s="722">
        <f t="shared" si="57"/>
        <v>0</v>
      </c>
      <c r="G200" s="476"/>
      <c r="H200" s="12"/>
      <c r="I200" s="15"/>
      <c r="K200" s="13">
        <f t="shared" si="39"/>
        <v>0</v>
      </c>
    </row>
    <row r="201" spans="1:11" s="13" customFormat="1">
      <c r="A201" s="86" t="s">
        <v>218</v>
      </c>
      <c r="B201" s="66" t="s">
        <v>174</v>
      </c>
      <c r="C201" s="400"/>
      <c r="D201" s="1173"/>
      <c r="E201" s="1173"/>
      <c r="F201" s="722">
        <f t="shared" si="57"/>
        <v>0</v>
      </c>
      <c r="G201" s="476"/>
      <c r="H201" s="12"/>
      <c r="I201" s="15"/>
      <c r="K201" s="13">
        <f t="shared" si="39"/>
        <v>0</v>
      </c>
    </row>
    <row r="202" spans="1:11" s="13" customFormat="1">
      <c r="A202" s="86" t="s">
        <v>219</v>
      </c>
      <c r="B202" s="66" t="s">
        <v>175</v>
      </c>
      <c r="C202" s="400"/>
      <c r="D202" s="1173"/>
      <c r="E202" s="1173"/>
      <c r="F202" s="722">
        <f t="shared" si="57"/>
        <v>0</v>
      </c>
      <c r="G202" s="476"/>
      <c r="H202" s="12"/>
      <c r="I202" s="15"/>
      <c r="K202" s="13">
        <f t="shared" si="39"/>
        <v>0</v>
      </c>
    </row>
    <row r="203" spans="1:11" s="13" customFormat="1">
      <c r="A203" s="86" t="s">
        <v>935</v>
      </c>
      <c r="B203" s="66" t="s">
        <v>937</v>
      </c>
      <c r="C203" s="400"/>
      <c r="D203" s="1173"/>
      <c r="E203" s="1173"/>
      <c r="F203" s="722">
        <f t="shared" si="57"/>
        <v>0</v>
      </c>
      <c r="G203" s="476"/>
      <c r="H203" s="12"/>
      <c r="I203" s="15"/>
      <c r="K203" s="13">
        <f t="shared" ref="K203:K242" si="58">+F203-G203-H203-I203</f>
        <v>0</v>
      </c>
    </row>
    <row r="204" spans="1:11">
      <c r="A204" s="85" t="s">
        <v>79</v>
      </c>
      <c r="B204" s="67" t="s">
        <v>176</v>
      </c>
      <c r="C204" s="402"/>
      <c r="D204" s="1174"/>
      <c r="E204" s="1174"/>
      <c r="F204" s="985">
        <f t="shared" si="57"/>
        <v>0</v>
      </c>
      <c r="G204" s="475"/>
      <c r="H204" s="11"/>
      <c r="I204" s="16"/>
      <c r="K204" s="4">
        <f t="shared" si="58"/>
        <v>0</v>
      </c>
    </row>
    <row r="205" spans="1:11">
      <c r="A205" s="78" t="s">
        <v>220</v>
      </c>
      <c r="B205" s="68" t="s">
        <v>177</v>
      </c>
      <c r="C205" s="403"/>
      <c r="D205" s="1175"/>
      <c r="E205" s="1175"/>
      <c r="F205" s="988">
        <f t="shared" si="57"/>
        <v>0</v>
      </c>
      <c r="G205" s="474"/>
      <c r="H205" s="22"/>
      <c r="I205" s="23"/>
      <c r="K205" s="4">
        <f t="shared" si="58"/>
        <v>0</v>
      </c>
    </row>
    <row r="206" spans="1:11" ht="12.75" thickBot="1">
      <c r="A206" s="78" t="s">
        <v>939</v>
      </c>
      <c r="B206" s="68" t="s">
        <v>938</v>
      </c>
      <c r="C206" s="403"/>
      <c r="D206" s="1175"/>
      <c r="E206" s="1175"/>
      <c r="F206" s="988">
        <f t="shared" si="57"/>
        <v>0</v>
      </c>
      <c r="G206" s="477"/>
      <c r="H206" s="17"/>
      <c r="I206" s="39"/>
      <c r="K206" s="4">
        <f t="shared" si="58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946183</v>
      </c>
      <c r="D207" s="1171">
        <f>+D177+D192</f>
        <v>965082</v>
      </c>
      <c r="E207" s="1171">
        <f>+E177+E192</f>
        <v>31573</v>
      </c>
      <c r="F207" s="112">
        <f t="shared" ref="F207" si="59">+F177+F192</f>
        <v>996655</v>
      </c>
      <c r="G207" s="27">
        <f>+G177+G192</f>
        <v>988558</v>
      </c>
      <c r="H207" s="28">
        <f>+H177+H192</f>
        <v>8097</v>
      </c>
      <c r="I207" s="29">
        <f>+I177+I192</f>
        <v>0</v>
      </c>
      <c r="K207" s="3">
        <f t="shared" si="58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4468751</v>
      </c>
      <c r="D208" s="1182">
        <f>+D176+D207</f>
        <v>5073179</v>
      </c>
      <c r="E208" s="1182">
        <f>+E176+E207</f>
        <v>20604</v>
      </c>
      <c r="F208" s="1194">
        <f t="shared" ref="F208" si="60">+F176+F207</f>
        <v>5093783</v>
      </c>
      <c r="G208" s="24">
        <f>+G176+G207</f>
        <v>4734012</v>
      </c>
      <c r="H208" s="25">
        <f>+H176+H207</f>
        <v>359771</v>
      </c>
      <c r="I208" s="26">
        <f>+I176+I207</f>
        <v>0</v>
      </c>
      <c r="K208" s="3">
        <f t="shared" si="58"/>
        <v>0</v>
      </c>
    </row>
    <row r="211" spans="1:31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191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-1940066</v>
      </c>
      <c r="D213" s="1171">
        <f>+D214+D215</f>
        <v>-2375646</v>
      </c>
      <c r="E213" s="1171">
        <f>+E214+E215</f>
        <v>31573</v>
      </c>
      <c r="F213" s="112">
        <f t="shared" ref="F213" si="61">+F214+F215</f>
        <v>-2344073</v>
      </c>
      <c r="G213" s="27">
        <f>+G214+G215</f>
        <v>-1993499</v>
      </c>
      <c r="H213" s="28">
        <f>+H214+H215</f>
        <v>-350574</v>
      </c>
      <c r="I213" s="29">
        <f>+I214+I215</f>
        <v>0</v>
      </c>
      <c r="K213" s="3">
        <f t="shared" si="58"/>
        <v>0</v>
      </c>
    </row>
    <row r="214" spans="1:31">
      <c r="A214" s="84" t="s">
        <v>81</v>
      </c>
      <c r="B214" s="72" t="s">
        <v>318</v>
      </c>
      <c r="C214" s="404">
        <f>+C10-C109</f>
        <v>-1526284</v>
      </c>
      <c r="D214" s="1172">
        <f>+D10-D109</f>
        <v>-1939864</v>
      </c>
      <c r="E214" s="1172">
        <f>+E10-E109</f>
        <v>54675</v>
      </c>
      <c r="F214" s="116">
        <f t="shared" ref="F214" si="62">+F10-F109</f>
        <v>-1885189</v>
      </c>
      <c r="G214" s="34">
        <f>+G10-G109</f>
        <v>-1878765</v>
      </c>
      <c r="H214" s="10">
        <f>+H10-H109</f>
        <v>-6424</v>
      </c>
      <c r="I214" s="35">
        <f>+I10-I109</f>
        <v>0</v>
      </c>
      <c r="K214" s="4">
        <f t="shared" si="58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-413782</v>
      </c>
      <c r="D215" s="1189">
        <f>+D50-D149</f>
        <v>-435782</v>
      </c>
      <c r="E215" s="1189">
        <f>+E50-E149</f>
        <v>-23102</v>
      </c>
      <c r="F215" s="1196">
        <f t="shared" ref="F215" si="63">+F50-F149</f>
        <v>-458884</v>
      </c>
      <c r="G215" s="40">
        <f>+G50-G149</f>
        <v>-114734</v>
      </c>
      <c r="H215" s="17">
        <f>+H50-H149</f>
        <v>-344150</v>
      </c>
      <c r="I215" s="39">
        <f>+I50-I149</f>
        <v>0</v>
      </c>
      <c r="K215" s="4">
        <f t="shared" si="58"/>
        <v>0</v>
      </c>
    </row>
    <row r="218" spans="1:31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191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1940066</v>
      </c>
      <c r="D220" s="28">
        <f>+D221+D228</f>
        <v>2375646</v>
      </c>
      <c r="E220" s="28">
        <f>+E221+E228</f>
        <v>-31573</v>
      </c>
      <c r="F220" s="112">
        <f t="shared" ref="F220" si="64">+F221+F228</f>
        <v>2344073</v>
      </c>
      <c r="G220" s="27">
        <f>+G221+G228</f>
        <v>2352170</v>
      </c>
      <c r="H220" s="28">
        <f>+H221+H228</f>
        <v>-8097</v>
      </c>
      <c r="I220" s="29">
        <f>+I221+I228</f>
        <v>0</v>
      </c>
      <c r="K220" s="3">
        <f t="shared" si="58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1946538</v>
      </c>
      <c r="D221" s="28">
        <f>+D222-D225</f>
        <v>-262914</v>
      </c>
      <c r="E221" s="28">
        <f>+E222-E225</f>
        <v>-18975</v>
      </c>
      <c r="F221" s="112">
        <f t="shared" ref="F221" si="65">+F222-F225</f>
        <v>-281889</v>
      </c>
      <c r="G221" s="27">
        <f>+G222-G225</f>
        <v>-273792</v>
      </c>
      <c r="H221" s="28">
        <f>+H222-H225</f>
        <v>-8097</v>
      </c>
      <c r="I221" s="29">
        <f>+I222-I225</f>
        <v>0</v>
      </c>
      <c r="K221" s="3">
        <f t="shared" si="58"/>
        <v>0</v>
      </c>
    </row>
    <row r="222" spans="1:31">
      <c r="A222" s="84" t="s">
        <v>54</v>
      </c>
      <c r="B222" s="65" t="s">
        <v>322</v>
      </c>
      <c r="C222" s="404">
        <f>+C223+C224</f>
        <v>2876249</v>
      </c>
      <c r="D222" s="10">
        <f>+D223+D224</f>
        <v>686696</v>
      </c>
      <c r="E222" s="10">
        <f>+E223+E224</f>
        <v>0</v>
      </c>
      <c r="F222" s="116">
        <f t="shared" ref="F222" si="66">+F223+F224</f>
        <v>686696</v>
      </c>
      <c r="G222" s="34">
        <f>+G223+G224</f>
        <v>686696</v>
      </c>
      <c r="H222" s="10">
        <f>+H223+H224</f>
        <v>0</v>
      </c>
      <c r="I222" s="35">
        <f>+I223+I224</f>
        <v>0</v>
      </c>
      <c r="K222" s="4">
        <f t="shared" si="58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2876249</v>
      </c>
      <c r="D223" s="12">
        <f>+D76+D80</f>
        <v>686696</v>
      </c>
      <c r="E223" s="12">
        <f>+E76+E80</f>
        <v>0</v>
      </c>
      <c r="F223" s="722">
        <f t="shared" ref="F223" si="67">+F76+F80</f>
        <v>686696</v>
      </c>
      <c r="G223" s="19">
        <f>+G76+G80</f>
        <v>686696</v>
      </c>
      <c r="H223" s="12">
        <f>+H76+H80</f>
        <v>0</v>
      </c>
      <c r="I223" s="15">
        <f>+I76+I80</f>
        <v>0</v>
      </c>
      <c r="K223" s="13">
        <f t="shared" si="58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0</v>
      </c>
      <c r="D224" s="12">
        <f>+D74+D75+D77+D78+D79+D81</f>
        <v>0</v>
      </c>
      <c r="E224" s="12">
        <f>+E74+E75+E77+E78+E79+E81</f>
        <v>0</v>
      </c>
      <c r="F224" s="722">
        <f t="shared" ref="F224" si="68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58"/>
        <v>0</v>
      </c>
    </row>
    <row r="225" spans="1:31">
      <c r="A225" s="85" t="s">
        <v>55</v>
      </c>
      <c r="B225" s="67" t="s">
        <v>323</v>
      </c>
      <c r="C225" s="402">
        <f>+C227</f>
        <v>929711</v>
      </c>
      <c r="D225" s="11">
        <f>+D227</f>
        <v>949610</v>
      </c>
      <c r="E225" s="11">
        <f>+E227</f>
        <v>18975</v>
      </c>
      <c r="F225" s="985">
        <f t="shared" ref="F225" si="69">+F227</f>
        <v>968585</v>
      </c>
      <c r="G225" s="20">
        <f>+G227</f>
        <v>960488</v>
      </c>
      <c r="H225" s="11">
        <f>+H227</f>
        <v>8097</v>
      </c>
      <c r="I225" s="16">
        <f>+I227</f>
        <v>0</v>
      </c>
      <c r="K225" s="4">
        <f t="shared" si="58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2">
        <f>+D185</f>
        <v>0</v>
      </c>
      <c r="E226" s="12">
        <f>+E185</f>
        <v>0</v>
      </c>
      <c r="F226" s="722">
        <f t="shared" ref="F226" si="70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58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929711</v>
      </c>
      <c r="D227" s="43">
        <f>+D180+D181+D182+D183+D184+D186+D187</f>
        <v>949610</v>
      </c>
      <c r="E227" s="43">
        <f>+E180+E181+E182+E183+E184+E186+E187</f>
        <v>18975</v>
      </c>
      <c r="F227" s="1039">
        <f t="shared" ref="F227" si="71">+F180+F181+F182+F183+F184+F186+F187</f>
        <v>968585</v>
      </c>
      <c r="G227" s="45">
        <f>+G180+G181+G182+G183+G184+G186+G187</f>
        <v>960488</v>
      </c>
      <c r="H227" s="43">
        <f>+H180+H181+H182+H183+H184+H186+H187</f>
        <v>8097</v>
      </c>
      <c r="I227" s="44">
        <f>+I180+I181+I182+I183+I184+I186+I187</f>
        <v>0</v>
      </c>
      <c r="K227" s="13">
        <f t="shared" si="58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-6472</v>
      </c>
      <c r="D228" s="28">
        <f>+D229-D232</f>
        <v>2638560</v>
      </c>
      <c r="E228" s="28">
        <f>+E229-E232</f>
        <v>-12598</v>
      </c>
      <c r="F228" s="112">
        <f t="shared" ref="F228" si="72">+F229-F232</f>
        <v>2625962</v>
      </c>
      <c r="G228" s="27">
        <f>+G229-G232</f>
        <v>2625962</v>
      </c>
      <c r="H228" s="28">
        <f>+H229-H232</f>
        <v>0</v>
      </c>
      <c r="I228" s="29">
        <f>+I229-I232</f>
        <v>0</v>
      </c>
      <c r="K228" s="3">
        <f t="shared" si="58"/>
        <v>0</v>
      </c>
    </row>
    <row r="229" spans="1:31">
      <c r="A229" s="84" t="s">
        <v>58</v>
      </c>
      <c r="B229" s="65" t="s">
        <v>325</v>
      </c>
      <c r="C229" s="404">
        <f>+C230+C231</f>
        <v>10000</v>
      </c>
      <c r="D229" s="10">
        <f>+D230+D231</f>
        <v>2654032</v>
      </c>
      <c r="E229" s="10">
        <f>+E230+E231</f>
        <v>0</v>
      </c>
      <c r="F229" s="116">
        <f t="shared" ref="F229" si="73">+F230+F231</f>
        <v>2654032</v>
      </c>
      <c r="G229" s="34">
        <f>+G230+G231</f>
        <v>2654032</v>
      </c>
      <c r="H229" s="10">
        <f>+H230+H231</f>
        <v>0</v>
      </c>
      <c r="I229" s="35">
        <f>+I230+I231</f>
        <v>0</v>
      </c>
      <c r="K229" s="4">
        <f t="shared" si="58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2">
        <f>+D91+D95</f>
        <v>2644032</v>
      </c>
      <c r="E230" s="12">
        <f>+E91+E95</f>
        <v>0</v>
      </c>
      <c r="F230" s="722">
        <f t="shared" ref="F230" si="74">+F91+F95</f>
        <v>2644032</v>
      </c>
      <c r="G230" s="19">
        <f>+G91+G95</f>
        <v>2644032</v>
      </c>
      <c r="H230" s="12">
        <f>+H91+H95</f>
        <v>0</v>
      </c>
      <c r="I230" s="15">
        <f>+I91+I95</f>
        <v>0</v>
      </c>
      <c r="K230" s="13">
        <f t="shared" si="58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10000</v>
      </c>
      <c r="D231" s="12">
        <f>+D89+D90+D92+D93+D94+D96</f>
        <v>10000</v>
      </c>
      <c r="E231" s="12">
        <f>+E89+E90+E92+E93+E94+E96</f>
        <v>0</v>
      </c>
      <c r="F231" s="722">
        <f t="shared" ref="F231" si="75">+F89+F90+F92+F93+F94+F96</f>
        <v>10000</v>
      </c>
      <c r="G231" s="19">
        <f>+G89+G90+G92+G93+G94+G96</f>
        <v>10000</v>
      </c>
      <c r="H231" s="12">
        <f>+H89+H90+H92+H93+H94+H96</f>
        <v>0</v>
      </c>
      <c r="I231" s="15">
        <f>+I89+I90+I92+I93+I94+I96</f>
        <v>0</v>
      </c>
      <c r="K231" s="13">
        <f t="shared" si="58"/>
        <v>0</v>
      </c>
    </row>
    <row r="232" spans="1:31">
      <c r="A232" s="85" t="s">
        <v>59</v>
      </c>
      <c r="B232" s="67" t="s">
        <v>326</v>
      </c>
      <c r="C232" s="402">
        <f>+C233+C234</f>
        <v>16472</v>
      </c>
      <c r="D232" s="11">
        <f>+D233+D234</f>
        <v>15472</v>
      </c>
      <c r="E232" s="11">
        <f>+E233+E234</f>
        <v>12598</v>
      </c>
      <c r="F232" s="985">
        <f t="shared" ref="F232" si="76">+F233+F234</f>
        <v>28070</v>
      </c>
      <c r="G232" s="20">
        <f>+G233+G234</f>
        <v>28070</v>
      </c>
      <c r="H232" s="11">
        <f>+H233+H234</f>
        <v>0</v>
      </c>
      <c r="I232" s="16">
        <f>+I233+I234</f>
        <v>0</v>
      </c>
      <c r="K232" s="4">
        <f t="shared" si="58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2">
        <f>+D200</f>
        <v>0</v>
      </c>
      <c r="E233" s="12">
        <f>+E200</f>
        <v>0</v>
      </c>
      <c r="F233" s="722">
        <f t="shared" ref="F233" si="77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58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16472</v>
      </c>
      <c r="D234" s="41">
        <f>+D195+D196+D197+D198+D199+D201+D202</f>
        <v>15472</v>
      </c>
      <c r="E234" s="41">
        <f>+E195+E196+E197+E198+E199+E201+E202</f>
        <v>12598</v>
      </c>
      <c r="F234" s="1197">
        <f t="shared" ref="F234" si="78">+F195+F196+F197+F198+F199+F201+F202</f>
        <v>28070</v>
      </c>
      <c r="G234" s="46">
        <f>+G195+G196+G197+G198+G199+G201+G202</f>
        <v>28070</v>
      </c>
      <c r="H234" s="41">
        <f>+H195+H196+H197+H198+H199+H201+H202</f>
        <v>0</v>
      </c>
      <c r="I234" s="42">
        <f>+I195+I196+I197+I198+I199+I201+I202</f>
        <v>0</v>
      </c>
      <c r="K234" s="13">
        <f t="shared" si="58"/>
        <v>0</v>
      </c>
    </row>
    <row r="237" spans="1:31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191"/>
      <c r="I238" s="37"/>
    </row>
    <row r="239" spans="1:31" s="3" customFormat="1">
      <c r="A239" s="91" t="s">
        <v>4</v>
      </c>
      <c r="B239" s="76" t="s">
        <v>91</v>
      </c>
      <c r="C239" s="1185">
        <v>1</v>
      </c>
      <c r="D239" s="55">
        <f>1+27</f>
        <v>28</v>
      </c>
      <c r="E239" s="55"/>
      <c r="F239" s="1045">
        <f t="shared" ref="F239:F241" si="79">+D239+E239</f>
        <v>28</v>
      </c>
      <c r="G239" s="54">
        <f>1+27</f>
        <v>28</v>
      </c>
      <c r="H239" s="55"/>
      <c r="I239" s="56"/>
      <c r="K239" s="3">
        <f t="shared" si="58"/>
        <v>0</v>
      </c>
    </row>
    <row r="240" spans="1:31" s="13" customFormat="1">
      <c r="A240" s="89" t="s">
        <v>350</v>
      </c>
      <c r="B240" s="99" t="s">
        <v>351</v>
      </c>
      <c r="C240" s="1186"/>
      <c r="D240" s="101"/>
      <c r="E240" s="101"/>
      <c r="F240" s="1047">
        <f t="shared" si="79"/>
        <v>0</v>
      </c>
      <c r="G240" s="100"/>
      <c r="H240" s="101"/>
      <c r="I240" s="102"/>
      <c r="K240" s="13">
        <f t="shared" si="58"/>
        <v>0</v>
      </c>
    </row>
    <row r="241" spans="1:11" s="3" customFormat="1" ht="12.75" thickBot="1">
      <c r="A241" s="92" t="s">
        <v>5</v>
      </c>
      <c r="B241" s="77" t="s">
        <v>92</v>
      </c>
      <c r="C241" s="1187">
        <v>148</v>
      </c>
      <c r="D241" s="58">
        <f>148+11</f>
        <v>159</v>
      </c>
      <c r="E241" s="58"/>
      <c r="F241" s="1049">
        <f t="shared" si="79"/>
        <v>159</v>
      </c>
      <c r="G241" s="57">
        <f>148+11</f>
        <v>159</v>
      </c>
      <c r="H241" s="58"/>
      <c r="I241" s="59"/>
      <c r="K241" s="3">
        <f t="shared" si="58"/>
        <v>0</v>
      </c>
    </row>
    <row r="242" spans="1:11" s="3" customFormat="1" ht="12.75" thickBot="1">
      <c r="A242" s="83" t="s">
        <v>6</v>
      </c>
      <c r="B242" s="69" t="s">
        <v>329</v>
      </c>
      <c r="C242" s="1188">
        <f>+C239+C241</f>
        <v>149</v>
      </c>
      <c r="D242" s="61">
        <f>+D239+D241</f>
        <v>187</v>
      </c>
      <c r="E242" s="61">
        <f>+E239+E241</f>
        <v>0</v>
      </c>
      <c r="F242" s="1051">
        <f t="shared" ref="F242" si="80">+F239+F241</f>
        <v>187</v>
      </c>
      <c r="G242" s="60">
        <f>+G239+G241</f>
        <v>187</v>
      </c>
      <c r="H242" s="61">
        <f>+H239+H241</f>
        <v>0</v>
      </c>
      <c r="I242" s="62">
        <f>+I239+I241</f>
        <v>0</v>
      </c>
      <c r="K242" s="3">
        <f t="shared" si="58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E242"/>
  <sheetViews>
    <sheetView topLeftCell="A28" zoomScaleNormal="100" workbookViewId="0"/>
  </sheetViews>
  <sheetFormatPr defaultColWidth="9.140625"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A1" s="1190"/>
      <c r="B1" s="1190"/>
      <c r="G1" s="1190"/>
      <c r="H1" s="1190"/>
      <c r="I1" s="1198" t="s">
        <v>354</v>
      </c>
    </row>
    <row r="2" spans="1:11" s="50" customFormat="1" ht="15.75">
      <c r="A2" s="1190"/>
      <c r="B2" s="1190"/>
      <c r="G2" s="1190"/>
      <c r="H2" s="1190"/>
      <c r="I2" s="1190"/>
    </row>
    <row r="3" spans="1:11" s="52" customFormat="1" ht="15.75">
      <c r="A3" s="1453" t="s">
        <v>868</v>
      </c>
      <c r="B3" s="1453"/>
      <c r="C3" s="1453"/>
      <c r="D3" s="1453"/>
      <c r="E3" s="1453"/>
      <c r="F3" s="1453"/>
      <c r="G3" s="1453"/>
      <c r="H3" s="1453"/>
      <c r="I3" s="1453"/>
    </row>
    <row r="4" spans="1:11" s="52" customFormat="1" ht="15.75">
      <c r="A4" s="1453" t="s">
        <v>1429</v>
      </c>
      <c r="B4" s="1453"/>
      <c r="C4" s="1453"/>
      <c r="D4" s="1453"/>
      <c r="E4" s="1453"/>
      <c r="F4" s="1453"/>
      <c r="G4" s="1453"/>
      <c r="H4" s="1453"/>
      <c r="I4" s="1453"/>
    </row>
    <row r="5" spans="1:11" s="50" customFormat="1" ht="15.75">
      <c r="A5" s="1190"/>
      <c r="B5" s="1190"/>
      <c r="G5" s="1190"/>
      <c r="H5" s="1190"/>
      <c r="I5" s="1190"/>
    </row>
    <row r="6" spans="1:11" s="52" customFormat="1" ht="15.75">
      <c r="A6" s="1453" t="s">
        <v>48</v>
      </c>
      <c r="B6" s="1453"/>
      <c r="C6" s="1453"/>
      <c r="D6" s="1453"/>
      <c r="E6" s="1453"/>
      <c r="F6" s="1453"/>
      <c r="G6" s="1453"/>
      <c r="H6" s="1453"/>
      <c r="I6" s="1453"/>
    </row>
    <row r="7" spans="1:11" s="36" customFormat="1" ht="12.75" thickBot="1">
      <c r="A7" s="1199" t="s">
        <v>279</v>
      </c>
      <c r="B7" s="1191"/>
      <c r="G7" s="1191"/>
      <c r="H7" s="1191"/>
      <c r="I7" s="1200" t="s">
        <v>280</v>
      </c>
    </row>
    <row r="8" spans="1:11" s="8" customFormat="1" ht="54" customHeight="1" thickBot="1">
      <c r="A8" s="1201" t="s">
        <v>17</v>
      </c>
      <c r="B8" s="1202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1203" t="s">
        <v>51</v>
      </c>
      <c r="H8" s="1204" t="s">
        <v>52</v>
      </c>
      <c r="I8" s="1205" t="s">
        <v>53</v>
      </c>
    </row>
    <row r="9" spans="1:11" s="3" customFormat="1" ht="13.5" customHeight="1" thickBot="1">
      <c r="A9" s="1206" t="s">
        <v>252</v>
      </c>
      <c r="B9" s="1207" t="s">
        <v>253</v>
      </c>
      <c r="C9" s="1454" t="s">
        <v>254</v>
      </c>
      <c r="D9" s="1455"/>
      <c r="E9" s="1455"/>
      <c r="F9" s="1455"/>
      <c r="G9" s="1455"/>
      <c r="H9" s="1455"/>
      <c r="I9" s="1456"/>
    </row>
    <row r="10" spans="1:11" s="3" customFormat="1" ht="12.75" thickBot="1">
      <c r="A10" s="1208" t="s">
        <v>4</v>
      </c>
      <c r="B10" s="1209" t="s">
        <v>296</v>
      </c>
      <c r="C10" s="1210">
        <f>+C11+C25+C32+C44</f>
        <v>41459</v>
      </c>
      <c r="D10" s="131">
        <f>+D11+D25+D32+D44</f>
        <v>41459</v>
      </c>
      <c r="E10" s="131">
        <f>+E11+E25+E32+E44</f>
        <v>0</v>
      </c>
      <c r="F10" s="130">
        <f t="shared" ref="F10" si="0">+F11+F25+F32+F44</f>
        <v>41459</v>
      </c>
      <c r="G10" s="1211">
        <f>+G11+G25+G32+G44</f>
        <v>9308</v>
      </c>
      <c r="H10" s="1212">
        <f>+H11+H25+H32+H44</f>
        <v>32151</v>
      </c>
      <c r="I10" s="1213">
        <f>+I11+I25+I32+I44</f>
        <v>0</v>
      </c>
      <c r="K10" s="3">
        <f>+F10-G10-H10-I10</f>
        <v>0</v>
      </c>
    </row>
    <row r="11" spans="1:11" s="3" customFormat="1" ht="12.75" customHeight="1" thickBot="1">
      <c r="A11" s="1206" t="s">
        <v>5</v>
      </c>
      <c r="B11" s="1214" t="s">
        <v>297</v>
      </c>
      <c r="C11" s="1215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ref="K11:K74" si="2">+F11-G11-H11-I11</f>
        <v>0</v>
      </c>
    </row>
    <row r="12" spans="1:11" s="3" customFormat="1">
      <c r="A12" s="1216" t="s">
        <v>54</v>
      </c>
      <c r="B12" s="113" t="s">
        <v>298</v>
      </c>
      <c r="C12" s="1217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1218">
        <f>+G13+G14+G15+G16+G17+G18</f>
        <v>0</v>
      </c>
      <c r="H12" s="1219">
        <f>+H13+H14+H15+H16+H17+H18</f>
        <v>0</v>
      </c>
      <c r="I12" s="1220">
        <f>+I13+I14+I15+I16+I17+I18</f>
        <v>0</v>
      </c>
      <c r="K12" s="4">
        <f t="shared" si="2"/>
        <v>0</v>
      </c>
    </row>
    <row r="13" spans="1:11" s="13" customFormat="1">
      <c r="A13" s="108" t="s">
        <v>189</v>
      </c>
      <c r="B13" s="109" t="s">
        <v>93</v>
      </c>
      <c r="C13" s="476"/>
      <c r="D13" s="12"/>
      <c r="E13" s="12"/>
      <c r="F13" s="15">
        <f>+D13+E13</f>
        <v>0</v>
      </c>
      <c r="G13" s="720"/>
      <c r="H13" s="721"/>
      <c r="I13" s="722"/>
      <c r="K13" s="13">
        <f t="shared" si="2"/>
        <v>0</v>
      </c>
    </row>
    <row r="14" spans="1:11" s="13" customFormat="1">
      <c r="A14" s="108" t="s">
        <v>190</v>
      </c>
      <c r="B14" s="109" t="s">
        <v>94</v>
      </c>
      <c r="C14" s="476"/>
      <c r="D14" s="12"/>
      <c r="E14" s="12"/>
      <c r="F14" s="15">
        <f t="shared" ref="F14:F24" si="4">+D14+E14</f>
        <v>0</v>
      </c>
      <c r="G14" s="720"/>
      <c r="H14" s="721"/>
      <c r="I14" s="722"/>
      <c r="K14" s="13">
        <f t="shared" si="2"/>
        <v>0</v>
      </c>
    </row>
    <row r="15" spans="1:11" s="13" customFormat="1">
      <c r="A15" s="108" t="s">
        <v>191</v>
      </c>
      <c r="B15" s="109" t="s">
        <v>95</v>
      </c>
      <c r="C15" s="476"/>
      <c r="D15" s="12"/>
      <c r="E15" s="12"/>
      <c r="F15" s="15">
        <f t="shared" si="4"/>
        <v>0</v>
      </c>
      <c r="G15" s="720"/>
      <c r="H15" s="721"/>
      <c r="I15" s="722"/>
      <c r="K15" s="13">
        <f t="shared" si="2"/>
        <v>0</v>
      </c>
    </row>
    <row r="16" spans="1:11" s="13" customFormat="1">
      <c r="A16" s="108" t="s">
        <v>192</v>
      </c>
      <c r="B16" s="109" t="s">
        <v>96</v>
      </c>
      <c r="C16" s="476"/>
      <c r="D16" s="12"/>
      <c r="E16" s="12"/>
      <c r="F16" s="15">
        <f t="shared" si="4"/>
        <v>0</v>
      </c>
      <c r="G16" s="720"/>
      <c r="H16" s="721"/>
      <c r="I16" s="722"/>
      <c r="K16" s="13">
        <f t="shared" si="2"/>
        <v>0</v>
      </c>
    </row>
    <row r="17" spans="1:11" s="13" customFormat="1">
      <c r="A17" s="108" t="s">
        <v>193</v>
      </c>
      <c r="B17" s="109" t="s">
        <v>895</v>
      </c>
      <c r="C17" s="476"/>
      <c r="D17" s="12"/>
      <c r="E17" s="12"/>
      <c r="F17" s="15">
        <f t="shared" si="4"/>
        <v>0</v>
      </c>
      <c r="G17" s="720"/>
      <c r="H17" s="721"/>
      <c r="I17" s="722"/>
      <c r="K17" s="13">
        <f t="shared" si="2"/>
        <v>0</v>
      </c>
    </row>
    <row r="18" spans="1:11" s="13" customFormat="1">
      <c r="A18" s="108" t="s">
        <v>194</v>
      </c>
      <c r="B18" s="109" t="s">
        <v>896</v>
      </c>
      <c r="C18" s="476"/>
      <c r="D18" s="12"/>
      <c r="E18" s="12"/>
      <c r="F18" s="15">
        <f t="shared" si="4"/>
        <v>0</v>
      </c>
      <c r="G18" s="720"/>
      <c r="H18" s="721"/>
      <c r="I18" s="722"/>
      <c r="K18" s="13">
        <f t="shared" si="2"/>
        <v>0</v>
      </c>
    </row>
    <row r="19" spans="1:11">
      <c r="A19" s="1221" t="s">
        <v>55</v>
      </c>
      <c r="B19" s="1222" t="s">
        <v>97</v>
      </c>
      <c r="C19" s="475"/>
      <c r="D19" s="11"/>
      <c r="E19" s="11"/>
      <c r="F19" s="16">
        <f t="shared" si="4"/>
        <v>0</v>
      </c>
      <c r="G19" s="983"/>
      <c r="H19" s="984"/>
      <c r="I19" s="985"/>
      <c r="K19" s="4">
        <f t="shared" si="2"/>
        <v>0</v>
      </c>
    </row>
    <row r="20" spans="1:11">
      <c r="A20" s="1221" t="s">
        <v>83</v>
      </c>
      <c r="B20" s="1222" t="s">
        <v>98</v>
      </c>
      <c r="C20" s="475"/>
      <c r="D20" s="11"/>
      <c r="E20" s="11"/>
      <c r="F20" s="16">
        <f t="shared" si="4"/>
        <v>0</v>
      </c>
      <c r="G20" s="983"/>
      <c r="H20" s="984"/>
      <c r="I20" s="985"/>
      <c r="K20" s="4">
        <f t="shared" si="2"/>
        <v>0</v>
      </c>
    </row>
    <row r="21" spans="1:11">
      <c r="A21" s="1221" t="s">
        <v>84</v>
      </c>
      <c r="B21" s="1222" t="s">
        <v>99</v>
      </c>
      <c r="C21" s="475"/>
      <c r="D21" s="11"/>
      <c r="E21" s="11"/>
      <c r="F21" s="16">
        <f t="shared" si="4"/>
        <v>0</v>
      </c>
      <c r="G21" s="983"/>
      <c r="H21" s="984"/>
      <c r="I21" s="985"/>
      <c r="K21" s="4">
        <f t="shared" si="2"/>
        <v>0</v>
      </c>
    </row>
    <row r="22" spans="1:11">
      <c r="A22" s="1221" t="s">
        <v>85</v>
      </c>
      <c r="B22" s="1222" t="s">
        <v>100</v>
      </c>
      <c r="C22" s="475"/>
      <c r="D22" s="11"/>
      <c r="E22" s="11"/>
      <c r="F22" s="16">
        <f t="shared" si="4"/>
        <v>0</v>
      </c>
      <c r="G22" s="983"/>
      <c r="H22" s="984"/>
      <c r="I22" s="985"/>
      <c r="K22" s="4">
        <f t="shared" si="2"/>
        <v>0</v>
      </c>
    </row>
    <row r="23" spans="1:11">
      <c r="A23" s="1223" t="s">
        <v>86</v>
      </c>
      <c r="B23" s="1224" t="s">
        <v>101</v>
      </c>
      <c r="C23" s="474"/>
      <c r="D23" s="22"/>
      <c r="E23" s="22"/>
      <c r="F23" s="23">
        <f t="shared" si="4"/>
        <v>0</v>
      </c>
      <c r="G23" s="986"/>
      <c r="H23" s="987"/>
      <c r="I23" s="988"/>
      <c r="K23" s="4">
        <f t="shared" si="2"/>
        <v>0</v>
      </c>
    </row>
    <row r="24" spans="1:11" s="13" customFormat="1" ht="12.75" thickBot="1">
      <c r="A24" s="1225" t="s">
        <v>331</v>
      </c>
      <c r="B24" s="1226" t="s">
        <v>332</v>
      </c>
      <c r="C24" s="1227"/>
      <c r="D24" s="43"/>
      <c r="E24" s="43"/>
      <c r="F24" s="44">
        <f t="shared" si="4"/>
        <v>0</v>
      </c>
      <c r="G24" s="1228"/>
      <c r="H24" s="1229"/>
      <c r="I24" s="1039"/>
      <c r="K24" s="13">
        <f t="shared" si="2"/>
        <v>0</v>
      </c>
    </row>
    <row r="25" spans="1:11" s="3" customFormat="1" ht="12.75" customHeight="1" thickBot="1">
      <c r="A25" s="1206" t="s">
        <v>6</v>
      </c>
      <c r="B25" s="1214" t="s">
        <v>778</v>
      </c>
      <c r="C25" s="1215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2"/>
        <v>0</v>
      </c>
    </row>
    <row r="26" spans="1:11" ht="12.75" customHeight="1">
      <c r="A26" s="1216" t="s">
        <v>58</v>
      </c>
      <c r="B26" s="113" t="s">
        <v>102</v>
      </c>
      <c r="C26" s="1217"/>
      <c r="D26" s="10"/>
      <c r="E26" s="10"/>
      <c r="F26" s="35">
        <f t="shared" ref="F26:F31" si="6">+D26+E26</f>
        <v>0</v>
      </c>
      <c r="G26" s="114"/>
      <c r="H26" s="115"/>
      <c r="I26" s="116"/>
      <c r="K26" s="4">
        <f t="shared" si="2"/>
        <v>0</v>
      </c>
    </row>
    <row r="27" spans="1:11" ht="12.75" customHeight="1">
      <c r="A27" s="1221" t="s">
        <v>59</v>
      </c>
      <c r="B27" s="1222" t="s">
        <v>103</v>
      </c>
      <c r="C27" s="475"/>
      <c r="D27" s="11"/>
      <c r="E27" s="11"/>
      <c r="F27" s="16">
        <f t="shared" si="6"/>
        <v>0</v>
      </c>
      <c r="G27" s="983"/>
      <c r="H27" s="984"/>
      <c r="I27" s="985"/>
      <c r="K27" s="4">
        <f t="shared" si="2"/>
        <v>0</v>
      </c>
    </row>
    <row r="28" spans="1:11" ht="12.75" customHeight="1">
      <c r="A28" s="1221" t="s">
        <v>60</v>
      </c>
      <c r="B28" s="1222" t="s">
        <v>104</v>
      </c>
      <c r="C28" s="475"/>
      <c r="D28" s="11"/>
      <c r="E28" s="11"/>
      <c r="F28" s="16">
        <f t="shared" si="6"/>
        <v>0</v>
      </c>
      <c r="G28" s="983"/>
      <c r="H28" s="984"/>
      <c r="I28" s="985"/>
      <c r="K28" s="4">
        <f t="shared" si="2"/>
        <v>0</v>
      </c>
    </row>
    <row r="29" spans="1:11" ht="12.75" customHeight="1">
      <c r="A29" s="1221" t="s">
        <v>179</v>
      </c>
      <c r="B29" s="1222" t="s">
        <v>105</v>
      </c>
      <c r="C29" s="475"/>
      <c r="D29" s="11"/>
      <c r="E29" s="11"/>
      <c r="F29" s="16">
        <f t="shared" si="6"/>
        <v>0</v>
      </c>
      <c r="G29" s="983"/>
      <c r="H29" s="984"/>
      <c r="I29" s="985"/>
      <c r="K29" s="4">
        <f t="shared" si="2"/>
        <v>0</v>
      </c>
    </row>
    <row r="30" spans="1:11" ht="12.75" customHeight="1">
      <c r="A30" s="1223" t="s">
        <v>180</v>
      </c>
      <c r="B30" s="1224" t="s">
        <v>106</v>
      </c>
      <c r="C30" s="474"/>
      <c r="D30" s="22"/>
      <c r="E30" s="22"/>
      <c r="F30" s="23">
        <f t="shared" si="6"/>
        <v>0</v>
      </c>
      <c r="G30" s="983"/>
      <c r="H30" s="984"/>
      <c r="I30" s="985"/>
      <c r="K30" s="4">
        <f t="shared" si="2"/>
        <v>0</v>
      </c>
    </row>
    <row r="31" spans="1:11" ht="12.75" customHeight="1" thickBot="1">
      <c r="A31" s="1223" t="s">
        <v>777</v>
      </c>
      <c r="B31" s="1224" t="s">
        <v>779</v>
      </c>
      <c r="C31" s="474"/>
      <c r="D31" s="22"/>
      <c r="E31" s="22"/>
      <c r="F31" s="23">
        <f t="shared" si="6"/>
        <v>0</v>
      </c>
      <c r="G31" s="983"/>
      <c r="H31" s="984"/>
      <c r="I31" s="985"/>
      <c r="K31" s="4">
        <f t="shared" si="2"/>
        <v>0</v>
      </c>
    </row>
    <row r="32" spans="1:11" s="3" customFormat="1" ht="12.75" customHeight="1" thickBot="1">
      <c r="A32" s="1206" t="s">
        <v>3</v>
      </c>
      <c r="B32" s="1214" t="s">
        <v>968</v>
      </c>
      <c r="C32" s="1215">
        <f>+C33+C34+C35+C36+C37+C38+C39+C40+C41+C42+C43</f>
        <v>41459</v>
      </c>
      <c r="D32" s="28">
        <f>+D33+D34+D35+D36+D37+D38+D39+D40+D41+D42+D43</f>
        <v>41459</v>
      </c>
      <c r="E32" s="28">
        <f>+E33+E34+E35+E36+E37+E38+E39+E40+E41+E42+E43</f>
        <v>0</v>
      </c>
      <c r="F32" s="29">
        <f t="shared" ref="F32" si="7">+F33+F34+F35+F36+F37+F38+F39+F40+F41+F42+F43</f>
        <v>41459</v>
      </c>
      <c r="G32" s="110">
        <f>+G33+G34+G35+G36+G37+G38+G39+G40+G41+G42+G43</f>
        <v>9308</v>
      </c>
      <c r="H32" s="111">
        <f>+H33+H34+H35+H36+H37+H38+H39+H40+H41+H42+H43</f>
        <v>32151</v>
      </c>
      <c r="I32" s="112">
        <f>+I33+I34+I35+I36+I37+I38+I39+I40+I41+I42+I43</f>
        <v>0</v>
      </c>
      <c r="K32" s="3">
        <f t="shared" si="2"/>
        <v>0</v>
      </c>
    </row>
    <row r="33" spans="1:11" ht="12.75" customHeight="1">
      <c r="A33" s="1216" t="s">
        <v>61</v>
      </c>
      <c r="B33" s="113" t="s">
        <v>1554</v>
      </c>
      <c r="C33" s="1217"/>
      <c r="D33" s="10"/>
      <c r="E33" s="10"/>
      <c r="F33" s="35">
        <f t="shared" ref="F33:F43" si="8">+D33+E33</f>
        <v>0</v>
      </c>
      <c r="G33" s="114"/>
      <c r="H33" s="115"/>
      <c r="I33" s="116"/>
      <c r="K33" s="4">
        <f t="shared" si="2"/>
        <v>0</v>
      </c>
    </row>
    <row r="34" spans="1:11" ht="12.75" customHeight="1">
      <c r="A34" s="1221" t="s">
        <v>62</v>
      </c>
      <c r="B34" s="1222" t="s">
        <v>107</v>
      </c>
      <c r="C34" s="475">
        <v>26326</v>
      </c>
      <c r="D34" s="11">
        <v>26326</v>
      </c>
      <c r="E34" s="11"/>
      <c r="F34" s="16">
        <f t="shared" si="8"/>
        <v>26326</v>
      </c>
      <c r="G34" s="983">
        <v>1000</v>
      </c>
      <c r="H34" s="984">
        <v>25326</v>
      </c>
      <c r="I34" s="985"/>
      <c r="K34" s="4">
        <f t="shared" si="2"/>
        <v>0</v>
      </c>
    </row>
    <row r="35" spans="1:11" ht="12.75" customHeight="1">
      <c r="A35" s="1221" t="s">
        <v>63</v>
      </c>
      <c r="B35" s="1222" t="s">
        <v>108</v>
      </c>
      <c r="C35" s="475">
        <v>6541</v>
      </c>
      <c r="D35" s="11">
        <v>6541</v>
      </c>
      <c r="E35" s="11"/>
      <c r="F35" s="16">
        <f t="shared" si="8"/>
        <v>6541</v>
      </c>
      <c r="G35" s="983">
        <v>6541</v>
      </c>
      <c r="H35" s="984"/>
      <c r="I35" s="985"/>
      <c r="K35" s="4">
        <f t="shared" si="2"/>
        <v>0</v>
      </c>
    </row>
    <row r="36" spans="1:11" ht="12.75" customHeight="1">
      <c r="A36" s="1221" t="s">
        <v>64</v>
      </c>
      <c r="B36" s="1222" t="s">
        <v>109</v>
      </c>
      <c r="C36" s="475"/>
      <c r="D36" s="11"/>
      <c r="E36" s="11"/>
      <c r="F36" s="16">
        <f t="shared" si="8"/>
        <v>0</v>
      </c>
      <c r="G36" s="983"/>
      <c r="H36" s="984"/>
      <c r="I36" s="985"/>
      <c r="K36" s="4">
        <f t="shared" si="2"/>
        <v>0</v>
      </c>
    </row>
    <row r="37" spans="1:11" ht="12.75" customHeight="1">
      <c r="A37" s="1221" t="s">
        <v>65</v>
      </c>
      <c r="B37" s="1222" t="s">
        <v>110</v>
      </c>
      <c r="C37" s="475"/>
      <c r="D37" s="11"/>
      <c r="E37" s="11"/>
      <c r="F37" s="16">
        <f t="shared" si="8"/>
        <v>0</v>
      </c>
      <c r="G37" s="983"/>
      <c r="H37" s="984"/>
      <c r="I37" s="985"/>
      <c r="K37" s="4">
        <f t="shared" si="2"/>
        <v>0</v>
      </c>
    </row>
    <row r="38" spans="1:11" ht="12.75" customHeight="1">
      <c r="A38" s="1221" t="s">
        <v>221</v>
      </c>
      <c r="B38" s="1222" t="s">
        <v>111</v>
      </c>
      <c r="C38" s="475">
        <v>8592</v>
      </c>
      <c r="D38" s="11">
        <v>8592</v>
      </c>
      <c r="E38" s="11"/>
      <c r="F38" s="16">
        <f t="shared" si="8"/>
        <v>8592</v>
      </c>
      <c r="G38" s="983">
        <v>1767</v>
      </c>
      <c r="H38" s="984">
        <v>6825</v>
      </c>
      <c r="I38" s="985"/>
      <c r="K38" s="4">
        <f t="shared" si="2"/>
        <v>0</v>
      </c>
    </row>
    <row r="39" spans="1:11" ht="12.75" customHeight="1">
      <c r="A39" s="1221" t="s">
        <v>222</v>
      </c>
      <c r="B39" s="1222" t="s">
        <v>112</v>
      </c>
      <c r="C39" s="475"/>
      <c r="D39" s="11"/>
      <c r="E39" s="11"/>
      <c r="F39" s="16">
        <f t="shared" si="8"/>
        <v>0</v>
      </c>
      <c r="G39" s="983"/>
      <c r="H39" s="984"/>
      <c r="I39" s="985"/>
      <c r="K39" s="4">
        <f t="shared" si="2"/>
        <v>0</v>
      </c>
    </row>
    <row r="40" spans="1:11" ht="12.75" customHeight="1">
      <c r="A40" s="1221" t="s">
        <v>223</v>
      </c>
      <c r="B40" s="1222" t="s">
        <v>978</v>
      </c>
      <c r="C40" s="475"/>
      <c r="D40" s="11"/>
      <c r="E40" s="11"/>
      <c r="F40" s="16">
        <f t="shared" si="8"/>
        <v>0</v>
      </c>
      <c r="G40" s="983"/>
      <c r="H40" s="984"/>
      <c r="I40" s="985"/>
      <c r="K40" s="4">
        <f t="shared" si="2"/>
        <v>0</v>
      </c>
    </row>
    <row r="41" spans="1:11" ht="12.75" customHeight="1">
      <c r="A41" s="1221" t="s">
        <v>224</v>
      </c>
      <c r="B41" s="1222" t="s">
        <v>113</v>
      </c>
      <c r="C41" s="475"/>
      <c r="D41" s="11"/>
      <c r="E41" s="11"/>
      <c r="F41" s="16">
        <f t="shared" si="8"/>
        <v>0</v>
      </c>
      <c r="G41" s="983"/>
      <c r="H41" s="984"/>
      <c r="I41" s="985"/>
      <c r="K41" s="4">
        <f t="shared" si="2"/>
        <v>0</v>
      </c>
    </row>
    <row r="42" spans="1:11" ht="12.75" customHeight="1">
      <c r="A42" s="1223" t="s">
        <v>225</v>
      </c>
      <c r="B42" s="1224" t="s">
        <v>898</v>
      </c>
      <c r="C42" s="475"/>
      <c r="D42" s="11"/>
      <c r="E42" s="11"/>
      <c r="F42" s="16">
        <f t="shared" si="8"/>
        <v>0</v>
      </c>
      <c r="G42" s="983"/>
      <c r="H42" s="984"/>
      <c r="I42" s="985"/>
      <c r="K42" s="4">
        <f t="shared" si="2"/>
        <v>0</v>
      </c>
    </row>
    <row r="43" spans="1:11" ht="12.75" customHeight="1" thickBot="1">
      <c r="A43" s="1223" t="s">
        <v>897</v>
      </c>
      <c r="B43" s="1224" t="s">
        <v>899</v>
      </c>
      <c r="C43" s="474"/>
      <c r="D43" s="22"/>
      <c r="E43" s="22"/>
      <c r="F43" s="23">
        <f t="shared" si="8"/>
        <v>0</v>
      </c>
      <c r="G43" s="986"/>
      <c r="H43" s="987"/>
      <c r="I43" s="988"/>
      <c r="K43" s="4">
        <f t="shared" si="2"/>
        <v>0</v>
      </c>
    </row>
    <row r="44" spans="1:11" s="3" customFormat="1" ht="12.75" thickBot="1">
      <c r="A44" s="1206" t="s">
        <v>16</v>
      </c>
      <c r="B44" s="1214" t="s">
        <v>969</v>
      </c>
      <c r="C44" s="1215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2"/>
        <v>0</v>
      </c>
    </row>
    <row r="45" spans="1:11" ht="12.75" customHeight="1">
      <c r="A45" s="1216" t="s">
        <v>226</v>
      </c>
      <c r="B45" s="113" t="s">
        <v>114</v>
      </c>
      <c r="C45" s="1217"/>
      <c r="D45" s="10"/>
      <c r="E45" s="10"/>
      <c r="F45" s="35">
        <f t="shared" ref="F45:F49" si="10">+D45+E45</f>
        <v>0</v>
      </c>
      <c r="G45" s="114"/>
      <c r="H45" s="115"/>
      <c r="I45" s="116"/>
      <c r="K45" s="4">
        <f t="shared" si="2"/>
        <v>0</v>
      </c>
    </row>
    <row r="46" spans="1:11" ht="12.75" customHeight="1">
      <c r="A46" s="1216" t="s">
        <v>227</v>
      </c>
      <c r="B46" s="113" t="s">
        <v>900</v>
      </c>
      <c r="C46" s="1217"/>
      <c r="D46" s="10"/>
      <c r="E46" s="10"/>
      <c r="F46" s="35">
        <f t="shared" si="10"/>
        <v>0</v>
      </c>
      <c r="G46" s="114"/>
      <c r="H46" s="115"/>
      <c r="I46" s="116"/>
      <c r="K46" s="4">
        <f t="shared" si="2"/>
        <v>0</v>
      </c>
    </row>
    <row r="47" spans="1:11" ht="12.75" customHeight="1">
      <c r="A47" s="1216" t="s">
        <v>228</v>
      </c>
      <c r="B47" s="113" t="s">
        <v>901</v>
      </c>
      <c r="C47" s="1217"/>
      <c r="D47" s="10"/>
      <c r="E47" s="10"/>
      <c r="F47" s="35">
        <f t="shared" si="10"/>
        <v>0</v>
      </c>
      <c r="G47" s="114"/>
      <c r="H47" s="115"/>
      <c r="I47" s="116"/>
      <c r="K47" s="4">
        <f t="shared" si="2"/>
        <v>0</v>
      </c>
    </row>
    <row r="48" spans="1:11" ht="12.75" customHeight="1">
      <c r="A48" s="1221" t="s">
        <v>256</v>
      </c>
      <c r="B48" s="1222" t="s">
        <v>902</v>
      </c>
      <c r="C48" s="475"/>
      <c r="D48" s="11"/>
      <c r="E48" s="11"/>
      <c r="F48" s="16">
        <f t="shared" si="10"/>
        <v>0</v>
      </c>
      <c r="G48" s="983"/>
      <c r="H48" s="984"/>
      <c r="I48" s="985"/>
      <c r="K48" s="4">
        <f t="shared" si="2"/>
        <v>0</v>
      </c>
    </row>
    <row r="49" spans="1:11" ht="12.75" customHeight="1" thickBot="1">
      <c r="A49" s="1223" t="s">
        <v>257</v>
      </c>
      <c r="B49" s="1224" t="s">
        <v>903</v>
      </c>
      <c r="C49" s="474"/>
      <c r="D49" s="22"/>
      <c r="E49" s="22"/>
      <c r="F49" s="23">
        <f t="shared" si="10"/>
        <v>0</v>
      </c>
      <c r="G49" s="986"/>
      <c r="H49" s="987"/>
      <c r="I49" s="988"/>
      <c r="K49" s="4">
        <f t="shared" si="2"/>
        <v>0</v>
      </c>
    </row>
    <row r="50" spans="1:11" s="3" customFormat="1" ht="12.75" thickBot="1">
      <c r="A50" s="1206" t="s">
        <v>15</v>
      </c>
      <c r="B50" s="1230" t="s">
        <v>299</v>
      </c>
      <c r="C50" s="1215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2"/>
        <v>0</v>
      </c>
    </row>
    <row r="51" spans="1:11" s="3" customFormat="1" ht="12.75" customHeight="1" thickBot="1">
      <c r="A51" s="1206" t="s">
        <v>14</v>
      </c>
      <c r="B51" s="1214" t="s">
        <v>300</v>
      </c>
      <c r="C51" s="1215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2"/>
        <v>0</v>
      </c>
    </row>
    <row r="52" spans="1:11">
      <c r="A52" s="1216" t="s">
        <v>184</v>
      </c>
      <c r="B52" s="113" t="s">
        <v>115</v>
      </c>
      <c r="C52" s="1217"/>
      <c r="D52" s="10"/>
      <c r="E52" s="10"/>
      <c r="F52" s="35">
        <f t="shared" ref="F52:F57" si="13">+D52+E52</f>
        <v>0</v>
      </c>
      <c r="G52" s="114"/>
      <c r="H52" s="115"/>
      <c r="I52" s="116"/>
      <c r="K52" s="4">
        <f t="shared" si="2"/>
        <v>0</v>
      </c>
    </row>
    <row r="53" spans="1:11">
      <c r="A53" s="1221" t="s">
        <v>185</v>
      </c>
      <c r="B53" s="1222" t="s">
        <v>116</v>
      </c>
      <c r="C53" s="475"/>
      <c r="D53" s="11"/>
      <c r="E53" s="11"/>
      <c r="F53" s="16">
        <f t="shared" si="13"/>
        <v>0</v>
      </c>
      <c r="G53" s="983"/>
      <c r="H53" s="984"/>
      <c r="I53" s="985"/>
      <c r="K53" s="4">
        <f t="shared" si="2"/>
        <v>0</v>
      </c>
    </row>
    <row r="54" spans="1:11">
      <c r="A54" s="1221" t="s">
        <v>186</v>
      </c>
      <c r="B54" s="1222" t="s">
        <v>117</v>
      </c>
      <c r="C54" s="475"/>
      <c r="D54" s="11"/>
      <c r="E54" s="11"/>
      <c r="F54" s="16">
        <f t="shared" si="13"/>
        <v>0</v>
      </c>
      <c r="G54" s="983"/>
      <c r="H54" s="984"/>
      <c r="I54" s="985"/>
      <c r="K54" s="4">
        <f t="shared" si="2"/>
        <v>0</v>
      </c>
    </row>
    <row r="55" spans="1:11">
      <c r="A55" s="1221" t="s">
        <v>187</v>
      </c>
      <c r="B55" s="1222" t="s">
        <v>118</v>
      </c>
      <c r="C55" s="475"/>
      <c r="D55" s="11"/>
      <c r="E55" s="11"/>
      <c r="F55" s="16">
        <f t="shared" si="13"/>
        <v>0</v>
      </c>
      <c r="G55" s="983"/>
      <c r="H55" s="984"/>
      <c r="I55" s="985"/>
      <c r="K55" s="4">
        <f t="shared" si="2"/>
        <v>0</v>
      </c>
    </row>
    <row r="56" spans="1:11">
      <c r="A56" s="1223" t="s">
        <v>188</v>
      </c>
      <c r="B56" s="1224" t="s">
        <v>119</v>
      </c>
      <c r="C56" s="474"/>
      <c r="D56" s="22"/>
      <c r="E56" s="22"/>
      <c r="F56" s="23">
        <f t="shared" si="13"/>
        <v>0</v>
      </c>
      <c r="G56" s="986"/>
      <c r="H56" s="987"/>
      <c r="I56" s="988"/>
      <c r="K56" s="4">
        <f t="shared" si="2"/>
        <v>0</v>
      </c>
    </row>
    <row r="57" spans="1:11" s="13" customFormat="1" ht="12.75" thickBot="1">
      <c r="A57" s="1225" t="s">
        <v>333</v>
      </c>
      <c r="B57" s="1226" t="s">
        <v>337</v>
      </c>
      <c r="C57" s="1227"/>
      <c r="D57" s="43"/>
      <c r="E57" s="43"/>
      <c r="F57" s="44">
        <f t="shared" si="13"/>
        <v>0</v>
      </c>
      <c r="G57" s="1228"/>
      <c r="H57" s="1229"/>
      <c r="I57" s="1039"/>
      <c r="K57" s="13">
        <f t="shared" si="2"/>
        <v>0</v>
      </c>
    </row>
    <row r="58" spans="1:11" s="3" customFormat="1" ht="12.75" customHeight="1" thickBot="1">
      <c r="A58" s="1206" t="s">
        <v>13</v>
      </c>
      <c r="B58" s="1214" t="s">
        <v>301</v>
      </c>
      <c r="C58" s="1215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2"/>
        <v>0</v>
      </c>
    </row>
    <row r="59" spans="1:11" ht="12.75" customHeight="1">
      <c r="A59" s="1216" t="s">
        <v>66</v>
      </c>
      <c r="B59" s="113" t="s">
        <v>120</v>
      </c>
      <c r="C59" s="1217"/>
      <c r="D59" s="10"/>
      <c r="E59" s="10"/>
      <c r="F59" s="35">
        <f t="shared" ref="F59:F63" si="15">+D59+E59</f>
        <v>0</v>
      </c>
      <c r="G59" s="114"/>
      <c r="H59" s="115"/>
      <c r="I59" s="116"/>
      <c r="K59" s="4">
        <f t="shared" si="2"/>
        <v>0</v>
      </c>
    </row>
    <row r="60" spans="1:11" ht="12.75" customHeight="1">
      <c r="A60" s="1221" t="s">
        <v>67</v>
      </c>
      <c r="B60" s="1222" t="s">
        <v>121</v>
      </c>
      <c r="C60" s="475"/>
      <c r="D60" s="11"/>
      <c r="E60" s="11"/>
      <c r="F60" s="16">
        <f t="shared" si="15"/>
        <v>0</v>
      </c>
      <c r="G60" s="983"/>
      <c r="H60" s="984"/>
      <c r="I60" s="985"/>
      <c r="K60" s="4">
        <f t="shared" si="2"/>
        <v>0</v>
      </c>
    </row>
    <row r="61" spans="1:11" ht="12.75" customHeight="1">
      <c r="A61" s="1221" t="s">
        <v>68</v>
      </c>
      <c r="B61" s="1222" t="s">
        <v>122</v>
      </c>
      <c r="C61" s="475"/>
      <c r="D61" s="11"/>
      <c r="E61" s="11"/>
      <c r="F61" s="16">
        <f t="shared" si="15"/>
        <v>0</v>
      </c>
      <c r="G61" s="983"/>
      <c r="H61" s="984"/>
      <c r="I61" s="985"/>
      <c r="K61" s="4">
        <f t="shared" si="2"/>
        <v>0</v>
      </c>
    </row>
    <row r="62" spans="1:11" ht="12.75" customHeight="1">
      <c r="A62" s="1221" t="s">
        <v>229</v>
      </c>
      <c r="B62" s="1222" t="s">
        <v>123</v>
      </c>
      <c r="C62" s="475"/>
      <c r="D62" s="11"/>
      <c r="E62" s="11"/>
      <c r="F62" s="16">
        <f t="shared" si="15"/>
        <v>0</v>
      </c>
      <c r="G62" s="983"/>
      <c r="H62" s="984"/>
      <c r="I62" s="985"/>
      <c r="K62" s="4">
        <f t="shared" si="2"/>
        <v>0</v>
      </c>
    </row>
    <row r="63" spans="1:11" ht="12.75" customHeight="1" thickBot="1">
      <c r="A63" s="1223" t="s">
        <v>230</v>
      </c>
      <c r="B63" s="1224" t="s">
        <v>124</v>
      </c>
      <c r="C63" s="474"/>
      <c r="D63" s="22"/>
      <c r="E63" s="22"/>
      <c r="F63" s="23">
        <f t="shared" si="15"/>
        <v>0</v>
      </c>
      <c r="G63" s="986"/>
      <c r="H63" s="987"/>
      <c r="I63" s="988"/>
      <c r="K63" s="4">
        <f t="shared" si="2"/>
        <v>0</v>
      </c>
    </row>
    <row r="64" spans="1:11" s="3" customFormat="1" ht="12.75" thickBot="1">
      <c r="A64" s="1206" t="s">
        <v>12</v>
      </c>
      <c r="B64" s="1214" t="s">
        <v>907</v>
      </c>
      <c r="C64" s="1215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2"/>
        <v>0</v>
      </c>
    </row>
    <row r="65" spans="1:11">
      <c r="A65" s="1216" t="s">
        <v>69</v>
      </c>
      <c r="B65" s="113" t="s">
        <v>125</v>
      </c>
      <c r="C65" s="1217"/>
      <c r="D65" s="10"/>
      <c r="E65" s="10"/>
      <c r="F65" s="35">
        <f t="shared" ref="F65:F69" si="17">+D65+E65</f>
        <v>0</v>
      </c>
      <c r="G65" s="114"/>
      <c r="H65" s="115"/>
      <c r="I65" s="116"/>
      <c r="K65" s="4">
        <f t="shared" si="2"/>
        <v>0</v>
      </c>
    </row>
    <row r="66" spans="1:11">
      <c r="A66" s="1216" t="s">
        <v>70</v>
      </c>
      <c r="B66" s="113" t="s">
        <v>908</v>
      </c>
      <c r="C66" s="1217"/>
      <c r="D66" s="10"/>
      <c r="E66" s="10"/>
      <c r="F66" s="35">
        <f t="shared" si="17"/>
        <v>0</v>
      </c>
      <c r="G66" s="114"/>
      <c r="H66" s="115"/>
      <c r="I66" s="116"/>
      <c r="K66" s="4">
        <f t="shared" si="2"/>
        <v>0</v>
      </c>
    </row>
    <row r="67" spans="1:11">
      <c r="A67" s="1216" t="s">
        <v>71</v>
      </c>
      <c r="B67" s="113" t="s">
        <v>909</v>
      </c>
      <c r="C67" s="1217"/>
      <c r="D67" s="10"/>
      <c r="E67" s="10"/>
      <c r="F67" s="35">
        <f t="shared" si="17"/>
        <v>0</v>
      </c>
      <c r="G67" s="114"/>
      <c r="H67" s="115"/>
      <c r="I67" s="116"/>
      <c r="K67" s="4">
        <f t="shared" si="2"/>
        <v>0</v>
      </c>
    </row>
    <row r="68" spans="1:11">
      <c r="A68" s="1221" t="s">
        <v>72</v>
      </c>
      <c r="B68" s="1222" t="s">
        <v>905</v>
      </c>
      <c r="C68" s="475"/>
      <c r="D68" s="11"/>
      <c r="E68" s="11"/>
      <c r="F68" s="16">
        <f t="shared" si="17"/>
        <v>0</v>
      </c>
      <c r="G68" s="983"/>
      <c r="H68" s="984"/>
      <c r="I68" s="985"/>
      <c r="K68" s="4">
        <f t="shared" si="2"/>
        <v>0</v>
      </c>
    </row>
    <row r="69" spans="1:11" ht="12.75" thickBot="1">
      <c r="A69" s="1223" t="s">
        <v>904</v>
      </c>
      <c r="B69" s="1224" t="s">
        <v>906</v>
      </c>
      <c r="C69" s="474"/>
      <c r="D69" s="22"/>
      <c r="E69" s="22"/>
      <c r="F69" s="23">
        <f t="shared" si="17"/>
        <v>0</v>
      </c>
      <c r="G69" s="986"/>
      <c r="H69" s="987"/>
      <c r="I69" s="988"/>
      <c r="K69" s="4">
        <f t="shared" si="2"/>
        <v>0</v>
      </c>
    </row>
    <row r="70" spans="1:11" s="3" customFormat="1" ht="12.75" thickBot="1">
      <c r="A70" s="1206" t="s">
        <v>11</v>
      </c>
      <c r="B70" s="1230" t="s">
        <v>302</v>
      </c>
      <c r="C70" s="1215">
        <f>+C10+C50</f>
        <v>41459</v>
      </c>
      <c r="D70" s="28">
        <f>+D10+D50</f>
        <v>41459</v>
      </c>
      <c r="E70" s="28">
        <f>+E10+E50</f>
        <v>0</v>
      </c>
      <c r="F70" s="29">
        <f t="shared" ref="F70" si="18">+F10+F50</f>
        <v>41459</v>
      </c>
      <c r="G70" s="110">
        <f>+G10+G50</f>
        <v>9308</v>
      </c>
      <c r="H70" s="111">
        <f>+H10+H50</f>
        <v>32151</v>
      </c>
      <c r="I70" s="112">
        <f>+I10+I50</f>
        <v>0</v>
      </c>
      <c r="K70" s="3">
        <f t="shared" si="2"/>
        <v>0</v>
      </c>
    </row>
    <row r="71" spans="1:11" s="3" customFormat="1" ht="12.75" thickBot="1">
      <c r="A71" s="1206" t="s">
        <v>10</v>
      </c>
      <c r="B71" s="1231" t="s">
        <v>303</v>
      </c>
      <c r="C71" s="1215">
        <f>+C72</f>
        <v>360861</v>
      </c>
      <c r="D71" s="28">
        <f>+D72</f>
        <v>385133</v>
      </c>
      <c r="E71" s="28">
        <f>+E72</f>
        <v>33</v>
      </c>
      <c r="F71" s="29">
        <f t="shared" ref="F71" si="19">+F72</f>
        <v>385166</v>
      </c>
      <c r="G71" s="110">
        <f>+G72</f>
        <v>377069</v>
      </c>
      <c r="H71" s="111">
        <f>+H72</f>
        <v>8097</v>
      </c>
      <c r="I71" s="112">
        <f>+I72</f>
        <v>0</v>
      </c>
      <c r="K71" s="3">
        <f t="shared" si="2"/>
        <v>0</v>
      </c>
    </row>
    <row r="72" spans="1:11" s="3" customFormat="1" ht="12.75" thickBot="1">
      <c r="A72" s="1206" t="s">
        <v>9</v>
      </c>
      <c r="B72" s="1214" t="s">
        <v>916</v>
      </c>
      <c r="C72" s="1215">
        <f>+C73+C83+C84+C85</f>
        <v>360861</v>
      </c>
      <c r="D72" s="28">
        <f>+D73+D83+D84+D85</f>
        <v>385133</v>
      </c>
      <c r="E72" s="28">
        <f>+E73+E83+E84+E85</f>
        <v>33</v>
      </c>
      <c r="F72" s="29">
        <f t="shared" ref="F72" si="20">+F73+F83+F84+F85</f>
        <v>385166</v>
      </c>
      <c r="G72" s="110">
        <f>+G73+G83+G84+G85</f>
        <v>377069</v>
      </c>
      <c r="H72" s="111">
        <f>+H73+H83+H84+H85</f>
        <v>8097</v>
      </c>
      <c r="I72" s="112">
        <f>+I73+I83+I84+I85</f>
        <v>0</v>
      </c>
      <c r="K72" s="3">
        <f t="shared" si="2"/>
        <v>0</v>
      </c>
    </row>
    <row r="73" spans="1:11">
      <c r="A73" s="1216" t="s">
        <v>73</v>
      </c>
      <c r="B73" s="113" t="s">
        <v>911</v>
      </c>
      <c r="C73" s="1217">
        <f>+C74+C75+C76+C77+C78+C79+C80+C81+C82</f>
        <v>360861</v>
      </c>
      <c r="D73" s="10">
        <f>+D74+D75+D76+D77+D78+D79+D80+D81+D82</f>
        <v>385133</v>
      </c>
      <c r="E73" s="10">
        <f>+E74+E75+E76+E77+E78+E79+E80+E81+E82</f>
        <v>33</v>
      </c>
      <c r="F73" s="35">
        <f t="shared" ref="F73" si="21">+F74+F75+F76+F77+F78+F79+F80+F81+F82</f>
        <v>385166</v>
      </c>
      <c r="G73" s="114">
        <f>+G74+G75+G76+G77+G78+G79+G80+G81+G82</f>
        <v>377069</v>
      </c>
      <c r="H73" s="115">
        <f>+H74+H75+H76+H77+H78+H79+H80+H81+H82</f>
        <v>8097</v>
      </c>
      <c r="I73" s="116">
        <f>+I74+I75+I76+I77+I78+I79+I80+I81+I82</f>
        <v>0</v>
      </c>
      <c r="K73" s="4">
        <f t="shared" si="2"/>
        <v>0</v>
      </c>
    </row>
    <row r="74" spans="1:11" s="13" customFormat="1">
      <c r="A74" s="108" t="s">
        <v>195</v>
      </c>
      <c r="B74" s="109" t="s">
        <v>910</v>
      </c>
      <c r="C74" s="476"/>
      <c r="D74" s="12"/>
      <c r="E74" s="12"/>
      <c r="F74" s="15">
        <f t="shared" ref="F74:F78" si="22">+D74+E74</f>
        <v>0</v>
      </c>
      <c r="G74" s="720"/>
      <c r="H74" s="721"/>
      <c r="I74" s="722"/>
      <c r="K74" s="13">
        <f t="shared" si="2"/>
        <v>0</v>
      </c>
    </row>
    <row r="75" spans="1:11" s="13" customFormat="1">
      <c r="A75" s="108" t="s">
        <v>196</v>
      </c>
      <c r="B75" s="109" t="s">
        <v>246</v>
      </c>
      <c r="C75" s="476"/>
      <c r="D75" s="12"/>
      <c r="E75" s="12"/>
      <c r="F75" s="15">
        <f t="shared" si="22"/>
        <v>0</v>
      </c>
      <c r="G75" s="720"/>
      <c r="H75" s="721"/>
      <c r="I75" s="722"/>
      <c r="K75" s="13">
        <f t="shared" ref="K75:K138" si="23">+F75-G75-H75-I75</f>
        <v>0</v>
      </c>
    </row>
    <row r="76" spans="1:11" s="13" customFormat="1">
      <c r="A76" s="108" t="s">
        <v>197</v>
      </c>
      <c r="B76" s="109" t="s">
        <v>247</v>
      </c>
      <c r="C76" s="476"/>
      <c r="D76" s="12">
        <f>0+22631</f>
        <v>22631</v>
      </c>
      <c r="E76" s="12"/>
      <c r="F76" s="15">
        <f t="shared" si="22"/>
        <v>22631</v>
      </c>
      <c r="G76" s="720">
        <v>22631</v>
      </c>
      <c r="H76" s="721"/>
      <c r="I76" s="722"/>
      <c r="K76" s="13">
        <f t="shared" si="23"/>
        <v>0</v>
      </c>
    </row>
    <row r="77" spans="1:11" s="13" customFormat="1">
      <c r="A77" s="108" t="s">
        <v>198</v>
      </c>
      <c r="B77" s="109" t="s">
        <v>248</v>
      </c>
      <c r="C77" s="476"/>
      <c r="D77" s="12"/>
      <c r="E77" s="12"/>
      <c r="F77" s="15">
        <f t="shared" si="22"/>
        <v>0</v>
      </c>
      <c r="G77" s="720"/>
      <c r="H77" s="721"/>
      <c r="I77" s="722"/>
      <c r="K77" s="13">
        <f t="shared" si="23"/>
        <v>0</v>
      </c>
    </row>
    <row r="78" spans="1:11" s="13" customFormat="1">
      <c r="A78" s="108" t="s">
        <v>199</v>
      </c>
      <c r="B78" s="109" t="s">
        <v>249</v>
      </c>
      <c r="C78" s="476"/>
      <c r="D78" s="12"/>
      <c r="E78" s="12"/>
      <c r="F78" s="15">
        <f t="shared" si="22"/>
        <v>0</v>
      </c>
      <c r="G78" s="720"/>
      <c r="H78" s="721"/>
      <c r="I78" s="722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76">
        <f t="shared" ref="C79:F79" si="24">+C109-C10+C178-C74-C75-C76-C77-C78-C80-C81-C83-C84-C85</f>
        <v>360861</v>
      </c>
      <c r="D79" s="12">
        <f t="shared" si="24"/>
        <v>362502</v>
      </c>
      <c r="E79" s="12">
        <f t="shared" si="24"/>
        <v>33</v>
      </c>
      <c r="F79" s="15">
        <f t="shared" si="24"/>
        <v>362535</v>
      </c>
      <c r="G79" s="720">
        <f>+G109-G10+G178-G74-G75-G76-G77-G78-G80-G81-G83-G84-G85</f>
        <v>354438</v>
      </c>
      <c r="H79" s="721">
        <f>+H109-H10+H178-H74-H75-H76-H77-H78-H80-H81-H83-H84-H85</f>
        <v>8097</v>
      </c>
      <c r="I79" s="722">
        <f>+I109-I10+I178-I74-I75-I76-I77-I78-I80-I81-I83-I84-I85</f>
        <v>0</v>
      </c>
      <c r="K79" s="117">
        <f t="shared" si="23"/>
        <v>0</v>
      </c>
    </row>
    <row r="80" spans="1:11" s="13" customFormat="1">
      <c r="A80" s="108" t="s">
        <v>203</v>
      </c>
      <c r="B80" s="109" t="s">
        <v>251</v>
      </c>
      <c r="C80" s="476"/>
      <c r="D80" s="12"/>
      <c r="E80" s="12"/>
      <c r="F80" s="15">
        <f t="shared" ref="F80:F85" si="25">+D80+E80</f>
        <v>0</v>
      </c>
      <c r="G80" s="720"/>
      <c r="H80" s="721"/>
      <c r="I80" s="722"/>
      <c r="K80" s="117">
        <f t="shared" si="23"/>
        <v>0</v>
      </c>
    </row>
    <row r="81" spans="1:11" s="13" customFormat="1">
      <c r="A81" s="108" t="s">
        <v>201</v>
      </c>
      <c r="B81" s="109" t="s">
        <v>244</v>
      </c>
      <c r="C81" s="476"/>
      <c r="D81" s="12"/>
      <c r="E81" s="12"/>
      <c r="F81" s="15">
        <f t="shared" si="25"/>
        <v>0</v>
      </c>
      <c r="G81" s="720"/>
      <c r="H81" s="721"/>
      <c r="I81" s="722"/>
      <c r="K81" s="117">
        <f t="shared" si="23"/>
        <v>0</v>
      </c>
    </row>
    <row r="82" spans="1:11" s="13" customFormat="1">
      <c r="A82" s="108" t="s">
        <v>912</v>
      </c>
      <c r="B82" s="109" t="s">
        <v>913</v>
      </c>
      <c r="C82" s="476"/>
      <c r="D82" s="12"/>
      <c r="E82" s="12"/>
      <c r="F82" s="15">
        <f t="shared" si="25"/>
        <v>0</v>
      </c>
      <c r="G82" s="720"/>
      <c r="H82" s="721"/>
      <c r="I82" s="722"/>
      <c r="K82" s="117">
        <f t="shared" si="23"/>
        <v>0</v>
      </c>
    </row>
    <row r="83" spans="1:11">
      <c r="A83" s="1221" t="s">
        <v>74</v>
      </c>
      <c r="B83" s="1222" t="s">
        <v>242</v>
      </c>
      <c r="C83" s="475"/>
      <c r="D83" s="11"/>
      <c r="E83" s="11"/>
      <c r="F83" s="16">
        <f t="shared" si="25"/>
        <v>0</v>
      </c>
      <c r="G83" s="983"/>
      <c r="H83" s="984"/>
      <c r="I83" s="985"/>
      <c r="K83" s="118">
        <f t="shared" si="23"/>
        <v>0</v>
      </c>
    </row>
    <row r="84" spans="1:11">
      <c r="A84" s="1223" t="s">
        <v>202</v>
      </c>
      <c r="B84" s="1224" t="s">
        <v>243</v>
      </c>
      <c r="C84" s="474"/>
      <c r="D84" s="22"/>
      <c r="E84" s="22"/>
      <c r="F84" s="23">
        <f t="shared" si="25"/>
        <v>0</v>
      </c>
      <c r="G84" s="986"/>
      <c r="H84" s="987"/>
      <c r="I84" s="988"/>
      <c r="K84" s="118">
        <f t="shared" si="23"/>
        <v>0</v>
      </c>
    </row>
    <row r="85" spans="1:11" ht="12.75" thickBot="1">
      <c r="A85" s="1223" t="s">
        <v>914</v>
      </c>
      <c r="B85" s="1224" t="s">
        <v>915</v>
      </c>
      <c r="C85" s="474"/>
      <c r="D85" s="22"/>
      <c r="E85" s="22"/>
      <c r="F85" s="23">
        <f t="shared" si="25"/>
        <v>0</v>
      </c>
      <c r="G85" s="986"/>
      <c r="H85" s="987"/>
      <c r="I85" s="988"/>
      <c r="K85" s="118">
        <f t="shared" si="23"/>
        <v>0</v>
      </c>
    </row>
    <row r="86" spans="1:11" s="3" customFormat="1" ht="12.75" thickBot="1">
      <c r="A86" s="1206" t="s">
        <v>45</v>
      </c>
      <c r="B86" s="1231" t="s">
        <v>304</v>
      </c>
      <c r="C86" s="1215">
        <f>+C87</f>
        <v>4000</v>
      </c>
      <c r="D86" s="28">
        <f>+D87</f>
        <v>4000</v>
      </c>
      <c r="E86" s="28">
        <f>+E87</f>
        <v>0</v>
      </c>
      <c r="F86" s="29">
        <f t="shared" ref="F86" si="26">+F87</f>
        <v>4000</v>
      </c>
      <c r="G86" s="110">
        <f>+G87</f>
        <v>4000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3" customFormat="1" ht="12.75" thickBot="1">
      <c r="A87" s="1206" t="s">
        <v>44</v>
      </c>
      <c r="B87" s="1214" t="s">
        <v>918</v>
      </c>
      <c r="C87" s="1215">
        <f>+C88+C98+C99+C100</f>
        <v>4000</v>
      </c>
      <c r="D87" s="28">
        <f>+D88+D98+D99+D100</f>
        <v>4000</v>
      </c>
      <c r="E87" s="28">
        <f>+E88+E98+E99+E100</f>
        <v>0</v>
      </c>
      <c r="F87" s="29">
        <f t="shared" ref="F87" si="27">+F88+F98+F99+F100</f>
        <v>4000</v>
      </c>
      <c r="G87" s="110">
        <f>+G88+G98+G99+G100</f>
        <v>4000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1216" t="s">
        <v>231</v>
      </c>
      <c r="B88" s="113" t="s">
        <v>970</v>
      </c>
      <c r="C88" s="1217">
        <f>+C89+C90+C91+C92+C93+C94+C95+C96+C97</f>
        <v>4000</v>
      </c>
      <c r="D88" s="10">
        <f>+D89+D90+D91+D92+D93+D94+D95+D96+D97</f>
        <v>4000</v>
      </c>
      <c r="E88" s="10">
        <f>+E89+E90+E91+E92+E93+E94+E95+E96+E97</f>
        <v>0</v>
      </c>
      <c r="F88" s="35">
        <f t="shared" ref="F88" si="28">+F89+F90+F91+F92+F93+F94+F95+F96+F97</f>
        <v>4000</v>
      </c>
      <c r="G88" s="114">
        <f>+G89+G90+G91+G92+G93+G94+G95+G96+G97</f>
        <v>4000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3" customFormat="1">
      <c r="A89" s="108" t="s">
        <v>232</v>
      </c>
      <c r="B89" s="109" t="s">
        <v>910</v>
      </c>
      <c r="C89" s="476"/>
      <c r="D89" s="12"/>
      <c r="E89" s="12"/>
      <c r="F89" s="15">
        <f t="shared" ref="F89:F93" si="29">+D89+E89</f>
        <v>0</v>
      </c>
      <c r="G89" s="720"/>
      <c r="H89" s="721"/>
      <c r="I89" s="722"/>
      <c r="K89" s="117">
        <f t="shared" si="23"/>
        <v>0</v>
      </c>
    </row>
    <row r="90" spans="1:11" s="13" customFormat="1">
      <c r="A90" s="108" t="s">
        <v>233</v>
      </c>
      <c r="B90" s="109" t="s">
        <v>246</v>
      </c>
      <c r="C90" s="476"/>
      <c r="D90" s="12"/>
      <c r="E90" s="12"/>
      <c r="F90" s="15">
        <f t="shared" si="29"/>
        <v>0</v>
      </c>
      <c r="G90" s="720"/>
      <c r="H90" s="721"/>
      <c r="I90" s="722"/>
      <c r="K90" s="117">
        <f t="shared" si="23"/>
        <v>0</v>
      </c>
    </row>
    <row r="91" spans="1:11" s="13" customFormat="1">
      <c r="A91" s="108" t="s">
        <v>234</v>
      </c>
      <c r="B91" s="109" t="s">
        <v>247</v>
      </c>
      <c r="C91" s="476"/>
      <c r="D91" s="12"/>
      <c r="E91" s="12"/>
      <c r="F91" s="15">
        <f t="shared" si="29"/>
        <v>0</v>
      </c>
      <c r="G91" s="720"/>
      <c r="H91" s="721"/>
      <c r="I91" s="722"/>
      <c r="K91" s="117">
        <f t="shared" si="23"/>
        <v>0</v>
      </c>
    </row>
    <row r="92" spans="1:11" s="13" customFormat="1">
      <c r="A92" s="108" t="s">
        <v>235</v>
      </c>
      <c r="B92" s="109" t="s">
        <v>248</v>
      </c>
      <c r="C92" s="476"/>
      <c r="D92" s="12"/>
      <c r="E92" s="12"/>
      <c r="F92" s="15">
        <f t="shared" si="29"/>
        <v>0</v>
      </c>
      <c r="G92" s="720"/>
      <c r="H92" s="721"/>
      <c r="I92" s="722"/>
      <c r="K92" s="117">
        <f t="shared" si="23"/>
        <v>0</v>
      </c>
    </row>
    <row r="93" spans="1:11" s="13" customFormat="1">
      <c r="A93" s="108" t="s">
        <v>236</v>
      </c>
      <c r="B93" s="109" t="s">
        <v>249</v>
      </c>
      <c r="C93" s="476"/>
      <c r="D93" s="12"/>
      <c r="E93" s="12"/>
      <c r="F93" s="15">
        <f t="shared" si="29"/>
        <v>0</v>
      </c>
      <c r="G93" s="720"/>
      <c r="H93" s="721"/>
      <c r="I93" s="722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76">
        <f t="shared" ref="C94:F94" si="30">+C149-C50+C192-C89-C90-C91-C92-C93-C95-C96-C98-C99-C100</f>
        <v>4000</v>
      </c>
      <c r="D94" s="12">
        <f t="shared" si="30"/>
        <v>4000</v>
      </c>
      <c r="E94" s="12">
        <f t="shared" si="30"/>
        <v>0</v>
      </c>
      <c r="F94" s="15">
        <f t="shared" si="30"/>
        <v>4000</v>
      </c>
      <c r="G94" s="720">
        <f>+G149-G50+G192-G89-G90-G91-G92-G93-G95-G96-G98-G99-G100</f>
        <v>4000</v>
      </c>
      <c r="H94" s="721">
        <f>+H149-H50+H192-H89-H90-H91-H92-H93-H95-H96-H98-H99-H100</f>
        <v>0</v>
      </c>
      <c r="I94" s="722">
        <f>+I149-I50+I192-I89-I90-I91-I92-I93-I95-I96-I98-I99-I100</f>
        <v>0</v>
      </c>
      <c r="K94" s="117">
        <f t="shared" si="23"/>
        <v>0</v>
      </c>
    </row>
    <row r="95" spans="1:11" s="13" customFormat="1">
      <c r="A95" s="108" t="s">
        <v>238</v>
      </c>
      <c r="B95" s="109" t="s">
        <v>251</v>
      </c>
      <c r="C95" s="476"/>
      <c r="D95" s="12"/>
      <c r="E95" s="12"/>
      <c r="F95" s="15">
        <f t="shared" ref="F95:F100" si="31">+D95+E95</f>
        <v>0</v>
      </c>
      <c r="G95" s="720"/>
      <c r="H95" s="721"/>
      <c r="I95" s="722"/>
      <c r="K95" s="13">
        <f t="shared" si="23"/>
        <v>0</v>
      </c>
    </row>
    <row r="96" spans="1:11" s="13" customFormat="1">
      <c r="A96" s="108" t="s">
        <v>239</v>
      </c>
      <c r="B96" s="109" t="s">
        <v>244</v>
      </c>
      <c r="C96" s="476"/>
      <c r="D96" s="12"/>
      <c r="E96" s="12"/>
      <c r="F96" s="15">
        <f t="shared" si="31"/>
        <v>0</v>
      </c>
      <c r="G96" s="720"/>
      <c r="H96" s="721"/>
      <c r="I96" s="722"/>
      <c r="K96" s="13">
        <f t="shared" si="23"/>
        <v>0</v>
      </c>
    </row>
    <row r="97" spans="1:11" s="13" customFormat="1">
      <c r="A97" s="108" t="s">
        <v>917</v>
      </c>
      <c r="B97" s="109" t="s">
        <v>913</v>
      </c>
      <c r="C97" s="476"/>
      <c r="D97" s="12"/>
      <c r="E97" s="12"/>
      <c r="F97" s="15">
        <f t="shared" si="31"/>
        <v>0</v>
      </c>
      <c r="G97" s="720"/>
      <c r="H97" s="721"/>
      <c r="I97" s="722"/>
      <c r="K97" s="13">
        <f t="shared" si="23"/>
        <v>0</v>
      </c>
    </row>
    <row r="98" spans="1:11">
      <c r="A98" s="1221" t="s">
        <v>240</v>
      </c>
      <c r="B98" s="1222" t="s">
        <v>242</v>
      </c>
      <c r="C98" s="475"/>
      <c r="D98" s="11"/>
      <c r="E98" s="11"/>
      <c r="F98" s="16">
        <f t="shared" si="31"/>
        <v>0</v>
      </c>
      <c r="G98" s="983"/>
      <c r="H98" s="984"/>
      <c r="I98" s="985"/>
      <c r="K98" s="4">
        <f t="shared" si="23"/>
        <v>0</v>
      </c>
    </row>
    <row r="99" spans="1:11">
      <c r="A99" s="1223" t="s">
        <v>241</v>
      </c>
      <c r="B99" s="1224" t="s">
        <v>243</v>
      </c>
      <c r="C99" s="474"/>
      <c r="D99" s="22"/>
      <c r="E99" s="22"/>
      <c r="F99" s="23">
        <f t="shared" si="31"/>
        <v>0</v>
      </c>
      <c r="G99" s="986"/>
      <c r="H99" s="987"/>
      <c r="I99" s="988"/>
      <c r="K99" s="4">
        <f t="shared" si="23"/>
        <v>0</v>
      </c>
    </row>
    <row r="100" spans="1:11" ht="12.75" thickBot="1">
      <c r="A100" s="1223" t="s">
        <v>919</v>
      </c>
      <c r="B100" s="1224" t="s">
        <v>915</v>
      </c>
      <c r="C100" s="474"/>
      <c r="D100" s="22"/>
      <c r="E100" s="22"/>
      <c r="F100" s="23">
        <f t="shared" si="31"/>
        <v>0</v>
      </c>
      <c r="G100" s="986"/>
      <c r="H100" s="987"/>
      <c r="I100" s="988"/>
      <c r="K100" s="4">
        <f t="shared" si="23"/>
        <v>0</v>
      </c>
    </row>
    <row r="101" spans="1:11" s="3" customFormat="1" ht="12.75" thickBot="1">
      <c r="A101" s="1206" t="s">
        <v>43</v>
      </c>
      <c r="B101" s="1230" t="s">
        <v>305</v>
      </c>
      <c r="C101" s="1215">
        <f>+C71+C86</f>
        <v>364861</v>
      </c>
      <c r="D101" s="28">
        <f>+D71+D86</f>
        <v>389133</v>
      </c>
      <c r="E101" s="28">
        <f>+E71+E86</f>
        <v>33</v>
      </c>
      <c r="F101" s="29">
        <f t="shared" ref="F101" si="32">+F71+F86</f>
        <v>389166</v>
      </c>
      <c r="G101" s="110">
        <f>+G71+G86</f>
        <v>381069</v>
      </c>
      <c r="H101" s="111">
        <f>+H71+H86</f>
        <v>8097</v>
      </c>
      <c r="I101" s="112">
        <f>+I71+I86</f>
        <v>0</v>
      </c>
      <c r="K101" s="3">
        <f t="shared" si="23"/>
        <v>0</v>
      </c>
    </row>
    <row r="102" spans="1:11" s="3" customFormat="1" ht="12.75" thickBot="1">
      <c r="A102" s="1232" t="s">
        <v>40</v>
      </c>
      <c r="B102" s="1233" t="s">
        <v>306</v>
      </c>
      <c r="C102" s="1234">
        <f>+C70+C101</f>
        <v>406320</v>
      </c>
      <c r="D102" s="25">
        <f>+D70+D101</f>
        <v>430592</v>
      </c>
      <c r="E102" s="25">
        <f>+E70+E101</f>
        <v>33</v>
      </c>
      <c r="F102" s="26">
        <f t="shared" ref="F102" si="33">+F70+F101</f>
        <v>430625</v>
      </c>
      <c r="G102" s="1235">
        <f>+G70+G101</f>
        <v>390377</v>
      </c>
      <c r="H102" s="1236">
        <f>+H70+H101</f>
        <v>40248</v>
      </c>
      <c r="I102" s="1194">
        <f>+I70+I101</f>
        <v>0</v>
      </c>
      <c r="K102" s="3">
        <f t="shared" si="23"/>
        <v>0</v>
      </c>
    </row>
    <row r="103" spans="1:11" s="3" customFormat="1">
      <c r="A103" s="1237"/>
      <c r="B103" s="1195"/>
      <c r="C103" s="30"/>
      <c r="D103" s="30"/>
      <c r="E103" s="30"/>
      <c r="F103" s="30"/>
      <c r="G103" s="1195"/>
      <c r="H103" s="1195"/>
      <c r="I103" s="1195"/>
    </row>
    <row r="104" spans="1:11" s="3" customFormat="1">
      <c r="A104" s="1237"/>
      <c r="B104" s="1195"/>
      <c r="C104" s="30"/>
      <c r="D104" s="30"/>
      <c r="E104" s="30"/>
      <c r="F104" s="30"/>
      <c r="G104" s="1195"/>
      <c r="H104" s="1195"/>
      <c r="I104" s="1195"/>
    </row>
    <row r="105" spans="1:11" s="52" customFormat="1" ht="15.75">
      <c r="A105" s="1453" t="s">
        <v>80</v>
      </c>
      <c r="B105" s="1453"/>
      <c r="C105" s="1453"/>
      <c r="D105" s="1453"/>
      <c r="E105" s="1453"/>
      <c r="F105" s="1453"/>
      <c r="G105" s="1453"/>
      <c r="H105" s="1453"/>
      <c r="I105" s="1453"/>
    </row>
    <row r="106" spans="1:11" s="36" customFormat="1" ht="12.75" thickBot="1">
      <c r="A106" s="1199" t="s">
        <v>278</v>
      </c>
      <c r="B106" s="1191"/>
      <c r="G106" s="1191"/>
      <c r="H106" s="1191"/>
      <c r="I106" s="1200" t="s">
        <v>280</v>
      </c>
    </row>
    <row r="107" spans="1:11" s="3" customFormat="1" ht="48.75" thickBot="1">
      <c r="A107" s="1201" t="s">
        <v>17</v>
      </c>
      <c r="B107" s="1238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1203" t="s">
        <v>51</v>
      </c>
      <c r="H107" s="1204" t="s">
        <v>52</v>
      </c>
      <c r="I107" s="1205" t="s">
        <v>53</v>
      </c>
    </row>
    <row r="108" spans="1:11" s="3" customFormat="1" ht="12.75" thickBot="1">
      <c r="A108" s="1239" t="s">
        <v>252</v>
      </c>
      <c r="B108" s="1240" t="s">
        <v>253</v>
      </c>
      <c r="C108" s="1454" t="s">
        <v>254</v>
      </c>
      <c r="D108" s="1455"/>
      <c r="E108" s="1455"/>
      <c r="F108" s="1455" t="s">
        <v>254</v>
      </c>
      <c r="G108" s="1455"/>
      <c r="H108" s="1455"/>
      <c r="I108" s="1456"/>
    </row>
    <row r="109" spans="1:11" s="3" customFormat="1" ht="12.75" thickBot="1">
      <c r="A109" s="1206" t="s">
        <v>4</v>
      </c>
      <c r="B109" s="1230" t="s">
        <v>307</v>
      </c>
      <c r="C109" s="1215">
        <f>+C110+C114+C116+C123+C132</f>
        <v>402320</v>
      </c>
      <c r="D109" s="28">
        <f>+D110+D114+D116+D123+D132</f>
        <v>426592</v>
      </c>
      <c r="E109" s="28">
        <f>+E110+E114+E116+E123+E132</f>
        <v>33</v>
      </c>
      <c r="F109" s="29">
        <f t="shared" ref="F109" si="34">+F110+F114+F116+F123+F132</f>
        <v>426625</v>
      </c>
      <c r="G109" s="110">
        <f>+G110+G114+G116+G123+G132</f>
        <v>386377</v>
      </c>
      <c r="H109" s="111">
        <f>+H110+H114+H116+H123+H132</f>
        <v>40248</v>
      </c>
      <c r="I109" s="112">
        <f>+I110+I114+I116+I123+I132</f>
        <v>0</v>
      </c>
      <c r="K109" s="3">
        <f t="shared" si="23"/>
        <v>0</v>
      </c>
    </row>
    <row r="110" spans="1:11" s="3" customFormat="1" ht="12.75" thickBot="1">
      <c r="A110" s="1206" t="s">
        <v>5</v>
      </c>
      <c r="B110" s="1214" t="s">
        <v>308</v>
      </c>
      <c r="C110" s="1215">
        <f>+C112+C113</f>
        <v>288403</v>
      </c>
      <c r="D110" s="28">
        <f>+D112+D113</f>
        <v>289799</v>
      </c>
      <c r="E110" s="28">
        <f>+E112+E113</f>
        <v>29</v>
      </c>
      <c r="F110" s="29">
        <f t="shared" ref="F110" si="35">+F112+F113</f>
        <v>289828</v>
      </c>
      <c r="G110" s="110">
        <f>+G112+G113</f>
        <v>275196</v>
      </c>
      <c r="H110" s="111">
        <f>+H112+H113</f>
        <v>14632</v>
      </c>
      <c r="I110" s="112">
        <f>+I112+I113</f>
        <v>0</v>
      </c>
      <c r="K110" s="3">
        <f t="shared" si="23"/>
        <v>0</v>
      </c>
    </row>
    <row r="111" spans="1:11" s="36" customFormat="1">
      <c r="A111" s="1241" t="s">
        <v>348</v>
      </c>
      <c r="B111" s="1242" t="s">
        <v>349</v>
      </c>
      <c r="C111" s="1243"/>
      <c r="D111" s="97"/>
      <c r="E111" s="97"/>
      <c r="F111" s="98">
        <f t="shared" ref="F111:F115" si="36">+D111+E111</f>
        <v>0</v>
      </c>
      <c r="G111" s="1244"/>
      <c r="H111" s="1245"/>
      <c r="I111" s="1043"/>
      <c r="K111" s="36">
        <f t="shared" si="23"/>
        <v>0</v>
      </c>
    </row>
    <row r="112" spans="1:11">
      <c r="A112" s="1216" t="s">
        <v>54</v>
      </c>
      <c r="B112" s="113" t="s">
        <v>126</v>
      </c>
      <c r="C112" s="1217">
        <v>286863</v>
      </c>
      <c r="D112" s="10">
        <f>286863+(1318+49)+29</f>
        <v>288259</v>
      </c>
      <c r="E112" s="10">
        <v>29</v>
      </c>
      <c r="F112" s="35">
        <f t="shared" si="36"/>
        <v>288288</v>
      </c>
      <c r="G112" s="114">
        <f>272231+1367+29+29</f>
        <v>273656</v>
      </c>
      <c r="H112" s="115">
        <v>14632</v>
      </c>
      <c r="I112" s="116"/>
      <c r="K112" s="4">
        <f t="shared" si="23"/>
        <v>0</v>
      </c>
    </row>
    <row r="113" spans="1:11" ht="12.75" thickBot="1">
      <c r="A113" s="1223" t="s">
        <v>55</v>
      </c>
      <c r="B113" s="1224" t="s">
        <v>127</v>
      </c>
      <c r="C113" s="474">
        <v>1540</v>
      </c>
      <c r="D113" s="22">
        <v>1540</v>
      </c>
      <c r="E113" s="22"/>
      <c r="F113" s="23">
        <f t="shared" si="36"/>
        <v>1540</v>
      </c>
      <c r="G113" s="986">
        <v>1540</v>
      </c>
      <c r="H113" s="987"/>
      <c r="I113" s="988"/>
      <c r="K113" s="4">
        <f t="shared" si="23"/>
        <v>0</v>
      </c>
    </row>
    <row r="114" spans="1:11" s="3" customFormat="1" ht="12.75" thickBot="1">
      <c r="A114" s="1206" t="s">
        <v>6</v>
      </c>
      <c r="B114" s="1214" t="s">
        <v>255</v>
      </c>
      <c r="C114" s="1215">
        <v>53891</v>
      </c>
      <c r="D114" s="28">
        <f>53891+(231+9)+5</f>
        <v>54136</v>
      </c>
      <c r="E114" s="28">
        <v>4</v>
      </c>
      <c r="F114" s="29">
        <f t="shared" si="36"/>
        <v>54140</v>
      </c>
      <c r="G114" s="110">
        <f>51384+240+5+4</f>
        <v>51633</v>
      </c>
      <c r="H114" s="111">
        <v>2507</v>
      </c>
      <c r="I114" s="112"/>
      <c r="K114" s="3">
        <f t="shared" si="23"/>
        <v>0</v>
      </c>
    </row>
    <row r="115" spans="1:11" s="36" customFormat="1" ht="12.75" thickBot="1">
      <c r="A115" s="1241" t="s">
        <v>345</v>
      </c>
      <c r="B115" s="1242" t="s">
        <v>346</v>
      </c>
      <c r="C115" s="1243"/>
      <c r="D115" s="97"/>
      <c r="E115" s="97"/>
      <c r="F115" s="98">
        <f t="shared" si="36"/>
        <v>0</v>
      </c>
      <c r="G115" s="1244"/>
      <c r="H115" s="1245"/>
      <c r="I115" s="1043"/>
      <c r="K115" s="36">
        <f t="shared" si="23"/>
        <v>0</v>
      </c>
    </row>
    <row r="116" spans="1:11" s="3" customFormat="1" ht="12.75" thickBot="1">
      <c r="A116" s="1206" t="s">
        <v>3</v>
      </c>
      <c r="B116" s="1214" t="s">
        <v>342</v>
      </c>
      <c r="C116" s="1215">
        <f>+C118+C119+C120+C121+C122</f>
        <v>60026</v>
      </c>
      <c r="D116" s="28">
        <f>+D118+D119+D120+D121+D122</f>
        <v>60026</v>
      </c>
      <c r="E116" s="28">
        <f>+E118+E119+E120+E121+E122</f>
        <v>0</v>
      </c>
      <c r="F116" s="29">
        <f t="shared" ref="F116" si="37">+F118+F119+F120+F121+F122</f>
        <v>60026</v>
      </c>
      <c r="G116" s="110">
        <f>+G118+G119+G120+G121+G122</f>
        <v>36917</v>
      </c>
      <c r="H116" s="111">
        <f>+H118+H119+H120+H121+H122</f>
        <v>23109</v>
      </c>
      <c r="I116" s="112">
        <f>+I118+I119+I120+I121+I122</f>
        <v>0</v>
      </c>
      <c r="K116" s="3">
        <f t="shared" si="23"/>
        <v>0</v>
      </c>
    </row>
    <row r="117" spans="1:11" s="36" customFormat="1" ht="13.5" customHeight="1">
      <c r="A117" s="1241" t="s">
        <v>340</v>
      </c>
      <c r="B117" s="1242" t="s">
        <v>347</v>
      </c>
      <c r="C117" s="1243"/>
      <c r="D117" s="97"/>
      <c r="E117" s="97"/>
      <c r="F117" s="98">
        <f t="shared" ref="F117:F122" si="38">+D117+E117</f>
        <v>0</v>
      </c>
      <c r="G117" s="1244"/>
      <c r="H117" s="1245"/>
      <c r="I117" s="1043"/>
      <c r="K117" s="36">
        <f t="shared" si="23"/>
        <v>0</v>
      </c>
    </row>
    <row r="118" spans="1:11">
      <c r="A118" s="1216" t="s">
        <v>61</v>
      </c>
      <c r="B118" s="113" t="s">
        <v>128</v>
      </c>
      <c r="C118" s="1246">
        <v>17529</v>
      </c>
      <c r="D118" s="114">
        <v>17529</v>
      </c>
      <c r="E118" s="10"/>
      <c r="F118" s="35">
        <f t="shared" si="38"/>
        <v>17529</v>
      </c>
      <c r="G118" s="114">
        <v>5115</v>
      </c>
      <c r="H118" s="115">
        <v>12414</v>
      </c>
      <c r="I118" s="116"/>
      <c r="K118" s="4">
        <f t="shared" si="23"/>
        <v>0</v>
      </c>
    </row>
    <row r="119" spans="1:11">
      <c r="A119" s="1221" t="s">
        <v>62</v>
      </c>
      <c r="B119" s="1222" t="s">
        <v>129</v>
      </c>
      <c r="C119" s="1247">
        <v>5682</v>
      </c>
      <c r="D119" s="983">
        <v>5682</v>
      </c>
      <c r="E119" s="11"/>
      <c r="F119" s="16">
        <f t="shared" si="38"/>
        <v>5682</v>
      </c>
      <c r="G119" s="983">
        <v>5670</v>
      </c>
      <c r="H119" s="984">
        <v>12</v>
      </c>
      <c r="I119" s="985"/>
      <c r="K119" s="4">
        <f t="shared" si="23"/>
        <v>0</v>
      </c>
    </row>
    <row r="120" spans="1:11">
      <c r="A120" s="1221" t="s">
        <v>63</v>
      </c>
      <c r="B120" s="1222" t="s">
        <v>130</v>
      </c>
      <c r="C120" s="1247">
        <v>21288</v>
      </c>
      <c r="D120" s="983">
        <v>21288</v>
      </c>
      <c r="E120" s="11"/>
      <c r="F120" s="16">
        <f t="shared" si="38"/>
        <v>21288</v>
      </c>
      <c r="G120" s="983">
        <v>17511</v>
      </c>
      <c r="H120" s="984">
        <v>3777</v>
      </c>
      <c r="I120" s="985"/>
      <c r="K120" s="4">
        <f t="shared" si="23"/>
        <v>0</v>
      </c>
    </row>
    <row r="121" spans="1:11">
      <c r="A121" s="1221" t="s">
        <v>64</v>
      </c>
      <c r="B121" s="1222" t="s">
        <v>131</v>
      </c>
      <c r="C121" s="1247">
        <v>200</v>
      </c>
      <c r="D121" s="983">
        <v>200</v>
      </c>
      <c r="E121" s="11"/>
      <c r="F121" s="16">
        <f t="shared" si="38"/>
        <v>200</v>
      </c>
      <c r="G121" s="983">
        <v>200</v>
      </c>
      <c r="H121" s="984"/>
      <c r="I121" s="985"/>
      <c r="K121" s="4">
        <f t="shared" si="23"/>
        <v>0</v>
      </c>
    </row>
    <row r="122" spans="1:11" ht="12.75" thickBot="1">
      <c r="A122" s="1223" t="s">
        <v>65</v>
      </c>
      <c r="B122" s="1224" t="s">
        <v>132</v>
      </c>
      <c r="C122" s="1248">
        <v>15327</v>
      </c>
      <c r="D122" s="1249">
        <v>15327</v>
      </c>
      <c r="E122" s="17"/>
      <c r="F122" s="39">
        <f t="shared" si="38"/>
        <v>15327</v>
      </c>
      <c r="G122" s="986">
        <v>8421</v>
      </c>
      <c r="H122" s="987">
        <v>6906</v>
      </c>
      <c r="I122" s="988"/>
      <c r="K122" s="4">
        <f t="shared" si="23"/>
        <v>0</v>
      </c>
    </row>
    <row r="123" spans="1:11" s="3" customFormat="1" ht="12.75" thickBot="1">
      <c r="A123" s="1206" t="s">
        <v>16</v>
      </c>
      <c r="B123" s="1214" t="s">
        <v>309</v>
      </c>
      <c r="C123" s="1215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23"/>
        <v>0</v>
      </c>
    </row>
    <row r="124" spans="1:11">
      <c r="A124" s="1216" t="s">
        <v>226</v>
      </c>
      <c r="B124" s="113" t="s">
        <v>133</v>
      </c>
      <c r="C124" s="1217"/>
      <c r="D124" s="10"/>
      <c r="E124" s="10"/>
      <c r="F124" s="35">
        <f t="shared" ref="F124:F131" si="40">+D124+E124</f>
        <v>0</v>
      </c>
      <c r="G124" s="114"/>
      <c r="H124" s="115"/>
      <c r="I124" s="116"/>
      <c r="K124" s="4">
        <f t="shared" si="23"/>
        <v>0</v>
      </c>
    </row>
    <row r="125" spans="1:11">
      <c r="A125" s="1221" t="s">
        <v>227</v>
      </c>
      <c r="B125" s="1222" t="s">
        <v>134</v>
      </c>
      <c r="C125" s="475"/>
      <c r="D125" s="11"/>
      <c r="E125" s="11"/>
      <c r="F125" s="16">
        <f t="shared" si="40"/>
        <v>0</v>
      </c>
      <c r="G125" s="983"/>
      <c r="H125" s="984"/>
      <c r="I125" s="985"/>
      <c r="K125" s="4">
        <f t="shared" si="23"/>
        <v>0</v>
      </c>
    </row>
    <row r="126" spans="1:11">
      <c r="A126" s="1221" t="s">
        <v>228</v>
      </c>
      <c r="B126" s="1222" t="s">
        <v>135</v>
      </c>
      <c r="C126" s="475"/>
      <c r="D126" s="11"/>
      <c r="E126" s="11"/>
      <c r="F126" s="16">
        <f t="shared" si="40"/>
        <v>0</v>
      </c>
      <c r="G126" s="983"/>
      <c r="H126" s="984"/>
      <c r="I126" s="985"/>
      <c r="K126" s="4">
        <f t="shared" si="23"/>
        <v>0</v>
      </c>
    </row>
    <row r="127" spans="1:11">
      <c r="A127" s="1221" t="s">
        <v>256</v>
      </c>
      <c r="B127" s="1222" t="s">
        <v>136</v>
      </c>
      <c r="C127" s="475"/>
      <c r="D127" s="11"/>
      <c r="E127" s="11"/>
      <c r="F127" s="16">
        <f t="shared" si="40"/>
        <v>0</v>
      </c>
      <c r="G127" s="983"/>
      <c r="H127" s="984"/>
      <c r="I127" s="985"/>
      <c r="K127" s="4">
        <f t="shared" si="23"/>
        <v>0</v>
      </c>
    </row>
    <row r="128" spans="1:11">
      <c r="A128" s="1221" t="s">
        <v>257</v>
      </c>
      <c r="B128" s="1222" t="s">
        <v>137</v>
      </c>
      <c r="C128" s="475"/>
      <c r="D128" s="11"/>
      <c r="E128" s="11"/>
      <c r="F128" s="16">
        <f t="shared" si="40"/>
        <v>0</v>
      </c>
      <c r="G128" s="983"/>
      <c r="H128" s="984"/>
      <c r="I128" s="985"/>
      <c r="K128" s="4">
        <f t="shared" si="23"/>
        <v>0</v>
      </c>
    </row>
    <row r="129" spans="1:11">
      <c r="A129" s="1221" t="s">
        <v>258</v>
      </c>
      <c r="B129" s="1222" t="s">
        <v>138</v>
      </c>
      <c r="C129" s="475"/>
      <c r="D129" s="11"/>
      <c r="E129" s="11"/>
      <c r="F129" s="16">
        <f t="shared" si="40"/>
        <v>0</v>
      </c>
      <c r="G129" s="983"/>
      <c r="H129" s="984"/>
      <c r="I129" s="985"/>
      <c r="K129" s="4">
        <f t="shared" si="23"/>
        <v>0</v>
      </c>
    </row>
    <row r="130" spans="1:11">
      <c r="A130" s="1221" t="s">
        <v>259</v>
      </c>
      <c r="B130" s="1222" t="s">
        <v>139</v>
      </c>
      <c r="C130" s="475"/>
      <c r="D130" s="11"/>
      <c r="E130" s="11"/>
      <c r="F130" s="16">
        <f t="shared" si="40"/>
        <v>0</v>
      </c>
      <c r="G130" s="983"/>
      <c r="H130" s="984"/>
      <c r="I130" s="985"/>
      <c r="K130" s="4">
        <f t="shared" si="23"/>
        <v>0</v>
      </c>
    </row>
    <row r="131" spans="1:11" ht="12.75" thickBot="1">
      <c r="A131" s="1223" t="s">
        <v>260</v>
      </c>
      <c r="B131" s="1224" t="s">
        <v>140</v>
      </c>
      <c r="C131" s="474"/>
      <c r="D131" s="22"/>
      <c r="E131" s="22"/>
      <c r="F131" s="23">
        <f t="shared" si="40"/>
        <v>0</v>
      </c>
      <c r="G131" s="986"/>
      <c r="H131" s="987"/>
      <c r="I131" s="988"/>
      <c r="K131" s="4">
        <f t="shared" si="23"/>
        <v>0</v>
      </c>
    </row>
    <row r="132" spans="1:11" s="3" customFormat="1" ht="12.75" thickBot="1">
      <c r="A132" s="1206" t="s">
        <v>15</v>
      </c>
      <c r="B132" s="1214" t="s">
        <v>923</v>
      </c>
      <c r="C132" s="1215">
        <f>+C133+C134+C135+C136+C137+C138+C140+C141+C142+C143+C144+C145+C146</f>
        <v>0</v>
      </c>
      <c r="D132" s="28">
        <f>+D133+D134+D135+D136+D137+D138+D140+D141+D142+D143+D144+D145+D146</f>
        <v>22631</v>
      </c>
      <c r="E132" s="28">
        <f>+E133+E134+E135+E136+E137+E138+E140+E141+E142+E143+E144+E145+E146</f>
        <v>0</v>
      </c>
      <c r="F132" s="29">
        <f t="shared" ref="F132" si="41">+F133+F134+F135+F136+F137+F138+F140+F141+F142+F143+F144+F145+F146</f>
        <v>22631</v>
      </c>
      <c r="G132" s="110">
        <f>+G133+G134+G135+G136+G137+G138+G140+G141+G142+G143+G144+G145+G146</f>
        <v>22631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23"/>
        <v>0</v>
      </c>
    </row>
    <row r="133" spans="1:11">
      <c r="A133" s="1216" t="s">
        <v>87</v>
      </c>
      <c r="B133" s="113" t="s">
        <v>141</v>
      </c>
      <c r="C133" s="1217"/>
      <c r="D133" s="10"/>
      <c r="E133" s="10"/>
      <c r="F133" s="35">
        <f t="shared" ref="F133:F145" si="42">+D133+E133</f>
        <v>0</v>
      </c>
      <c r="G133" s="114"/>
      <c r="H133" s="115"/>
      <c r="I133" s="116"/>
      <c r="K133" s="4">
        <f t="shared" si="23"/>
        <v>0</v>
      </c>
    </row>
    <row r="134" spans="1:11">
      <c r="A134" s="1221" t="s">
        <v>88</v>
      </c>
      <c r="B134" s="1222" t="s">
        <v>142</v>
      </c>
      <c r="C134" s="475"/>
      <c r="D134" s="11">
        <f>0+22631</f>
        <v>22631</v>
      </c>
      <c r="E134" s="11"/>
      <c r="F134" s="16">
        <f t="shared" si="42"/>
        <v>22631</v>
      </c>
      <c r="G134" s="983">
        <v>22631</v>
      </c>
      <c r="H134" s="984"/>
      <c r="I134" s="985"/>
      <c r="K134" s="4">
        <f t="shared" si="23"/>
        <v>0</v>
      </c>
    </row>
    <row r="135" spans="1:11">
      <c r="A135" s="1221" t="s">
        <v>181</v>
      </c>
      <c r="B135" s="1222" t="s">
        <v>143</v>
      </c>
      <c r="C135" s="475"/>
      <c r="D135" s="11"/>
      <c r="E135" s="11"/>
      <c r="F135" s="16">
        <f t="shared" si="42"/>
        <v>0</v>
      </c>
      <c r="G135" s="983"/>
      <c r="H135" s="984"/>
      <c r="I135" s="985"/>
      <c r="K135" s="4">
        <f t="shared" si="23"/>
        <v>0</v>
      </c>
    </row>
    <row r="136" spans="1:11">
      <c r="A136" s="1221" t="s">
        <v>182</v>
      </c>
      <c r="B136" s="1222" t="s">
        <v>144</v>
      </c>
      <c r="C136" s="475"/>
      <c r="D136" s="11"/>
      <c r="E136" s="11"/>
      <c r="F136" s="16">
        <f t="shared" si="42"/>
        <v>0</v>
      </c>
      <c r="G136" s="983"/>
      <c r="H136" s="984"/>
      <c r="I136" s="985"/>
      <c r="K136" s="4">
        <f t="shared" si="23"/>
        <v>0</v>
      </c>
    </row>
    <row r="137" spans="1:11">
      <c r="A137" s="1221" t="s">
        <v>183</v>
      </c>
      <c r="B137" s="1222" t="s">
        <v>145</v>
      </c>
      <c r="C137" s="475"/>
      <c r="D137" s="11"/>
      <c r="E137" s="11"/>
      <c r="F137" s="16">
        <f t="shared" si="42"/>
        <v>0</v>
      </c>
      <c r="G137" s="983"/>
      <c r="H137" s="984"/>
      <c r="I137" s="985"/>
      <c r="K137" s="4">
        <f t="shared" si="23"/>
        <v>0</v>
      </c>
    </row>
    <row r="138" spans="1:11">
      <c r="A138" s="1221" t="s">
        <v>261</v>
      </c>
      <c r="B138" s="1222" t="s">
        <v>146</v>
      </c>
      <c r="C138" s="475"/>
      <c r="D138" s="11"/>
      <c r="E138" s="11"/>
      <c r="F138" s="16">
        <f t="shared" si="42"/>
        <v>0</v>
      </c>
      <c r="G138" s="983"/>
      <c r="H138" s="984"/>
      <c r="I138" s="985"/>
      <c r="K138" s="4">
        <f t="shared" si="23"/>
        <v>0</v>
      </c>
    </row>
    <row r="139" spans="1:11" s="13" customFormat="1">
      <c r="A139" s="1225" t="s">
        <v>335</v>
      </c>
      <c r="B139" s="1226" t="s">
        <v>929</v>
      </c>
      <c r="C139" s="1227"/>
      <c r="D139" s="43"/>
      <c r="E139" s="43"/>
      <c r="F139" s="44">
        <f t="shared" si="42"/>
        <v>0</v>
      </c>
      <c r="G139" s="1228"/>
      <c r="H139" s="1229"/>
      <c r="I139" s="1039"/>
      <c r="K139" s="13">
        <f t="shared" ref="K139:K202" si="43">+F139-G139-H139-I139</f>
        <v>0</v>
      </c>
    </row>
    <row r="140" spans="1:11">
      <c r="A140" s="1221" t="s">
        <v>262</v>
      </c>
      <c r="B140" s="1222" t="s">
        <v>147</v>
      </c>
      <c r="C140" s="475"/>
      <c r="D140" s="11"/>
      <c r="E140" s="11"/>
      <c r="F140" s="16">
        <f t="shared" si="42"/>
        <v>0</v>
      </c>
      <c r="G140" s="983"/>
      <c r="H140" s="984"/>
      <c r="I140" s="985"/>
      <c r="K140" s="4">
        <f t="shared" si="43"/>
        <v>0</v>
      </c>
    </row>
    <row r="141" spans="1:11">
      <c r="A141" s="1221" t="s">
        <v>263</v>
      </c>
      <c r="B141" s="1222" t="s">
        <v>148</v>
      </c>
      <c r="C141" s="475"/>
      <c r="D141" s="11"/>
      <c r="E141" s="11"/>
      <c r="F141" s="16">
        <f t="shared" si="42"/>
        <v>0</v>
      </c>
      <c r="G141" s="983"/>
      <c r="H141" s="984"/>
      <c r="I141" s="985"/>
      <c r="K141" s="4">
        <f t="shared" si="43"/>
        <v>0</v>
      </c>
    </row>
    <row r="142" spans="1:11">
      <c r="A142" s="1221" t="s">
        <v>264</v>
      </c>
      <c r="B142" s="1222" t="s">
        <v>149</v>
      </c>
      <c r="C142" s="475"/>
      <c r="D142" s="11"/>
      <c r="E142" s="11"/>
      <c r="F142" s="16">
        <f t="shared" si="42"/>
        <v>0</v>
      </c>
      <c r="G142" s="983"/>
      <c r="H142" s="984"/>
      <c r="I142" s="985"/>
      <c r="K142" s="4">
        <f t="shared" si="43"/>
        <v>0</v>
      </c>
    </row>
    <row r="143" spans="1:11">
      <c r="A143" s="1221" t="s">
        <v>265</v>
      </c>
      <c r="B143" s="1222" t="s">
        <v>150</v>
      </c>
      <c r="C143" s="475"/>
      <c r="D143" s="11"/>
      <c r="E143" s="11"/>
      <c r="F143" s="16">
        <f t="shared" si="42"/>
        <v>0</v>
      </c>
      <c r="G143" s="983"/>
      <c r="H143" s="984"/>
      <c r="I143" s="985"/>
      <c r="K143" s="4">
        <f t="shared" si="43"/>
        <v>0</v>
      </c>
    </row>
    <row r="144" spans="1:11">
      <c r="A144" s="1221" t="s">
        <v>266</v>
      </c>
      <c r="B144" s="1222" t="s">
        <v>924</v>
      </c>
      <c r="C144" s="475"/>
      <c r="D144" s="11"/>
      <c r="E144" s="11"/>
      <c r="F144" s="16">
        <f t="shared" si="42"/>
        <v>0</v>
      </c>
      <c r="G144" s="983"/>
      <c r="H144" s="984"/>
      <c r="I144" s="985"/>
      <c r="K144" s="4">
        <f t="shared" si="43"/>
        <v>0</v>
      </c>
    </row>
    <row r="145" spans="1:11">
      <c r="A145" s="1221" t="s">
        <v>267</v>
      </c>
      <c r="B145" s="1222" t="s">
        <v>925</v>
      </c>
      <c r="C145" s="475"/>
      <c r="D145" s="11"/>
      <c r="E145" s="11"/>
      <c r="F145" s="16">
        <f t="shared" si="42"/>
        <v>0</v>
      </c>
      <c r="G145" s="983"/>
      <c r="H145" s="984"/>
      <c r="I145" s="985"/>
      <c r="K145" s="4">
        <f t="shared" si="43"/>
        <v>0</v>
      </c>
    </row>
    <row r="146" spans="1:11">
      <c r="A146" s="1223" t="s">
        <v>920</v>
      </c>
      <c r="B146" s="1224" t="s">
        <v>926</v>
      </c>
      <c r="C146" s="474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86">
        <f>+G147+G148</f>
        <v>0</v>
      </c>
      <c r="H146" s="987">
        <f>+H147+H148</f>
        <v>0</v>
      </c>
      <c r="I146" s="988">
        <f>+I147+I148</f>
        <v>0</v>
      </c>
      <c r="K146" s="4">
        <f t="shared" si="43"/>
        <v>0</v>
      </c>
    </row>
    <row r="147" spans="1:11" s="13" customFormat="1">
      <c r="A147" s="1225" t="s">
        <v>921</v>
      </c>
      <c r="B147" s="1250" t="s">
        <v>927</v>
      </c>
      <c r="C147" s="1227"/>
      <c r="D147" s="43"/>
      <c r="E147" s="43"/>
      <c r="F147" s="44">
        <f t="shared" ref="F147:F148" si="45">+D147+E147</f>
        <v>0</v>
      </c>
      <c r="G147" s="1228"/>
      <c r="H147" s="1229"/>
      <c r="I147" s="1039"/>
      <c r="K147" s="13">
        <f t="shared" si="43"/>
        <v>0</v>
      </c>
    </row>
    <row r="148" spans="1:11" s="13" customFormat="1" ht="12.75" thickBot="1">
      <c r="A148" s="1225" t="s">
        <v>922</v>
      </c>
      <c r="B148" s="1250" t="s">
        <v>928</v>
      </c>
      <c r="C148" s="1227"/>
      <c r="D148" s="43"/>
      <c r="E148" s="43"/>
      <c r="F148" s="44">
        <f t="shared" si="45"/>
        <v>0</v>
      </c>
      <c r="G148" s="1228"/>
      <c r="H148" s="1229"/>
      <c r="I148" s="1039"/>
      <c r="K148" s="13">
        <f t="shared" si="43"/>
        <v>0</v>
      </c>
    </row>
    <row r="149" spans="1:11" s="3" customFormat="1" ht="12.75" thickBot="1">
      <c r="A149" s="1206" t="s">
        <v>14</v>
      </c>
      <c r="B149" s="1230" t="s">
        <v>310</v>
      </c>
      <c r="C149" s="1215">
        <f>+C150+C159+C165</f>
        <v>4000</v>
      </c>
      <c r="D149" s="28">
        <f>+D150+D159+D165</f>
        <v>4000</v>
      </c>
      <c r="E149" s="28">
        <f>+E150+E159+E165</f>
        <v>0</v>
      </c>
      <c r="F149" s="29">
        <f t="shared" ref="F149" si="46">+F150+F159+F165</f>
        <v>4000</v>
      </c>
      <c r="G149" s="110">
        <f>+G150+G159+G165</f>
        <v>4000</v>
      </c>
      <c r="H149" s="111">
        <f>+H150+H159+H165</f>
        <v>0</v>
      </c>
      <c r="I149" s="112">
        <f>+I150+I159+I165</f>
        <v>0</v>
      </c>
      <c r="K149" s="3">
        <f t="shared" si="43"/>
        <v>0</v>
      </c>
    </row>
    <row r="150" spans="1:11" s="3" customFormat="1" ht="12.75" thickBot="1">
      <c r="A150" s="1206" t="s">
        <v>13</v>
      </c>
      <c r="B150" s="1214" t="s">
        <v>311</v>
      </c>
      <c r="C150" s="1215">
        <f>+C152+C153+C154+C155+C156+C157+C158</f>
        <v>4000</v>
      </c>
      <c r="D150" s="28">
        <f>+D152+D153+D154+D155+D156+D157+D158</f>
        <v>4000</v>
      </c>
      <c r="E150" s="28">
        <f>+E152+E153+E154+E155+E156+E157+E158</f>
        <v>0</v>
      </c>
      <c r="F150" s="29">
        <f t="shared" ref="F150" si="47">+F152+F153+F154+F155+F156+F157+F158</f>
        <v>4000</v>
      </c>
      <c r="G150" s="110">
        <f>+G152+G153+G154+G155+G156+G157+G158</f>
        <v>4000</v>
      </c>
      <c r="H150" s="111">
        <f>+H152+H153+H154+H155+H156+H157+H158</f>
        <v>0</v>
      </c>
      <c r="I150" s="112">
        <f>+I152+I153+I154+I155+I156+I157+I158</f>
        <v>0</v>
      </c>
      <c r="K150" s="3">
        <f t="shared" si="43"/>
        <v>0</v>
      </c>
    </row>
    <row r="151" spans="1:11" s="36" customFormat="1">
      <c r="A151" s="1241" t="s">
        <v>930</v>
      </c>
      <c r="B151" s="1242" t="s">
        <v>341</v>
      </c>
      <c r="C151" s="1243"/>
      <c r="D151" s="97"/>
      <c r="E151" s="97"/>
      <c r="F151" s="98">
        <f t="shared" ref="F151:F158" si="48">+D151+E151</f>
        <v>0</v>
      </c>
      <c r="G151" s="1244"/>
      <c r="H151" s="1245"/>
      <c r="I151" s="1043"/>
      <c r="K151" s="36">
        <f t="shared" si="43"/>
        <v>0</v>
      </c>
    </row>
    <row r="152" spans="1:11">
      <c r="A152" s="1216" t="s">
        <v>66</v>
      </c>
      <c r="B152" s="113" t="s">
        <v>151</v>
      </c>
      <c r="C152" s="1217"/>
      <c r="D152" s="10"/>
      <c r="E152" s="10"/>
      <c r="F152" s="35">
        <f t="shared" si="48"/>
        <v>0</v>
      </c>
      <c r="G152" s="114"/>
      <c r="H152" s="115"/>
      <c r="I152" s="116"/>
      <c r="K152" s="4">
        <f t="shared" si="43"/>
        <v>0</v>
      </c>
    </row>
    <row r="153" spans="1:11">
      <c r="A153" s="1221" t="s">
        <v>67</v>
      </c>
      <c r="B153" s="1222" t="s">
        <v>152</v>
      </c>
      <c r="C153" s="475"/>
      <c r="D153" s="11"/>
      <c r="E153" s="11"/>
      <c r="F153" s="16">
        <f t="shared" si="48"/>
        <v>0</v>
      </c>
      <c r="G153" s="983"/>
      <c r="H153" s="984"/>
      <c r="I153" s="985"/>
      <c r="K153" s="4">
        <f t="shared" si="43"/>
        <v>0</v>
      </c>
    </row>
    <row r="154" spans="1:11">
      <c r="A154" s="1221" t="s">
        <v>68</v>
      </c>
      <c r="B154" s="1222" t="s">
        <v>153</v>
      </c>
      <c r="C154" s="475">
        <v>3150</v>
      </c>
      <c r="D154" s="11">
        <v>3150</v>
      </c>
      <c r="E154" s="11"/>
      <c r="F154" s="16">
        <f t="shared" si="48"/>
        <v>3150</v>
      </c>
      <c r="G154" s="983">
        <v>3150</v>
      </c>
      <c r="H154" s="984"/>
      <c r="I154" s="985"/>
      <c r="K154" s="4">
        <f t="shared" si="43"/>
        <v>0</v>
      </c>
    </row>
    <row r="155" spans="1:11">
      <c r="A155" s="1221" t="s">
        <v>229</v>
      </c>
      <c r="B155" s="1222" t="s">
        <v>154</v>
      </c>
      <c r="C155" s="475"/>
      <c r="D155" s="11"/>
      <c r="E155" s="11"/>
      <c r="F155" s="16">
        <f t="shared" si="48"/>
        <v>0</v>
      </c>
      <c r="G155" s="983"/>
      <c r="H155" s="984"/>
      <c r="I155" s="985"/>
      <c r="K155" s="4">
        <f t="shared" si="43"/>
        <v>0</v>
      </c>
    </row>
    <row r="156" spans="1:11">
      <c r="A156" s="1221" t="s">
        <v>230</v>
      </c>
      <c r="B156" s="1222" t="s">
        <v>155</v>
      </c>
      <c r="C156" s="475"/>
      <c r="D156" s="11"/>
      <c r="E156" s="11"/>
      <c r="F156" s="16">
        <f t="shared" si="48"/>
        <v>0</v>
      </c>
      <c r="G156" s="983"/>
      <c r="H156" s="984"/>
      <c r="I156" s="985"/>
      <c r="K156" s="4">
        <f t="shared" si="43"/>
        <v>0</v>
      </c>
    </row>
    <row r="157" spans="1:11">
      <c r="A157" s="1221" t="s">
        <v>268</v>
      </c>
      <c r="B157" s="1222" t="s">
        <v>156</v>
      </c>
      <c r="C157" s="475"/>
      <c r="D157" s="11"/>
      <c r="E157" s="11"/>
      <c r="F157" s="16">
        <f t="shared" si="48"/>
        <v>0</v>
      </c>
      <c r="G157" s="983"/>
      <c r="H157" s="984"/>
      <c r="I157" s="985"/>
      <c r="K157" s="4">
        <f t="shared" si="43"/>
        <v>0</v>
      </c>
    </row>
    <row r="158" spans="1:11" ht="12.75" thickBot="1">
      <c r="A158" s="1223" t="s">
        <v>269</v>
      </c>
      <c r="B158" s="1224" t="s">
        <v>157</v>
      </c>
      <c r="C158" s="474">
        <v>850</v>
      </c>
      <c r="D158" s="22">
        <v>850</v>
      </c>
      <c r="E158" s="22"/>
      <c r="F158" s="23">
        <f t="shared" si="48"/>
        <v>850</v>
      </c>
      <c r="G158" s="986">
        <v>850</v>
      </c>
      <c r="H158" s="987"/>
      <c r="I158" s="988"/>
      <c r="K158" s="4">
        <f t="shared" si="43"/>
        <v>0</v>
      </c>
    </row>
    <row r="159" spans="1:11" s="3" customFormat="1" ht="12.75" thickBot="1">
      <c r="A159" s="1206" t="s">
        <v>12</v>
      </c>
      <c r="B159" s="1214" t="s">
        <v>312</v>
      </c>
      <c r="C159" s="1215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43"/>
        <v>0</v>
      </c>
    </row>
    <row r="160" spans="1:11" s="36" customFormat="1">
      <c r="A160" s="1241" t="s">
        <v>343</v>
      </c>
      <c r="B160" s="1242" t="s">
        <v>344</v>
      </c>
      <c r="C160" s="1243"/>
      <c r="D160" s="97"/>
      <c r="E160" s="97"/>
      <c r="F160" s="98">
        <f t="shared" ref="F160:F164" si="50">+D160+E160</f>
        <v>0</v>
      </c>
      <c r="G160" s="1244"/>
      <c r="H160" s="1245"/>
      <c r="I160" s="1043"/>
      <c r="K160" s="36">
        <f t="shared" si="43"/>
        <v>0</v>
      </c>
    </row>
    <row r="161" spans="1:11">
      <c r="A161" s="1216" t="s">
        <v>69</v>
      </c>
      <c r="B161" s="113" t="s">
        <v>158</v>
      </c>
      <c r="C161" s="1217"/>
      <c r="D161" s="10"/>
      <c r="E161" s="10"/>
      <c r="F161" s="35">
        <f t="shared" si="50"/>
        <v>0</v>
      </c>
      <c r="G161" s="114"/>
      <c r="H161" s="115"/>
      <c r="I161" s="116"/>
      <c r="K161" s="4">
        <f t="shared" si="43"/>
        <v>0</v>
      </c>
    </row>
    <row r="162" spans="1:11">
      <c r="A162" s="1221" t="s">
        <v>70</v>
      </c>
      <c r="B162" s="1222" t="s">
        <v>159</v>
      </c>
      <c r="C162" s="475"/>
      <c r="D162" s="11"/>
      <c r="E162" s="11"/>
      <c r="F162" s="16">
        <f t="shared" si="50"/>
        <v>0</v>
      </c>
      <c r="G162" s="983"/>
      <c r="H162" s="984"/>
      <c r="I162" s="985"/>
      <c r="K162" s="4">
        <f t="shared" si="43"/>
        <v>0</v>
      </c>
    </row>
    <row r="163" spans="1:11">
      <c r="A163" s="1221" t="s">
        <v>71</v>
      </c>
      <c r="B163" s="1222" t="s">
        <v>160</v>
      </c>
      <c r="C163" s="475"/>
      <c r="D163" s="11"/>
      <c r="E163" s="11"/>
      <c r="F163" s="16">
        <f t="shared" si="50"/>
        <v>0</v>
      </c>
      <c r="G163" s="983"/>
      <c r="H163" s="984"/>
      <c r="I163" s="985"/>
      <c r="K163" s="4">
        <f t="shared" si="43"/>
        <v>0</v>
      </c>
    </row>
    <row r="164" spans="1:11" ht="12.75" thickBot="1">
      <c r="A164" s="1223" t="s">
        <v>72</v>
      </c>
      <c r="B164" s="1224" t="s">
        <v>161</v>
      </c>
      <c r="C164" s="474"/>
      <c r="D164" s="22"/>
      <c r="E164" s="22"/>
      <c r="F164" s="23">
        <f t="shared" si="50"/>
        <v>0</v>
      </c>
      <c r="G164" s="986"/>
      <c r="H164" s="987"/>
      <c r="I164" s="988"/>
      <c r="K164" s="4">
        <f t="shared" si="43"/>
        <v>0</v>
      </c>
    </row>
    <row r="165" spans="1:11" s="3" customFormat="1" ht="12.75" thickBot="1">
      <c r="A165" s="1206" t="s">
        <v>11</v>
      </c>
      <c r="B165" s="1214" t="s">
        <v>932</v>
      </c>
      <c r="C165" s="1215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43"/>
        <v>0</v>
      </c>
    </row>
    <row r="166" spans="1:11">
      <c r="A166" s="1216" t="s">
        <v>270</v>
      </c>
      <c r="B166" s="113" t="s">
        <v>162</v>
      </c>
      <c r="C166" s="1217"/>
      <c r="D166" s="10"/>
      <c r="E166" s="10"/>
      <c r="F166" s="35">
        <f t="shared" ref="F166:F175" si="52">+D166+E166</f>
        <v>0</v>
      </c>
      <c r="G166" s="114"/>
      <c r="H166" s="115"/>
      <c r="I166" s="116"/>
      <c r="K166" s="4">
        <f t="shared" si="43"/>
        <v>0</v>
      </c>
    </row>
    <row r="167" spans="1:11">
      <c r="A167" s="1221" t="s">
        <v>271</v>
      </c>
      <c r="B167" s="1222" t="s">
        <v>163</v>
      </c>
      <c r="C167" s="475"/>
      <c r="D167" s="11"/>
      <c r="E167" s="11"/>
      <c r="F167" s="16">
        <f t="shared" si="52"/>
        <v>0</v>
      </c>
      <c r="G167" s="983"/>
      <c r="H167" s="984"/>
      <c r="I167" s="985"/>
      <c r="K167" s="4">
        <f t="shared" si="43"/>
        <v>0</v>
      </c>
    </row>
    <row r="168" spans="1:11">
      <c r="A168" s="1221" t="s">
        <v>272</v>
      </c>
      <c r="B168" s="1222" t="s">
        <v>164</v>
      </c>
      <c r="C168" s="475"/>
      <c r="D168" s="11"/>
      <c r="E168" s="11"/>
      <c r="F168" s="16">
        <f t="shared" si="52"/>
        <v>0</v>
      </c>
      <c r="G168" s="983"/>
      <c r="H168" s="984"/>
      <c r="I168" s="985"/>
      <c r="K168" s="4">
        <f t="shared" si="43"/>
        <v>0</v>
      </c>
    </row>
    <row r="169" spans="1:11">
      <c r="A169" s="1221" t="s">
        <v>273</v>
      </c>
      <c r="B169" s="1222" t="s">
        <v>165</v>
      </c>
      <c r="C169" s="475"/>
      <c r="D169" s="11"/>
      <c r="E169" s="11"/>
      <c r="F169" s="16">
        <f t="shared" si="52"/>
        <v>0</v>
      </c>
      <c r="G169" s="983"/>
      <c r="H169" s="984"/>
      <c r="I169" s="985"/>
      <c r="K169" s="4">
        <f t="shared" si="43"/>
        <v>0</v>
      </c>
    </row>
    <row r="170" spans="1:11" s="13" customFormat="1">
      <c r="A170" s="1225" t="s">
        <v>338</v>
      </c>
      <c r="B170" s="1226" t="s">
        <v>339</v>
      </c>
      <c r="C170" s="1227"/>
      <c r="D170" s="43"/>
      <c r="E170" s="43"/>
      <c r="F170" s="44">
        <f t="shared" si="52"/>
        <v>0</v>
      </c>
      <c r="G170" s="1228"/>
      <c r="H170" s="1229"/>
      <c r="I170" s="1039"/>
      <c r="K170" s="13">
        <f t="shared" si="43"/>
        <v>0</v>
      </c>
    </row>
    <row r="171" spans="1:11">
      <c r="A171" s="1221" t="s">
        <v>274</v>
      </c>
      <c r="B171" s="1222" t="s">
        <v>166</v>
      </c>
      <c r="C171" s="475"/>
      <c r="D171" s="11"/>
      <c r="E171" s="11"/>
      <c r="F171" s="16">
        <f t="shared" si="52"/>
        <v>0</v>
      </c>
      <c r="G171" s="983"/>
      <c r="H171" s="984"/>
      <c r="I171" s="985"/>
      <c r="K171" s="4">
        <f t="shared" si="43"/>
        <v>0</v>
      </c>
    </row>
    <row r="172" spans="1:11">
      <c r="A172" s="1221" t="s">
        <v>275</v>
      </c>
      <c r="B172" s="1222" t="s">
        <v>167</v>
      </c>
      <c r="C172" s="475"/>
      <c r="D172" s="11"/>
      <c r="E172" s="11"/>
      <c r="F172" s="16">
        <f t="shared" si="52"/>
        <v>0</v>
      </c>
      <c r="G172" s="983"/>
      <c r="H172" s="984"/>
      <c r="I172" s="985"/>
      <c r="K172" s="4">
        <f t="shared" si="43"/>
        <v>0</v>
      </c>
    </row>
    <row r="173" spans="1:11">
      <c r="A173" s="1221" t="s">
        <v>276</v>
      </c>
      <c r="B173" s="1222" t="s">
        <v>168</v>
      </c>
      <c r="C173" s="475"/>
      <c r="D173" s="11"/>
      <c r="E173" s="11"/>
      <c r="F173" s="16">
        <f t="shared" si="52"/>
        <v>0</v>
      </c>
      <c r="G173" s="983"/>
      <c r="H173" s="984"/>
      <c r="I173" s="985"/>
      <c r="K173" s="4">
        <f t="shared" si="43"/>
        <v>0</v>
      </c>
    </row>
    <row r="174" spans="1:11">
      <c r="A174" s="1221" t="s">
        <v>277</v>
      </c>
      <c r="B174" s="1222" t="s">
        <v>933</v>
      </c>
      <c r="C174" s="475"/>
      <c r="D174" s="11"/>
      <c r="E174" s="11"/>
      <c r="F174" s="16">
        <f t="shared" si="52"/>
        <v>0</v>
      </c>
      <c r="G174" s="983"/>
      <c r="H174" s="984"/>
      <c r="I174" s="985"/>
      <c r="K174" s="4">
        <f t="shared" si="43"/>
        <v>0</v>
      </c>
    </row>
    <row r="175" spans="1:11" ht="12.75" thickBot="1">
      <c r="A175" s="1223" t="s">
        <v>931</v>
      </c>
      <c r="B175" s="1224" t="s">
        <v>934</v>
      </c>
      <c r="C175" s="474"/>
      <c r="D175" s="22"/>
      <c r="E175" s="22"/>
      <c r="F175" s="23">
        <f t="shared" si="52"/>
        <v>0</v>
      </c>
      <c r="G175" s="986"/>
      <c r="H175" s="987"/>
      <c r="I175" s="988"/>
      <c r="K175" s="4">
        <f t="shared" si="43"/>
        <v>0</v>
      </c>
    </row>
    <row r="176" spans="1:11" s="3" customFormat="1" ht="12.75" thickBot="1">
      <c r="A176" s="1206" t="s">
        <v>10</v>
      </c>
      <c r="B176" s="1230" t="s">
        <v>313</v>
      </c>
      <c r="C176" s="1215">
        <f>+C109+C149</f>
        <v>406320</v>
      </c>
      <c r="D176" s="28">
        <f>+D109+D149</f>
        <v>430592</v>
      </c>
      <c r="E176" s="28">
        <f>+E109+E149</f>
        <v>33</v>
      </c>
      <c r="F176" s="29">
        <f t="shared" ref="F176" si="53">+F109+F149</f>
        <v>430625</v>
      </c>
      <c r="G176" s="110">
        <f>+G109+G149</f>
        <v>390377</v>
      </c>
      <c r="H176" s="111">
        <f>+H109+H149</f>
        <v>40248</v>
      </c>
      <c r="I176" s="112">
        <f>+I109+I149</f>
        <v>0</v>
      </c>
      <c r="K176" s="3">
        <f t="shared" si="43"/>
        <v>0</v>
      </c>
    </row>
    <row r="177" spans="1:11" s="3" customFormat="1" ht="12.75" thickBot="1">
      <c r="A177" s="1206" t="s">
        <v>9</v>
      </c>
      <c r="B177" s="1231" t="s">
        <v>314</v>
      </c>
      <c r="C177" s="1215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43"/>
        <v>0</v>
      </c>
    </row>
    <row r="178" spans="1:11" s="3" customFormat="1" ht="12.75" thickBot="1">
      <c r="A178" s="1206" t="s">
        <v>45</v>
      </c>
      <c r="B178" s="1214" t="s">
        <v>941</v>
      </c>
      <c r="C178" s="1215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43"/>
        <v>0</v>
      </c>
    </row>
    <row r="179" spans="1:11">
      <c r="A179" s="1216" t="s">
        <v>75</v>
      </c>
      <c r="B179" s="113" t="s">
        <v>942</v>
      </c>
      <c r="C179" s="1217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43"/>
        <v>0</v>
      </c>
    </row>
    <row r="180" spans="1:11" s="13" customFormat="1">
      <c r="A180" s="108" t="s">
        <v>204</v>
      </c>
      <c r="B180" s="109" t="s">
        <v>169</v>
      </c>
      <c r="C180" s="476"/>
      <c r="D180" s="12"/>
      <c r="E180" s="12"/>
      <c r="F180" s="15">
        <f t="shared" ref="F180:F191" si="57">+D180+E180</f>
        <v>0</v>
      </c>
      <c r="G180" s="720"/>
      <c r="H180" s="721"/>
      <c r="I180" s="722"/>
      <c r="K180" s="13">
        <f t="shared" si="43"/>
        <v>0</v>
      </c>
    </row>
    <row r="181" spans="1:11" s="13" customFormat="1">
      <c r="A181" s="108" t="s">
        <v>205</v>
      </c>
      <c r="B181" s="109" t="s">
        <v>170</v>
      </c>
      <c r="C181" s="476"/>
      <c r="D181" s="12"/>
      <c r="E181" s="12"/>
      <c r="F181" s="15">
        <f t="shared" si="57"/>
        <v>0</v>
      </c>
      <c r="G181" s="720"/>
      <c r="H181" s="721"/>
      <c r="I181" s="722"/>
      <c r="K181" s="13">
        <f t="shared" si="43"/>
        <v>0</v>
      </c>
    </row>
    <row r="182" spans="1:11" s="13" customFormat="1">
      <c r="A182" s="108" t="s">
        <v>206</v>
      </c>
      <c r="B182" s="109" t="s">
        <v>171</v>
      </c>
      <c r="C182" s="476"/>
      <c r="D182" s="12"/>
      <c r="E182" s="12"/>
      <c r="F182" s="15">
        <f t="shared" si="57"/>
        <v>0</v>
      </c>
      <c r="G182" s="720"/>
      <c r="H182" s="721"/>
      <c r="I182" s="722"/>
      <c r="K182" s="13">
        <f t="shared" si="43"/>
        <v>0</v>
      </c>
    </row>
    <row r="183" spans="1:11" s="13" customFormat="1">
      <c r="A183" s="108" t="s">
        <v>207</v>
      </c>
      <c r="B183" s="109" t="s">
        <v>172</v>
      </c>
      <c r="C183" s="476"/>
      <c r="D183" s="12"/>
      <c r="E183" s="12"/>
      <c r="F183" s="15">
        <f t="shared" si="57"/>
        <v>0</v>
      </c>
      <c r="G183" s="720"/>
      <c r="H183" s="721"/>
      <c r="I183" s="722"/>
      <c r="K183" s="13">
        <f t="shared" si="43"/>
        <v>0</v>
      </c>
    </row>
    <row r="184" spans="1:11" s="117" customFormat="1">
      <c r="A184" s="108" t="s">
        <v>208</v>
      </c>
      <c r="B184" s="109" t="s">
        <v>173</v>
      </c>
      <c r="C184" s="476"/>
      <c r="D184" s="12"/>
      <c r="E184" s="12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17" customFormat="1">
      <c r="A185" s="108" t="s">
        <v>209</v>
      </c>
      <c r="B185" s="109" t="s">
        <v>178</v>
      </c>
      <c r="C185" s="476"/>
      <c r="D185" s="12"/>
      <c r="E185" s="12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17" customFormat="1">
      <c r="A186" s="108" t="s">
        <v>210</v>
      </c>
      <c r="B186" s="109" t="s">
        <v>174</v>
      </c>
      <c r="C186" s="476"/>
      <c r="D186" s="12"/>
      <c r="E186" s="12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17" customFormat="1">
      <c r="A187" s="108" t="s">
        <v>211</v>
      </c>
      <c r="B187" s="109" t="s">
        <v>175</v>
      </c>
      <c r="C187" s="476"/>
      <c r="D187" s="12"/>
      <c r="E187" s="12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17" customFormat="1">
      <c r="A188" s="108" t="s">
        <v>935</v>
      </c>
      <c r="B188" s="109" t="s">
        <v>937</v>
      </c>
      <c r="C188" s="476"/>
      <c r="D188" s="12"/>
      <c r="E188" s="12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s="118" customFormat="1">
      <c r="A189" s="1221" t="s">
        <v>76</v>
      </c>
      <c r="B189" s="1222" t="s">
        <v>176</v>
      </c>
      <c r="C189" s="475"/>
      <c r="D189" s="11"/>
      <c r="E189" s="11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s="118" customFormat="1">
      <c r="A190" s="1223" t="s">
        <v>77</v>
      </c>
      <c r="B190" s="1224" t="s">
        <v>177</v>
      </c>
      <c r="C190" s="474"/>
      <c r="D190" s="22"/>
      <c r="E190" s="22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s="118" customFormat="1" ht="12.75" thickBot="1">
      <c r="A191" s="1223" t="s">
        <v>940</v>
      </c>
      <c r="B191" s="1224" t="s">
        <v>938</v>
      </c>
      <c r="C191" s="474"/>
      <c r="D191" s="22"/>
      <c r="E191" s="22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119" customFormat="1" ht="12.75" thickBot="1">
      <c r="A192" s="1206" t="s">
        <v>44</v>
      </c>
      <c r="B192" s="1230" t="s">
        <v>315</v>
      </c>
      <c r="C192" s="1215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119" customFormat="1" ht="12.75" thickBot="1">
      <c r="A193" s="1206" t="s">
        <v>43</v>
      </c>
      <c r="B193" s="1214" t="s">
        <v>936</v>
      </c>
      <c r="C193" s="1215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43"/>
        <v>0</v>
      </c>
    </row>
    <row r="194" spans="1:11" s="118" customFormat="1">
      <c r="A194" s="1216" t="s">
        <v>78</v>
      </c>
      <c r="B194" s="113" t="s">
        <v>971</v>
      </c>
      <c r="C194" s="1217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43"/>
        <v>0</v>
      </c>
    </row>
    <row r="195" spans="1:11" s="117" customFormat="1">
      <c r="A195" s="108" t="s">
        <v>212</v>
      </c>
      <c r="B195" s="109" t="s">
        <v>169</v>
      </c>
      <c r="C195" s="476"/>
      <c r="D195" s="12"/>
      <c r="E195" s="12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17" customFormat="1">
      <c r="A196" s="108" t="s">
        <v>213</v>
      </c>
      <c r="B196" s="109" t="s">
        <v>170</v>
      </c>
      <c r="C196" s="476"/>
      <c r="D196" s="12"/>
      <c r="E196" s="12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17" customFormat="1">
      <c r="A197" s="108" t="s">
        <v>214</v>
      </c>
      <c r="B197" s="109" t="s">
        <v>171</v>
      </c>
      <c r="C197" s="476"/>
      <c r="D197" s="12"/>
      <c r="E197" s="12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17" customFormat="1">
      <c r="A198" s="108" t="s">
        <v>215</v>
      </c>
      <c r="B198" s="109" t="s">
        <v>172</v>
      </c>
      <c r="C198" s="476"/>
      <c r="D198" s="12"/>
      <c r="E198" s="12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17" customFormat="1">
      <c r="A199" s="108" t="s">
        <v>216</v>
      </c>
      <c r="B199" s="109" t="s">
        <v>173</v>
      </c>
      <c r="C199" s="476"/>
      <c r="D199" s="12"/>
      <c r="E199" s="12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17" customFormat="1">
      <c r="A200" s="108" t="s">
        <v>217</v>
      </c>
      <c r="B200" s="109" t="s">
        <v>178</v>
      </c>
      <c r="C200" s="476"/>
      <c r="D200" s="12"/>
      <c r="E200" s="12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108" t="s">
        <v>218</v>
      </c>
      <c r="B201" s="109" t="s">
        <v>174</v>
      </c>
      <c r="C201" s="476"/>
      <c r="D201" s="12"/>
      <c r="E201" s="12"/>
      <c r="F201" s="15">
        <f t="shared" si="61"/>
        <v>0</v>
      </c>
      <c r="G201" s="720"/>
      <c r="H201" s="721"/>
      <c r="I201" s="722"/>
      <c r="K201" s="13">
        <f t="shared" si="43"/>
        <v>0</v>
      </c>
    </row>
    <row r="202" spans="1:11" s="13" customFormat="1">
      <c r="A202" s="108" t="s">
        <v>219</v>
      </c>
      <c r="B202" s="109" t="s">
        <v>175</v>
      </c>
      <c r="C202" s="476"/>
      <c r="D202" s="12"/>
      <c r="E202" s="12"/>
      <c r="F202" s="15">
        <f t="shared" si="61"/>
        <v>0</v>
      </c>
      <c r="G202" s="720"/>
      <c r="H202" s="721"/>
      <c r="I202" s="722"/>
      <c r="K202" s="13">
        <f t="shared" si="43"/>
        <v>0</v>
      </c>
    </row>
    <row r="203" spans="1:11" s="13" customFormat="1">
      <c r="A203" s="108" t="s">
        <v>935</v>
      </c>
      <c r="B203" s="109" t="s">
        <v>937</v>
      </c>
      <c r="C203" s="476"/>
      <c r="D203" s="12"/>
      <c r="E203" s="12"/>
      <c r="F203" s="15">
        <f t="shared" si="61"/>
        <v>0</v>
      </c>
      <c r="G203" s="720"/>
      <c r="H203" s="721"/>
      <c r="I203" s="722"/>
      <c r="K203" s="13">
        <f t="shared" ref="K203:K242" si="62">+F203-G203-H203-I203</f>
        <v>0</v>
      </c>
    </row>
    <row r="204" spans="1:11">
      <c r="A204" s="1221" t="s">
        <v>79</v>
      </c>
      <c r="B204" s="1222" t="s">
        <v>176</v>
      </c>
      <c r="C204" s="475"/>
      <c r="D204" s="11"/>
      <c r="E204" s="11"/>
      <c r="F204" s="16">
        <f t="shared" si="61"/>
        <v>0</v>
      </c>
      <c r="G204" s="983"/>
      <c r="H204" s="984"/>
      <c r="I204" s="985"/>
      <c r="K204" s="4">
        <f t="shared" si="62"/>
        <v>0</v>
      </c>
    </row>
    <row r="205" spans="1:11">
      <c r="A205" s="1223" t="s">
        <v>220</v>
      </c>
      <c r="B205" s="1224" t="s">
        <v>177</v>
      </c>
      <c r="C205" s="474"/>
      <c r="D205" s="22"/>
      <c r="E205" s="22"/>
      <c r="F205" s="23">
        <f t="shared" si="61"/>
        <v>0</v>
      </c>
      <c r="G205" s="986"/>
      <c r="H205" s="987"/>
      <c r="I205" s="988"/>
      <c r="K205" s="4">
        <f t="shared" si="62"/>
        <v>0</v>
      </c>
    </row>
    <row r="206" spans="1:11" ht="12.75" thickBot="1">
      <c r="A206" s="1223" t="s">
        <v>939</v>
      </c>
      <c r="B206" s="1224" t="s">
        <v>938</v>
      </c>
      <c r="C206" s="474"/>
      <c r="D206" s="22"/>
      <c r="E206" s="22"/>
      <c r="F206" s="23">
        <f t="shared" si="61"/>
        <v>0</v>
      </c>
      <c r="G206" s="986"/>
      <c r="H206" s="987"/>
      <c r="I206" s="988"/>
      <c r="K206" s="4">
        <f t="shared" si="62"/>
        <v>0</v>
      </c>
    </row>
    <row r="207" spans="1:11" s="3" customFormat="1" ht="12.75" thickBot="1">
      <c r="A207" s="1206" t="s">
        <v>40</v>
      </c>
      <c r="B207" s="1230" t="s">
        <v>316</v>
      </c>
      <c r="C207" s="1215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62"/>
        <v>0</v>
      </c>
    </row>
    <row r="208" spans="1:11" s="3" customFormat="1" ht="12.75" thickBot="1">
      <c r="A208" s="1232" t="s">
        <v>39</v>
      </c>
      <c r="B208" s="1233" t="s">
        <v>334</v>
      </c>
      <c r="C208" s="1234">
        <f>+C176+C207</f>
        <v>406320</v>
      </c>
      <c r="D208" s="25">
        <f>+D176+D207</f>
        <v>430592</v>
      </c>
      <c r="E208" s="25">
        <f>+E176+E207</f>
        <v>33</v>
      </c>
      <c r="F208" s="26">
        <f t="shared" ref="F208" si="64">+F176+F207</f>
        <v>430625</v>
      </c>
      <c r="G208" s="1235">
        <f>+G176+G207</f>
        <v>390377</v>
      </c>
      <c r="H208" s="1236">
        <f>+H176+H207</f>
        <v>40248</v>
      </c>
      <c r="I208" s="1194">
        <f>+I176+I207</f>
        <v>0</v>
      </c>
      <c r="K208" s="3">
        <f t="shared" si="62"/>
        <v>0</v>
      </c>
    </row>
    <row r="211" spans="1:31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1199" t="s">
        <v>281</v>
      </c>
      <c r="B212" s="1191"/>
      <c r="G212" s="1191"/>
      <c r="H212" s="1191"/>
      <c r="I212" s="1200" t="s">
        <v>280</v>
      </c>
    </row>
    <row r="213" spans="1:31" s="3" customFormat="1" ht="12.75" thickBot="1">
      <c r="A213" s="1206" t="s">
        <v>4</v>
      </c>
      <c r="B213" s="1230" t="s">
        <v>317</v>
      </c>
      <c r="C213" s="1215">
        <f>+C214+C215</f>
        <v>-364861</v>
      </c>
      <c r="D213" s="28">
        <f>+D214+D215</f>
        <v>-389133</v>
      </c>
      <c r="E213" s="28">
        <f>+E214+E215</f>
        <v>-33</v>
      </c>
      <c r="F213" s="29">
        <f t="shared" ref="F213" si="65">+F214+F215</f>
        <v>-389166</v>
      </c>
      <c r="G213" s="110">
        <f>+G214+G215</f>
        <v>-381069</v>
      </c>
      <c r="H213" s="111">
        <f>+H214+H215</f>
        <v>-8097</v>
      </c>
      <c r="I213" s="112">
        <f>+I214+I215</f>
        <v>0</v>
      </c>
      <c r="K213" s="3">
        <f t="shared" si="62"/>
        <v>0</v>
      </c>
    </row>
    <row r="214" spans="1:31">
      <c r="A214" s="1216" t="s">
        <v>81</v>
      </c>
      <c r="B214" s="1251" t="s">
        <v>318</v>
      </c>
      <c r="C214" s="1217">
        <f>+C10-C109</f>
        <v>-360861</v>
      </c>
      <c r="D214" s="10">
        <f>+D10-D109</f>
        <v>-385133</v>
      </c>
      <c r="E214" s="10">
        <f>+E10-E109</f>
        <v>-33</v>
      </c>
      <c r="F214" s="35">
        <f t="shared" ref="F214" si="66">+F10-F109</f>
        <v>-385166</v>
      </c>
      <c r="G214" s="114">
        <f>+G10-G109</f>
        <v>-377069</v>
      </c>
      <c r="H214" s="115">
        <f>+H10-H109</f>
        <v>-8097</v>
      </c>
      <c r="I214" s="116">
        <f>+I10-I109</f>
        <v>0</v>
      </c>
      <c r="K214" s="4">
        <f t="shared" si="62"/>
        <v>0</v>
      </c>
    </row>
    <row r="215" spans="1:31" ht="12.75" thickBot="1">
      <c r="A215" s="1252" t="s">
        <v>82</v>
      </c>
      <c r="B215" s="1253" t="s">
        <v>319</v>
      </c>
      <c r="C215" s="477">
        <f>+C50-C149</f>
        <v>-4000</v>
      </c>
      <c r="D215" s="17">
        <f>+D50-D149</f>
        <v>-4000</v>
      </c>
      <c r="E215" s="17">
        <f>+E50-E149</f>
        <v>0</v>
      </c>
      <c r="F215" s="39">
        <f t="shared" ref="F215" si="67">+F50-F149</f>
        <v>-4000</v>
      </c>
      <c r="G215" s="1249">
        <f>+G50-G149</f>
        <v>-4000</v>
      </c>
      <c r="H215" s="1254">
        <f>+H50-H149</f>
        <v>0</v>
      </c>
      <c r="I215" s="1196">
        <f>+I50-I149</f>
        <v>0</v>
      </c>
      <c r="K215" s="4">
        <f t="shared" si="62"/>
        <v>0</v>
      </c>
    </row>
    <row r="218" spans="1:31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1199" t="s">
        <v>282</v>
      </c>
      <c r="B219" s="1191"/>
      <c r="G219" s="1191"/>
      <c r="H219" s="1191"/>
      <c r="I219" s="1200" t="s">
        <v>280</v>
      </c>
    </row>
    <row r="220" spans="1:31" s="3" customFormat="1" ht="12.75" thickBot="1">
      <c r="A220" s="1206" t="s">
        <v>4</v>
      </c>
      <c r="B220" s="1230" t="s">
        <v>320</v>
      </c>
      <c r="C220" s="1215">
        <f>+C221+C228</f>
        <v>364861</v>
      </c>
      <c r="D220" s="28">
        <f>+D221+D228</f>
        <v>389133</v>
      </c>
      <c r="E220" s="28">
        <f>+E221+E228</f>
        <v>33</v>
      </c>
      <c r="F220" s="29">
        <f t="shared" ref="F220" si="68">+F221+F228</f>
        <v>389166</v>
      </c>
      <c r="G220" s="110">
        <f>+G221+G228</f>
        <v>381069</v>
      </c>
      <c r="H220" s="111">
        <f>+H221+H228</f>
        <v>8097</v>
      </c>
      <c r="I220" s="112">
        <f>+I221+I228</f>
        <v>0</v>
      </c>
      <c r="K220" s="3">
        <f t="shared" si="62"/>
        <v>0</v>
      </c>
    </row>
    <row r="221" spans="1:31" s="3" customFormat="1" ht="12.75" thickBot="1">
      <c r="A221" s="1206" t="s">
        <v>5</v>
      </c>
      <c r="B221" s="1214" t="s">
        <v>321</v>
      </c>
      <c r="C221" s="1215">
        <f>+C222-C225</f>
        <v>360861</v>
      </c>
      <c r="D221" s="28">
        <f>+D222-D225</f>
        <v>385133</v>
      </c>
      <c r="E221" s="28">
        <f>+E222-E225</f>
        <v>33</v>
      </c>
      <c r="F221" s="29">
        <f t="shared" ref="F221" si="69">+F222-F225</f>
        <v>385166</v>
      </c>
      <c r="G221" s="110">
        <f>+G222-G225</f>
        <v>377069</v>
      </c>
      <c r="H221" s="111">
        <f>+H222-H225</f>
        <v>8097</v>
      </c>
      <c r="I221" s="112">
        <f>+I222-I225</f>
        <v>0</v>
      </c>
      <c r="K221" s="3">
        <f t="shared" si="62"/>
        <v>0</v>
      </c>
    </row>
    <row r="222" spans="1:31">
      <c r="A222" s="1216" t="s">
        <v>54</v>
      </c>
      <c r="B222" s="113" t="s">
        <v>322</v>
      </c>
      <c r="C222" s="1217">
        <f>+C223+C224</f>
        <v>360861</v>
      </c>
      <c r="D222" s="10">
        <f>+D223+D224</f>
        <v>385133</v>
      </c>
      <c r="E222" s="10">
        <f>+E223+E224</f>
        <v>33</v>
      </c>
      <c r="F222" s="35">
        <f t="shared" ref="F222" si="70">+F223+F224</f>
        <v>385166</v>
      </c>
      <c r="G222" s="114">
        <f>+G223+G224</f>
        <v>377069</v>
      </c>
      <c r="H222" s="115">
        <f>+H223+H224</f>
        <v>8097</v>
      </c>
      <c r="I222" s="116">
        <f>+I223+I224</f>
        <v>0</v>
      </c>
      <c r="K222" s="4">
        <f t="shared" si="62"/>
        <v>0</v>
      </c>
    </row>
    <row r="223" spans="1:31" s="13" customFormat="1">
      <c r="A223" s="108" t="s">
        <v>189</v>
      </c>
      <c r="B223" s="109" t="s">
        <v>284</v>
      </c>
      <c r="C223" s="476">
        <f>+C76+C80</f>
        <v>0</v>
      </c>
      <c r="D223" s="12">
        <f>+D76+D80</f>
        <v>22631</v>
      </c>
      <c r="E223" s="12">
        <f>+E76+E80</f>
        <v>0</v>
      </c>
      <c r="F223" s="15">
        <f t="shared" ref="F223" si="71">+F76+F80</f>
        <v>22631</v>
      </c>
      <c r="G223" s="720">
        <f>+G76+G80</f>
        <v>22631</v>
      </c>
      <c r="H223" s="721">
        <f>+H76+H80</f>
        <v>0</v>
      </c>
      <c r="I223" s="722">
        <f>+I76+I80</f>
        <v>0</v>
      </c>
      <c r="K223" s="13">
        <f t="shared" si="62"/>
        <v>0</v>
      </c>
    </row>
    <row r="224" spans="1:31" s="13" customFormat="1">
      <c r="A224" s="108" t="s">
        <v>190</v>
      </c>
      <c r="B224" s="109" t="s">
        <v>285</v>
      </c>
      <c r="C224" s="476">
        <f>+C74+C75+C77+C78+C79+C81</f>
        <v>360861</v>
      </c>
      <c r="D224" s="12">
        <f>+D74+D75+D77+D78+D79+D81</f>
        <v>362502</v>
      </c>
      <c r="E224" s="12">
        <f>+E74+E75+E77+E78+E79+E81</f>
        <v>33</v>
      </c>
      <c r="F224" s="15">
        <f t="shared" ref="F224" si="72">+F74+F75+F77+F78+F79+F81</f>
        <v>362535</v>
      </c>
      <c r="G224" s="720">
        <f>+G74+G75+G77+G78+G79+G81</f>
        <v>354438</v>
      </c>
      <c r="H224" s="721">
        <f>+H74+H75+H77+H78+H79+H81</f>
        <v>8097</v>
      </c>
      <c r="I224" s="722">
        <f>+I74+I75+I77+I78+I79+I81</f>
        <v>0</v>
      </c>
      <c r="K224" s="13">
        <f t="shared" si="62"/>
        <v>0</v>
      </c>
    </row>
    <row r="225" spans="1:31">
      <c r="A225" s="1221" t="s">
        <v>55</v>
      </c>
      <c r="B225" s="1222" t="s">
        <v>323</v>
      </c>
      <c r="C225" s="475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83">
        <f>+G227</f>
        <v>0</v>
      </c>
      <c r="H225" s="984">
        <f>+H227</f>
        <v>0</v>
      </c>
      <c r="I225" s="985">
        <f>+I227</f>
        <v>0</v>
      </c>
      <c r="K225" s="4">
        <f t="shared" si="62"/>
        <v>0</v>
      </c>
    </row>
    <row r="226" spans="1:31" s="13" customFormat="1">
      <c r="A226" s="108" t="s">
        <v>56</v>
      </c>
      <c r="B226" s="109" t="s">
        <v>286</v>
      </c>
      <c r="C226" s="476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720">
        <f>+G185</f>
        <v>0</v>
      </c>
      <c r="H226" s="721">
        <f>+H185</f>
        <v>0</v>
      </c>
      <c r="I226" s="722">
        <f>+I185</f>
        <v>0</v>
      </c>
      <c r="K226" s="13">
        <f t="shared" si="62"/>
        <v>0</v>
      </c>
    </row>
    <row r="227" spans="1:31" s="13" customFormat="1" ht="12.75" thickBot="1">
      <c r="A227" s="1225" t="s">
        <v>57</v>
      </c>
      <c r="B227" s="1250" t="s">
        <v>287</v>
      </c>
      <c r="C227" s="1227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1228">
        <f>+G180+G181+G182+G183+G184+G186+G187</f>
        <v>0</v>
      </c>
      <c r="H227" s="1229">
        <f>+H180+H181+H182+H183+H184+H186+H187</f>
        <v>0</v>
      </c>
      <c r="I227" s="1039">
        <f>+I180+I181+I182+I183+I184+I186+I187</f>
        <v>0</v>
      </c>
      <c r="K227" s="13">
        <f t="shared" si="62"/>
        <v>0</v>
      </c>
    </row>
    <row r="228" spans="1:31" s="3" customFormat="1" ht="12.75" thickBot="1">
      <c r="A228" s="1206" t="s">
        <v>6</v>
      </c>
      <c r="B228" s="1214" t="s">
        <v>324</v>
      </c>
      <c r="C228" s="1215">
        <f>+C229-C232</f>
        <v>4000</v>
      </c>
      <c r="D228" s="28">
        <f>+D229-D232</f>
        <v>4000</v>
      </c>
      <c r="E228" s="28">
        <f>+E229-E232</f>
        <v>0</v>
      </c>
      <c r="F228" s="29">
        <f t="shared" ref="F228" si="76">+F229-F232</f>
        <v>4000</v>
      </c>
      <c r="G228" s="110">
        <f>+G229-G232</f>
        <v>4000</v>
      </c>
      <c r="H228" s="111">
        <f>+H229-H232</f>
        <v>0</v>
      </c>
      <c r="I228" s="112">
        <f>+I229-I232</f>
        <v>0</v>
      </c>
      <c r="K228" s="3">
        <f t="shared" si="62"/>
        <v>0</v>
      </c>
    </row>
    <row r="229" spans="1:31">
      <c r="A229" s="1216" t="s">
        <v>58</v>
      </c>
      <c r="B229" s="113" t="s">
        <v>325</v>
      </c>
      <c r="C229" s="1217">
        <f>+C230+C231</f>
        <v>4000</v>
      </c>
      <c r="D229" s="10">
        <f>+D230+D231</f>
        <v>4000</v>
      </c>
      <c r="E229" s="10">
        <f>+E230+E231</f>
        <v>0</v>
      </c>
      <c r="F229" s="35">
        <f t="shared" ref="F229" si="77">+F230+F231</f>
        <v>4000</v>
      </c>
      <c r="G229" s="114">
        <f>+G230+G231</f>
        <v>4000</v>
      </c>
      <c r="H229" s="115">
        <f>+H230+H231</f>
        <v>0</v>
      </c>
      <c r="I229" s="116">
        <f>+I230+I231</f>
        <v>0</v>
      </c>
      <c r="K229" s="4">
        <f t="shared" si="62"/>
        <v>0</v>
      </c>
    </row>
    <row r="230" spans="1:31" s="13" customFormat="1">
      <c r="A230" s="108" t="s">
        <v>292</v>
      </c>
      <c r="B230" s="109" t="s">
        <v>290</v>
      </c>
      <c r="C230" s="476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720">
        <f>+G91+G95</f>
        <v>0</v>
      </c>
      <c r="H230" s="721">
        <f>+H91+H95</f>
        <v>0</v>
      </c>
      <c r="I230" s="722">
        <f>+I91+I95</f>
        <v>0</v>
      </c>
      <c r="K230" s="13">
        <f t="shared" si="62"/>
        <v>0</v>
      </c>
    </row>
    <row r="231" spans="1:31" s="13" customFormat="1">
      <c r="A231" s="108" t="s">
        <v>293</v>
      </c>
      <c r="B231" s="109" t="s">
        <v>291</v>
      </c>
      <c r="C231" s="476">
        <f>+C89+C90+C92+C93+C94+C96</f>
        <v>4000</v>
      </c>
      <c r="D231" s="12">
        <f>+D89+D90+D92+D93+D94+D96</f>
        <v>4000</v>
      </c>
      <c r="E231" s="12">
        <f>+E89+E90+E92+E93+E94+E96</f>
        <v>0</v>
      </c>
      <c r="F231" s="15">
        <f t="shared" ref="F231" si="79">+F89+F90+F92+F93+F94+F96</f>
        <v>4000</v>
      </c>
      <c r="G231" s="720">
        <f>+G89+G90+G92+G93+G94+G96</f>
        <v>4000</v>
      </c>
      <c r="H231" s="721">
        <f>+H89+H90+H92+H93+H94+H96</f>
        <v>0</v>
      </c>
      <c r="I231" s="722">
        <f>+I89+I90+I92+I93+I94+I96</f>
        <v>0</v>
      </c>
      <c r="K231" s="13">
        <f t="shared" si="62"/>
        <v>0</v>
      </c>
    </row>
    <row r="232" spans="1:31">
      <c r="A232" s="1221" t="s">
        <v>59</v>
      </c>
      <c r="B232" s="1222" t="s">
        <v>326</v>
      </c>
      <c r="C232" s="475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83">
        <f>+G233+G234</f>
        <v>0</v>
      </c>
      <c r="H232" s="984">
        <f>+H233+H234</f>
        <v>0</v>
      </c>
      <c r="I232" s="985">
        <f>+I233+I234</f>
        <v>0</v>
      </c>
      <c r="K232" s="4">
        <f t="shared" si="62"/>
        <v>0</v>
      </c>
    </row>
    <row r="233" spans="1:31" s="13" customFormat="1">
      <c r="A233" s="108" t="s">
        <v>294</v>
      </c>
      <c r="B233" s="109" t="s">
        <v>288</v>
      </c>
      <c r="C233" s="476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720">
        <f>+G200</f>
        <v>0</v>
      </c>
      <c r="H233" s="721">
        <f>+H200</f>
        <v>0</v>
      </c>
      <c r="I233" s="722">
        <f>+I200</f>
        <v>0</v>
      </c>
      <c r="K233" s="13">
        <f t="shared" si="62"/>
        <v>0</v>
      </c>
    </row>
    <row r="234" spans="1:31" s="13" customFormat="1" ht="12.75" thickBot="1">
      <c r="A234" s="1255" t="s">
        <v>295</v>
      </c>
      <c r="B234" s="1256" t="s">
        <v>289</v>
      </c>
      <c r="C234" s="1257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1258">
        <f>+G195+G196+G197+G198+G199+G201+G202</f>
        <v>0</v>
      </c>
      <c r="H234" s="1259">
        <f>+H195+H196+H197+H198+H199+H201+H202</f>
        <v>0</v>
      </c>
      <c r="I234" s="1197">
        <f>+I195+I196+I197+I198+I199+I201+I202</f>
        <v>0</v>
      </c>
      <c r="K234" s="13">
        <f t="shared" si="62"/>
        <v>0</v>
      </c>
    </row>
    <row r="237" spans="1:31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1199" t="s">
        <v>283</v>
      </c>
      <c r="B238" s="1191"/>
      <c r="G238" s="1191"/>
      <c r="H238" s="1191"/>
      <c r="I238" s="1200"/>
    </row>
    <row r="239" spans="1:31" s="3" customFormat="1">
      <c r="A239" s="1260" t="s">
        <v>4</v>
      </c>
      <c r="B239" s="1261" t="s">
        <v>91</v>
      </c>
      <c r="C239" s="1262">
        <v>92</v>
      </c>
      <c r="D239" s="55">
        <v>92</v>
      </c>
      <c r="E239" s="55"/>
      <c r="F239" s="56">
        <f t="shared" ref="F239:F241" si="83">+D239+E239</f>
        <v>92</v>
      </c>
      <c r="G239" s="1263">
        <v>86</v>
      </c>
      <c r="H239" s="1264">
        <v>6</v>
      </c>
      <c r="I239" s="1045"/>
      <c r="K239" s="3">
        <f t="shared" si="62"/>
        <v>0</v>
      </c>
    </row>
    <row r="240" spans="1:31" s="13" customFormat="1">
      <c r="A240" s="1225" t="s">
        <v>350</v>
      </c>
      <c r="B240" s="1265" t="s">
        <v>351</v>
      </c>
      <c r="C240" s="1266"/>
      <c r="D240" s="101"/>
      <c r="E240" s="101"/>
      <c r="F240" s="102">
        <f t="shared" si="83"/>
        <v>0</v>
      </c>
      <c r="G240" s="1267"/>
      <c r="H240" s="1268"/>
      <c r="I240" s="1047"/>
      <c r="K240" s="13">
        <f t="shared" si="62"/>
        <v>0</v>
      </c>
    </row>
    <row r="241" spans="1:11" s="3" customFormat="1" ht="12.75" thickBot="1">
      <c r="A241" s="1269" t="s">
        <v>5</v>
      </c>
      <c r="B241" s="1270" t="s">
        <v>92</v>
      </c>
      <c r="C241" s="1271">
        <v>0</v>
      </c>
      <c r="D241" s="58">
        <v>0</v>
      </c>
      <c r="E241" s="58"/>
      <c r="F241" s="59">
        <f t="shared" si="83"/>
        <v>0</v>
      </c>
      <c r="G241" s="1272"/>
      <c r="H241" s="1273"/>
      <c r="I241" s="1049"/>
      <c r="K241" s="3">
        <f t="shared" si="62"/>
        <v>0</v>
      </c>
    </row>
    <row r="242" spans="1:11" s="3" customFormat="1" ht="12.75" thickBot="1">
      <c r="A242" s="1206" t="s">
        <v>6</v>
      </c>
      <c r="B242" s="1230" t="s">
        <v>329</v>
      </c>
      <c r="C242" s="1274">
        <f>+C239+C241</f>
        <v>92</v>
      </c>
      <c r="D242" s="61">
        <f>+D239+D241</f>
        <v>92</v>
      </c>
      <c r="E242" s="61">
        <f>+E239+E241</f>
        <v>0</v>
      </c>
      <c r="F242" s="62">
        <f t="shared" ref="F242" si="84">+F239+F241</f>
        <v>92</v>
      </c>
      <c r="G242" s="1275">
        <f>+G239+G241</f>
        <v>86</v>
      </c>
      <c r="H242" s="1276">
        <f>+H239+H241</f>
        <v>6</v>
      </c>
      <c r="I242" s="1051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E242"/>
  <sheetViews>
    <sheetView tabSelected="1" topLeftCell="A43"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355</v>
      </c>
    </row>
    <row r="2" spans="1:11" s="50" customFormat="1" ht="15.75"/>
    <row r="3" spans="1:11" s="52" customFormat="1" ht="15.75">
      <c r="A3" s="1448" t="s">
        <v>356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/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I7" s="37" t="s">
        <v>280</v>
      </c>
    </row>
    <row r="8" spans="1:11" s="8" customFormat="1" ht="48.75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21571</v>
      </c>
      <c r="D10" s="1170">
        <f>+D11+D25+D32+D44</f>
        <v>21571</v>
      </c>
      <c r="E10" s="1170">
        <f>+E11+E25+E32+E44</f>
        <v>0</v>
      </c>
      <c r="F10" s="130">
        <f t="shared" ref="F10" si="0">+F11+F25+F32+F44</f>
        <v>21571</v>
      </c>
      <c r="G10" s="31">
        <f>+G11+G25+G32+G44</f>
        <v>21571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thickBot="1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thickBot="1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thickBot="1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thickBot="1">
      <c r="A32" s="83" t="s">
        <v>3</v>
      </c>
      <c r="B32" s="64" t="s">
        <v>968</v>
      </c>
      <c r="C32" s="129">
        <f>+C33+C34+C35+C36+C37+C38+C39+C40+C41+C42+C43</f>
        <v>21571</v>
      </c>
      <c r="D32" s="1171">
        <f>+D33+D34+D35+D36+D37+D38+D39+D40+D41+D42+D43</f>
        <v>21571</v>
      </c>
      <c r="E32" s="1171">
        <f>+E33+E34+E35+E36+E37+E38+E39+E40+E41+E42+E43</f>
        <v>0</v>
      </c>
      <c r="F32" s="29">
        <f t="shared" ref="F32" si="7">+F33+F34+F35+F36+F37+F38+F39+F40+F41+F42+F43</f>
        <v>21571</v>
      </c>
      <c r="G32" s="27">
        <f>+G33+G34+G35+G36+G37+G38+G39+G40+G41+G42+G43</f>
        <v>21571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>
      <c r="A34" s="85" t="s">
        <v>62</v>
      </c>
      <c r="B34" s="67" t="s">
        <v>107</v>
      </c>
      <c r="C34" s="402">
        <v>4724</v>
      </c>
      <c r="D34" s="1174">
        <v>4724</v>
      </c>
      <c r="E34" s="1174"/>
      <c r="F34" s="16">
        <f t="shared" si="8"/>
        <v>4724</v>
      </c>
      <c r="G34" s="20">
        <v>4724</v>
      </c>
      <c r="H34" s="11"/>
      <c r="I34" s="16"/>
      <c r="K34" s="4">
        <f t="shared" si="2"/>
        <v>0</v>
      </c>
    </row>
    <row r="35" spans="1:11">
      <c r="A35" s="85" t="s">
        <v>63</v>
      </c>
      <c r="B35" s="67" t="s">
        <v>108</v>
      </c>
      <c r="C35" s="402">
        <v>2000</v>
      </c>
      <c r="D35" s="1174">
        <v>2000</v>
      </c>
      <c r="E35" s="1174"/>
      <c r="F35" s="16">
        <f t="shared" si="8"/>
        <v>2000</v>
      </c>
      <c r="G35" s="20">
        <v>2000</v>
      </c>
      <c r="H35" s="11"/>
      <c r="I35" s="16"/>
      <c r="K35" s="4">
        <f t="shared" si="2"/>
        <v>0</v>
      </c>
    </row>
    <row r="36" spans="1:11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>
      <c r="A37" s="85" t="s">
        <v>65</v>
      </c>
      <c r="B37" s="67" t="s">
        <v>110</v>
      </c>
      <c r="C37" s="402">
        <v>9645</v>
      </c>
      <c r="D37" s="1174">
        <v>9645</v>
      </c>
      <c r="E37" s="1174"/>
      <c r="F37" s="16">
        <f t="shared" si="8"/>
        <v>9645</v>
      </c>
      <c r="G37" s="20">
        <v>9645</v>
      </c>
      <c r="H37" s="11"/>
      <c r="I37" s="16"/>
      <c r="K37" s="4">
        <f t="shared" si="2"/>
        <v>0</v>
      </c>
    </row>
    <row r="38" spans="1:11">
      <c r="A38" s="85" t="s">
        <v>221</v>
      </c>
      <c r="B38" s="67" t="s">
        <v>111</v>
      </c>
      <c r="C38" s="402">
        <v>4419</v>
      </c>
      <c r="D38" s="1174">
        <v>4419</v>
      </c>
      <c r="E38" s="1174"/>
      <c r="F38" s="16">
        <f t="shared" si="8"/>
        <v>4419</v>
      </c>
      <c r="G38" s="20">
        <v>4419</v>
      </c>
      <c r="H38" s="11"/>
      <c r="I38" s="16"/>
      <c r="K38" s="4">
        <f t="shared" si="2"/>
        <v>0</v>
      </c>
    </row>
    <row r="39" spans="1:11">
      <c r="A39" s="85" t="s">
        <v>222</v>
      </c>
      <c r="B39" s="67" t="s">
        <v>112</v>
      </c>
      <c r="C39" s="402">
        <v>783</v>
      </c>
      <c r="D39" s="1174">
        <v>783</v>
      </c>
      <c r="E39" s="1174"/>
      <c r="F39" s="16">
        <f t="shared" si="8"/>
        <v>783</v>
      </c>
      <c r="G39" s="20">
        <v>783</v>
      </c>
      <c r="H39" s="11"/>
      <c r="I39" s="16"/>
      <c r="K39" s="4">
        <f t="shared" si="2"/>
        <v>0</v>
      </c>
    </row>
    <row r="40" spans="1:11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thickBot="1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thickBot="1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thickBot="1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thickBot="1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thickBot="1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21571</v>
      </c>
      <c r="D70" s="1171">
        <f>+D10+D50</f>
        <v>21571</v>
      </c>
      <c r="E70" s="1171">
        <f>+E10+E50</f>
        <v>0</v>
      </c>
      <c r="F70" s="29">
        <f t="shared" ref="F70" si="18">+F10+F50</f>
        <v>21571</v>
      </c>
      <c r="G70" s="27">
        <f>+G10+G50</f>
        <v>21571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406646</v>
      </c>
      <c r="D71" s="1171">
        <f>+D72</f>
        <v>414428</v>
      </c>
      <c r="E71" s="1171">
        <f>+E72</f>
        <v>13340</v>
      </c>
      <c r="F71" s="29">
        <f t="shared" ref="F71" si="19">+F72</f>
        <v>427768</v>
      </c>
      <c r="G71" s="27">
        <f>+G72</f>
        <v>427768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406646</v>
      </c>
      <c r="D72" s="1171">
        <f>+D73+D83+D84+D85</f>
        <v>414428</v>
      </c>
      <c r="E72" s="1171">
        <f>+E73+E83+E84+E85</f>
        <v>13340</v>
      </c>
      <c r="F72" s="29">
        <f t="shared" ref="F72" si="20">+F73+F83+F84+F85</f>
        <v>427768</v>
      </c>
      <c r="G72" s="27">
        <f>+G73+G83+G84+G85</f>
        <v>427768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406646</v>
      </c>
      <c r="D73" s="1172">
        <f>+D74+D75+D76+D77+D78+D79+D80+D81+D82</f>
        <v>414428</v>
      </c>
      <c r="E73" s="1172">
        <f>+E74+E75+E76+E77+E78+E79+E80+E81+E82</f>
        <v>13340</v>
      </c>
      <c r="F73" s="35">
        <f t="shared" ref="F73" si="21">+F74+F75+F76+F77+F78+F79+F80+F81+F82</f>
        <v>427768</v>
      </c>
      <c r="G73" s="34">
        <f>+G74+G75+G76+G77+G78+G79+G80+G81+G82</f>
        <v>427768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3">
        <f>0+110</f>
        <v>110</v>
      </c>
      <c r="E76" s="1173"/>
      <c r="F76" s="15">
        <f t="shared" si="22"/>
        <v>110</v>
      </c>
      <c r="G76" s="19">
        <v>110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406646</v>
      </c>
      <c r="D79" s="1173">
        <f t="shared" si="24"/>
        <v>414318</v>
      </c>
      <c r="E79" s="1173">
        <f t="shared" si="24"/>
        <v>13340</v>
      </c>
      <c r="F79" s="15">
        <f t="shared" si="24"/>
        <v>427658</v>
      </c>
      <c r="G79" s="19">
        <f>+G109-G10+G178-G74-G75-G76-G77-G78-G80-G81-G83-G84-G85</f>
        <v>427658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1100</v>
      </c>
      <c r="D86" s="1171">
        <f>+D87</f>
        <v>1100</v>
      </c>
      <c r="E86" s="1171">
        <f>+E87</f>
        <v>0</v>
      </c>
      <c r="F86" s="29">
        <f t="shared" ref="F86" si="26">+F87</f>
        <v>1100</v>
      </c>
      <c r="G86" s="27">
        <f>+G87</f>
        <v>1100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1100</v>
      </c>
      <c r="D87" s="1171">
        <f>+D88+D98+D99+D100</f>
        <v>1100</v>
      </c>
      <c r="E87" s="1171">
        <f>+E88+E98+E99+E100</f>
        <v>0</v>
      </c>
      <c r="F87" s="29">
        <f t="shared" ref="F87" si="27">+F88+F98+F99+F100</f>
        <v>1100</v>
      </c>
      <c r="G87" s="27">
        <f>+G88+G98+G99+G100</f>
        <v>1100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1100</v>
      </c>
      <c r="D88" s="1172">
        <f>+D89+D90+D91+D92+D93+D94+D95+D96+D97</f>
        <v>1100</v>
      </c>
      <c r="E88" s="1172">
        <f>+E89+E90+E91+E92+E93+E94+E95+E96+E97</f>
        <v>0</v>
      </c>
      <c r="F88" s="35">
        <f t="shared" ref="F88" si="28">+F89+F90+F91+F92+F93+F94+F95+F96+F97</f>
        <v>1100</v>
      </c>
      <c r="G88" s="34">
        <f>+G89+G90+G91+G92+G93+G94+G95+G96+G97</f>
        <v>1100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1100</v>
      </c>
      <c r="D94" s="1173">
        <f t="shared" si="30"/>
        <v>1100</v>
      </c>
      <c r="E94" s="1173">
        <f t="shared" si="30"/>
        <v>0</v>
      </c>
      <c r="F94" s="15">
        <f t="shared" si="30"/>
        <v>1100</v>
      </c>
      <c r="G94" s="19">
        <f>+G149-G50+G192-G89-G90-G91-G92-G93-G95-G96-G98-G99-G100</f>
        <v>1100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407746</v>
      </c>
      <c r="D101" s="1171">
        <f>+D71+D86</f>
        <v>415528</v>
      </c>
      <c r="E101" s="1171">
        <f>+E71+E86</f>
        <v>13340</v>
      </c>
      <c r="F101" s="29">
        <f t="shared" ref="F101" si="32">+F71+F86</f>
        <v>428868</v>
      </c>
      <c r="G101" s="27">
        <f>+G71+G86</f>
        <v>428868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429317</v>
      </c>
      <c r="D102" s="1182">
        <f>+D70+D101</f>
        <v>437099</v>
      </c>
      <c r="E102" s="1182">
        <f>+E70+E101</f>
        <v>13340</v>
      </c>
      <c r="F102" s="26">
        <f t="shared" ref="F102" si="33">+F70+F101</f>
        <v>450439</v>
      </c>
      <c r="G102" s="24">
        <f>+G70+G101</f>
        <v>450439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428217</v>
      </c>
      <c r="D109" s="1171">
        <f>+D110+D114+D116+D123+D132</f>
        <v>435999</v>
      </c>
      <c r="E109" s="1171">
        <f>+E110+E114+E116+E123+E132</f>
        <v>13340</v>
      </c>
      <c r="F109" s="29">
        <f t="shared" ref="F109" si="34">+F110+F114+F116+F123+F132</f>
        <v>449339</v>
      </c>
      <c r="G109" s="27">
        <f>+G110+G114+G116+G123+G132</f>
        <v>449339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253934</v>
      </c>
      <c r="D110" s="1171">
        <f>+D112+D113</f>
        <v>260576</v>
      </c>
      <c r="E110" s="1171">
        <f>+E112+E113</f>
        <v>17</v>
      </c>
      <c r="F110" s="29">
        <f t="shared" ref="F110" si="35">+F112+F113</f>
        <v>260593</v>
      </c>
      <c r="G110" s="27">
        <f>+G112+G113</f>
        <v>260593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253834</v>
      </c>
      <c r="D112" s="1172">
        <f>253858+(6600+18)</f>
        <v>260476</v>
      </c>
      <c r="E112" s="1172">
        <v>17</v>
      </c>
      <c r="F112" s="35">
        <f t="shared" si="36"/>
        <v>260493</v>
      </c>
      <c r="G112" s="34">
        <f>253834+24+6618+17</f>
        <v>260493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100</v>
      </c>
      <c r="D113" s="1175">
        <v>100</v>
      </c>
      <c r="E113" s="1175"/>
      <c r="F113" s="23">
        <f t="shared" si="36"/>
        <v>100</v>
      </c>
      <c r="G113" s="21">
        <v>100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49784</v>
      </c>
      <c r="D114" s="1171">
        <f>49788+(1023+3)</f>
        <v>50814</v>
      </c>
      <c r="E114" s="1171">
        <v>3</v>
      </c>
      <c r="F114" s="29">
        <f t="shared" si="36"/>
        <v>50817</v>
      </c>
      <c r="G114" s="27">
        <f>49784+4+1026+3</f>
        <v>50817</v>
      </c>
      <c r="H114" s="28"/>
      <c r="I114" s="29"/>
      <c r="K114" s="3">
        <f>+F114-G114-H114-I114</f>
        <v>0</v>
      </c>
    </row>
    <row r="115" spans="1:11" s="36" customFormat="1" ht="12.75" thickBot="1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124499</v>
      </c>
      <c r="D116" s="1171">
        <f>+D118+D119+D120+D121+D122</f>
        <v>124499</v>
      </c>
      <c r="E116" s="1171">
        <f>+E118+E119+E120+E121+E122</f>
        <v>13320</v>
      </c>
      <c r="F116" s="29">
        <f t="shared" ref="F116" si="37">+F118+F119+F120+F121+F122</f>
        <v>137819</v>
      </c>
      <c r="G116" s="27">
        <f>+G118+G119+G120+G121+G122</f>
        <v>137819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4960</v>
      </c>
      <c r="D118" s="1172">
        <v>4960</v>
      </c>
      <c r="E118" s="1172"/>
      <c r="F118" s="35">
        <f t="shared" si="38"/>
        <v>4960</v>
      </c>
      <c r="G118" s="34">
        <v>4960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1383</v>
      </c>
      <c r="D119" s="1174">
        <v>1383</v>
      </c>
      <c r="E119" s="1174"/>
      <c r="F119" s="16">
        <f t="shared" si="38"/>
        <v>1383</v>
      </c>
      <c r="G119" s="20">
        <v>1383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92714</v>
      </c>
      <c r="D120" s="1174">
        <v>92714</v>
      </c>
      <c r="E120" s="1174">
        <v>10488</v>
      </c>
      <c r="F120" s="16">
        <f t="shared" si="38"/>
        <v>103202</v>
      </c>
      <c r="G120" s="20">
        <f>92714+10488</f>
        <v>103202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4"/>
      <c r="E121" s="1174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25442</v>
      </c>
      <c r="D122" s="1175">
        <v>25442</v>
      </c>
      <c r="E122" s="1175">
        <v>2832</v>
      </c>
      <c r="F122" s="39">
        <f t="shared" si="38"/>
        <v>28274</v>
      </c>
      <c r="G122" s="21">
        <f>25442+2832</f>
        <v>28274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110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110</v>
      </c>
      <c r="G132" s="27">
        <f>+G133+G134+G135+G136+G137+G138+G140+G141+G142+G143+G144+G145+G146</f>
        <v>110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4">
        <f>0+110</f>
        <v>110</v>
      </c>
      <c r="E134" s="1174"/>
      <c r="F134" s="16">
        <f t="shared" si="42"/>
        <v>110</v>
      </c>
      <c r="G134" s="20">
        <v>110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1100</v>
      </c>
      <c r="D149" s="1171">
        <f>+D150+D159+D165</f>
        <v>1100</v>
      </c>
      <c r="E149" s="1171">
        <f>+E150+E159+E165</f>
        <v>0</v>
      </c>
      <c r="F149" s="29">
        <f t="shared" ref="F149" si="46">+F150+F159+F165</f>
        <v>1100</v>
      </c>
      <c r="G149" s="27">
        <f>+G150+G159+G165</f>
        <v>1100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1100</v>
      </c>
      <c r="D150" s="1171">
        <f>+D152+D153+D154+D155+D156+D157+D158</f>
        <v>1100</v>
      </c>
      <c r="E150" s="1171">
        <f>+E152+E153+E154+E155+E156+E157+E158</f>
        <v>0</v>
      </c>
      <c r="F150" s="29">
        <f t="shared" ref="F150" si="47">+F152+F153+F154+F155+F156+F157+F158</f>
        <v>1100</v>
      </c>
      <c r="G150" s="27">
        <f>+G152+G153+G154+G155+G156+G157+G158</f>
        <v>1100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866</v>
      </c>
      <c r="D155" s="1174">
        <v>866</v>
      </c>
      <c r="E155" s="1174"/>
      <c r="F155" s="16">
        <f t="shared" si="48"/>
        <v>866</v>
      </c>
      <c r="G155" s="20">
        <v>866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234</v>
      </c>
      <c r="D158" s="1175">
        <v>234</v>
      </c>
      <c r="E158" s="1175"/>
      <c r="F158" s="23">
        <f t="shared" si="48"/>
        <v>234</v>
      </c>
      <c r="G158" s="21">
        <v>234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429317</v>
      </c>
      <c r="D176" s="1171">
        <f>+D109+D149</f>
        <v>437099</v>
      </c>
      <c r="E176" s="1171">
        <f>+E109+E149</f>
        <v>13340</v>
      </c>
      <c r="F176" s="29">
        <f t="shared" ref="F176" si="53">+F109+F149</f>
        <v>450439</v>
      </c>
      <c r="G176" s="27">
        <f>+G109+G149</f>
        <v>450439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429317</v>
      </c>
      <c r="D208" s="1182">
        <f>+D176+D207</f>
        <v>437099</v>
      </c>
      <c r="E208" s="1182">
        <f>+E176+E207</f>
        <v>13340</v>
      </c>
      <c r="F208" s="26">
        <f t="shared" ref="F208" si="64">+F176+F207</f>
        <v>450439</v>
      </c>
      <c r="G208" s="24">
        <f>+G176+G207</f>
        <v>450439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-407746</v>
      </c>
      <c r="D213" s="1171">
        <f>+D214+D215</f>
        <v>-415528</v>
      </c>
      <c r="E213" s="1171">
        <f>+E214+E215</f>
        <v>-13340</v>
      </c>
      <c r="F213" s="29">
        <f t="shared" ref="F213" si="65">+F214+F215</f>
        <v>-428868</v>
      </c>
      <c r="G213" s="27">
        <f>+G214+G215</f>
        <v>-428868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-406646</v>
      </c>
      <c r="D214" s="1172">
        <f>+D10-D109</f>
        <v>-414428</v>
      </c>
      <c r="E214" s="1172">
        <f>+E10-E109</f>
        <v>-13340</v>
      </c>
      <c r="F214" s="35">
        <f t="shared" ref="F214" si="66">+F10-F109</f>
        <v>-427768</v>
      </c>
      <c r="G214" s="34">
        <f>+G10-G109</f>
        <v>-427768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-1100</v>
      </c>
      <c r="D215" s="1189">
        <f>+D50-D149</f>
        <v>-1100</v>
      </c>
      <c r="E215" s="1189">
        <f>+E50-E149</f>
        <v>0</v>
      </c>
      <c r="F215" s="39">
        <f t="shared" ref="F215" si="67">+F50-F149</f>
        <v>-1100</v>
      </c>
      <c r="G215" s="40">
        <f>+G50-G149</f>
        <v>-1100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407746</v>
      </c>
      <c r="D220" s="1171">
        <f>+D221+D228</f>
        <v>415528</v>
      </c>
      <c r="E220" s="1171">
        <f>+E221+E228</f>
        <v>13340</v>
      </c>
      <c r="F220" s="29">
        <f t="shared" ref="F220" si="68">+F221+F228</f>
        <v>428868</v>
      </c>
      <c r="G220" s="27">
        <f>+G221+G228</f>
        <v>428868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406646</v>
      </c>
      <c r="D221" s="1171">
        <f>+D222-D225</f>
        <v>414428</v>
      </c>
      <c r="E221" s="1171">
        <f>+E222-E225</f>
        <v>13340</v>
      </c>
      <c r="F221" s="29">
        <f t="shared" ref="F221" si="69">+F222-F225</f>
        <v>427768</v>
      </c>
      <c r="G221" s="27">
        <f>+G222-G225</f>
        <v>427768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406646</v>
      </c>
      <c r="D222" s="1172">
        <f>+D223+D224</f>
        <v>414428</v>
      </c>
      <c r="E222" s="1172">
        <f>+E223+E224</f>
        <v>13340</v>
      </c>
      <c r="F222" s="35">
        <f t="shared" ref="F222" si="70">+F223+F224</f>
        <v>427768</v>
      </c>
      <c r="G222" s="34">
        <f>+G223+G224</f>
        <v>427768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3">
        <f>+D76+D80</f>
        <v>110</v>
      </c>
      <c r="E223" s="1173">
        <f>+E76+E80</f>
        <v>0</v>
      </c>
      <c r="F223" s="15">
        <f t="shared" ref="F223" si="71">+F76+F80</f>
        <v>110</v>
      </c>
      <c r="G223" s="19">
        <f>+G76+G80</f>
        <v>110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406646</v>
      </c>
      <c r="D224" s="1173">
        <f>+D74+D75+D77+D78+D79+D81</f>
        <v>414318</v>
      </c>
      <c r="E224" s="1173">
        <f>+E74+E75+E77+E78+E79+E81</f>
        <v>13340</v>
      </c>
      <c r="F224" s="15">
        <f t="shared" ref="F224" si="72">+F74+F75+F77+F78+F79+F81</f>
        <v>427658</v>
      </c>
      <c r="G224" s="19">
        <f>+G74+G75+G77+G78+G79+G81</f>
        <v>427658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1100</v>
      </c>
      <c r="D228" s="1171">
        <f>+D229-D232</f>
        <v>1100</v>
      </c>
      <c r="E228" s="1171">
        <f>+E229-E232</f>
        <v>0</v>
      </c>
      <c r="F228" s="29">
        <f t="shared" ref="F228" si="76">+F229-F232</f>
        <v>1100</v>
      </c>
      <c r="G228" s="27">
        <f>+G229-G232</f>
        <v>1100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1100</v>
      </c>
      <c r="D229" s="1172">
        <f>+D230+D231</f>
        <v>1100</v>
      </c>
      <c r="E229" s="1172">
        <f>+E230+E231</f>
        <v>0</v>
      </c>
      <c r="F229" s="35">
        <f t="shared" ref="F229" si="77">+F230+F231</f>
        <v>1100</v>
      </c>
      <c r="G229" s="34">
        <f>+G230+G231</f>
        <v>1100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1100</v>
      </c>
      <c r="D231" s="1173">
        <f>+D89+D90+D92+D93+D94+D96</f>
        <v>1100</v>
      </c>
      <c r="E231" s="1173">
        <f>+E89+E90+E92+E93+E94+E96</f>
        <v>0</v>
      </c>
      <c r="F231" s="15">
        <f t="shared" ref="F231" si="79">+F89+F90+F92+F93+F94+F96</f>
        <v>1100</v>
      </c>
      <c r="G231" s="19">
        <f>+G89+G90+G92+G93+G94+G96</f>
        <v>1100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5">
        <v>69</v>
      </c>
      <c r="D239" s="1278">
        <v>69</v>
      </c>
      <c r="E239" s="1278"/>
      <c r="F239" s="56">
        <f t="shared" ref="F239:F241" si="83">+D239+E239</f>
        <v>69</v>
      </c>
      <c r="G239" s="54">
        <v>69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6">
        <v>0</v>
      </c>
      <c r="D240" s="1279">
        <v>0</v>
      </c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87">
        <v>0</v>
      </c>
      <c r="D241" s="1280">
        <v>0</v>
      </c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88">
        <f>+C239+C241</f>
        <v>69</v>
      </c>
      <c r="D242" s="1281">
        <f>+D239+D241</f>
        <v>69</v>
      </c>
      <c r="E242" s="1281">
        <f>+E239+E241</f>
        <v>0</v>
      </c>
      <c r="F242" s="62">
        <f t="shared" ref="F242" si="84">+F239+F241</f>
        <v>69</v>
      </c>
      <c r="G242" s="60">
        <f>+G239+G241</f>
        <v>69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357</v>
      </c>
    </row>
    <row r="2" spans="1:11" s="50" customFormat="1" ht="15.75"/>
    <row r="3" spans="1:11" s="52" customFormat="1" ht="15.75">
      <c r="A3" s="1448" t="s">
        <v>358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/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600</v>
      </c>
      <c r="D10" s="1170">
        <f>+D11+D25+D32+D44</f>
        <v>600</v>
      </c>
      <c r="E10" s="1170">
        <f>+E11+E25+E32+E44</f>
        <v>0</v>
      </c>
      <c r="F10" s="130">
        <f t="shared" ref="F10" si="0">+F11+F25+F32+F44</f>
        <v>600</v>
      </c>
      <c r="G10" s="31">
        <f>+G11+G25+G32+G44</f>
        <v>600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600</v>
      </c>
      <c r="D32" s="1171">
        <f>+D33+D34+D35+D36+D37+D38+D39+D40+D41+D42+D43</f>
        <v>600</v>
      </c>
      <c r="E32" s="1171">
        <f>+E33+E34+E35+E36+E37+E38+E39+E40+E41+E42+E43</f>
        <v>0</v>
      </c>
      <c r="F32" s="29">
        <f t="shared" ref="F32" si="7">+F33+F34+F35+F36+F37+F38+F39+F40+F41+F42+F43</f>
        <v>600</v>
      </c>
      <c r="G32" s="27">
        <f>+G33+G34+G35+G36+G37+G38+G39+G40+G41+G42+G43</f>
        <v>600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600</v>
      </c>
      <c r="D34" s="1174">
        <v>600</v>
      </c>
      <c r="E34" s="1174"/>
      <c r="F34" s="16">
        <f t="shared" si="8"/>
        <v>600</v>
      </c>
      <c r="G34" s="20">
        <v>600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600</v>
      </c>
      <c r="D70" s="1171">
        <f>+D10+D50</f>
        <v>600</v>
      </c>
      <c r="E70" s="1171">
        <f>+E10+E50</f>
        <v>0</v>
      </c>
      <c r="F70" s="29">
        <f t="shared" ref="F70" si="18">+F10+F50</f>
        <v>600</v>
      </c>
      <c r="G70" s="27">
        <f>+G10+G50</f>
        <v>600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49158</v>
      </c>
      <c r="D71" s="1171">
        <f>+D72</f>
        <v>46992</v>
      </c>
      <c r="E71" s="1171">
        <f>+E72</f>
        <v>537</v>
      </c>
      <c r="F71" s="29">
        <f t="shared" ref="F71" si="19">+F72</f>
        <v>47529</v>
      </c>
      <c r="G71" s="27">
        <f>+G72</f>
        <v>47529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49158</v>
      </c>
      <c r="D72" s="1171">
        <f>+D73+D83+D84+D85</f>
        <v>46992</v>
      </c>
      <c r="E72" s="1171">
        <f>+E73+E83+E84+E85</f>
        <v>537</v>
      </c>
      <c r="F72" s="29">
        <f t="shared" ref="F72" si="20">+F73+F83+F84+F85</f>
        <v>47529</v>
      </c>
      <c r="G72" s="27">
        <f>+G73+G83+G84+G85</f>
        <v>47529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49158</v>
      </c>
      <c r="D73" s="1172">
        <f>+D74+D75+D76+D77+D78+D79+D80+D81+D82</f>
        <v>46992</v>
      </c>
      <c r="E73" s="1172">
        <f>+E74+E75+E76+E77+E78+E79+E80+E81+E82</f>
        <v>537</v>
      </c>
      <c r="F73" s="35">
        <f t="shared" ref="F73" si="21">+F74+F75+F76+F77+F78+F79+F80+F81+F82</f>
        <v>47529</v>
      </c>
      <c r="G73" s="34">
        <f>+G74+G75+G76+G77+G78+G79+G80+G81+G82</f>
        <v>47529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3">
        <f>0+329</f>
        <v>329</v>
      </c>
      <c r="E76" s="1173"/>
      <c r="F76" s="15">
        <f t="shared" si="22"/>
        <v>329</v>
      </c>
      <c r="G76" s="19">
        <v>329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49158</v>
      </c>
      <c r="D79" s="1173">
        <f t="shared" si="24"/>
        <v>46663</v>
      </c>
      <c r="E79" s="1173">
        <f t="shared" si="24"/>
        <v>537</v>
      </c>
      <c r="F79" s="15">
        <f t="shared" si="24"/>
        <v>47200</v>
      </c>
      <c r="G79" s="19">
        <f>+G109-G10+G178-G74-G75-G76-G77-G78-G80-G81-G83-G84-G85</f>
        <v>47200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10372</v>
      </c>
      <c r="D86" s="1171">
        <f>+D87</f>
        <v>10372</v>
      </c>
      <c r="E86" s="1171">
        <f>+E87</f>
        <v>0</v>
      </c>
      <c r="F86" s="29">
        <f t="shared" ref="F86" si="26">+F87</f>
        <v>10372</v>
      </c>
      <c r="G86" s="27">
        <f>+G87</f>
        <v>10372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10372</v>
      </c>
      <c r="D87" s="1171">
        <f>+D88+D98+D99+D100</f>
        <v>10372</v>
      </c>
      <c r="E87" s="1171">
        <f>+E88+E98+E99+E100</f>
        <v>0</v>
      </c>
      <c r="F87" s="29">
        <f t="shared" ref="F87" si="27">+F88+F98+F99+F100</f>
        <v>10372</v>
      </c>
      <c r="G87" s="27">
        <f>+G88+G98+G99+G100</f>
        <v>10372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10372</v>
      </c>
      <c r="D88" s="1172">
        <f>+D89+D90+D91+D92+D93+D94+D95+D96+D97</f>
        <v>10372</v>
      </c>
      <c r="E88" s="1172">
        <f>+E89+E90+E91+E92+E93+E94+E95+E96+E97</f>
        <v>0</v>
      </c>
      <c r="F88" s="35">
        <f t="shared" ref="F88" si="28">+F89+F90+F91+F92+F93+F94+F95+F96+F97</f>
        <v>10372</v>
      </c>
      <c r="G88" s="34">
        <f>+G89+G90+G91+G92+G93+G94+G95+G96+G97</f>
        <v>10372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10372</v>
      </c>
      <c r="D94" s="1173">
        <f t="shared" si="30"/>
        <v>10372</v>
      </c>
      <c r="E94" s="1173">
        <f t="shared" si="30"/>
        <v>0</v>
      </c>
      <c r="F94" s="15">
        <f t="shared" si="30"/>
        <v>10372</v>
      </c>
      <c r="G94" s="19">
        <f>+G149-G50+G192-G89-G90-G91-G92-G93-G95-G96-G98-G99-G100</f>
        <v>10372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59530</v>
      </c>
      <c r="D101" s="1171">
        <f>+D71+D86</f>
        <v>57364</v>
      </c>
      <c r="E101" s="1171">
        <f>+E71+E86</f>
        <v>537</v>
      </c>
      <c r="F101" s="29">
        <f t="shared" ref="F101" si="32">+F71+F86</f>
        <v>57901</v>
      </c>
      <c r="G101" s="27">
        <f>+G71+G86</f>
        <v>57901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60130</v>
      </c>
      <c r="D102" s="1182">
        <f>+D70+D101</f>
        <v>57964</v>
      </c>
      <c r="E102" s="1182">
        <f>+E70+E101</f>
        <v>537</v>
      </c>
      <c r="F102" s="26">
        <f t="shared" ref="F102" si="33">+F70+F101</f>
        <v>58501</v>
      </c>
      <c r="G102" s="24">
        <f>+G70+G101</f>
        <v>58501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49758</v>
      </c>
      <c r="D109" s="1171">
        <f>+D110+D114+D116+D123+D132</f>
        <v>47592</v>
      </c>
      <c r="E109" s="1171">
        <f>+E110+E114+E116+E123+E132</f>
        <v>537</v>
      </c>
      <c r="F109" s="29">
        <f t="shared" ref="F109" si="34">+F110+F114+F116+F123+F132</f>
        <v>48129</v>
      </c>
      <c r="G109" s="27">
        <f>+G110+G114+G116+G123+G132</f>
        <v>48129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25821</v>
      </c>
      <c r="D110" s="1171">
        <f>+D112+D113</f>
        <v>27107</v>
      </c>
      <c r="E110" s="1171">
        <f>+E112+E113</f>
        <v>465</v>
      </c>
      <c r="F110" s="29">
        <f t="shared" ref="F110" si="35">+F112+F113</f>
        <v>27572</v>
      </c>
      <c r="G110" s="27">
        <f>+G112+G113</f>
        <v>27572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25821</v>
      </c>
      <c r="D112" s="1172">
        <f>(25821+(790+29))+(8+459)</f>
        <v>27107</v>
      </c>
      <c r="E112" s="1172">
        <f>9+456</f>
        <v>465</v>
      </c>
      <c r="F112" s="35">
        <f t="shared" si="36"/>
        <v>27572</v>
      </c>
      <c r="G112" s="34">
        <f>25821+819+467+465</f>
        <v>27572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5"/>
      <c r="E113" s="1175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4534</v>
      </c>
      <c r="D114" s="1171">
        <f>(4534+(139+5))+(74+1)</f>
        <v>4753</v>
      </c>
      <c r="E114" s="1171">
        <f>71+1</f>
        <v>72</v>
      </c>
      <c r="F114" s="29">
        <f t="shared" si="36"/>
        <v>4825</v>
      </c>
      <c r="G114" s="27">
        <f>4534+144+75+72</f>
        <v>4825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19403</v>
      </c>
      <c r="D116" s="1171">
        <f>+D118+D119+D120+D121+D122</f>
        <v>15403</v>
      </c>
      <c r="E116" s="1171">
        <f>+E118+E119+E120+E121+E122</f>
        <v>0</v>
      </c>
      <c r="F116" s="29">
        <f t="shared" ref="F116" si="37">+F118+F119+F120+F121+F122</f>
        <v>15403</v>
      </c>
      <c r="G116" s="27">
        <f>+G118+G119+G120+G121+G122</f>
        <v>15403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2770</v>
      </c>
      <c r="D118" s="1172">
        <v>2770</v>
      </c>
      <c r="E118" s="1172"/>
      <c r="F118" s="35">
        <f t="shared" si="38"/>
        <v>2770</v>
      </c>
      <c r="G118" s="34">
        <v>2770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2200</v>
      </c>
      <c r="D119" s="1174">
        <v>2200</v>
      </c>
      <c r="E119" s="1174"/>
      <c r="F119" s="16">
        <f t="shared" si="38"/>
        <v>2200</v>
      </c>
      <c r="G119" s="20">
        <v>2200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10260</v>
      </c>
      <c r="D120" s="1174">
        <v>7110</v>
      </c>
      <c r="E120" s="1174"/>
      <c r="F120" s="16">
        <f t="shared" si="38"/>
        <v>7110</v>
      </c>
      <c r="G120" s="20">
        <f>10260-3150</f>
        <v>7110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180</v>
      </c>
      <c r="D121" s="1174">
        <v>180</v>
      </c>
      <c r="E121" s="1174"/>
      <c r="F121" s="16">
        <f t="shared" si="38"/>
        <v>180</v>
      </c>
      <c r="G121" s="20">
        <v>180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3993</v>
      </c>
      <c r="D122" s="1175">
        <v>3143</v>
      </c>
      <c r="E122" s="1175"/>
      <c r="F122" s="39">
        <f t="shared" si="38"/>
        <v>3143</v>
      </c>
      <c r="G122" s="21">
        <f>3993-850</f>
        <v>3143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329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329</v>
      </c>
      <c r="G132" s="27">
        <f>+G133+G134+G135+G136+G137+G138+G140+G141+G142+G143+G144+G145+G146</f>
        <v>329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4">
        <f>0+329</f>
        <v>329</v>
      </c>
      <c r="E134" s="1174"/>
      <c r="F134" s="16">
        <f t="shared" si="42"/>
        <v>329</v>
      </c>
      <c r="G134" s="20">
        <v>329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/>
      <c r="D146" s="1175"/>
      <c r="E146" s="1175"/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10372</v>
      </c>
      <c r="D149" s="1171">
        <f>+D150+D159+D165</f>
        <v>10372</v>
      </c>
      <c r="E149" s="1171">
        <f>+E150+E159+E165</f>
        <v>0</v>
      </c>
      <c r="F149" s="29">
        <f t="shared" ref="F149" si="46">+F150+F159+F165</f>
        <v>10372</v>
      </c>
      <c r="G149" s="27">
        <f>+G150+G159+G165</f>
        <v>10372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10372</v>
      </c>
      <c r="D150" s="1171">
        <f>+D152+D153+D154+D155+D156+D157+D158</f>
        <v>10372</v>
      </c>
      <c r="E150" s="1171">
        <f>+E152+E153+E154+E155+E156+E157+E158</f>
        <v>0</v>
      </c>
      <c r="F150" s="29">
        <f t="shared" ref="F150" si="47">+F152+F153+F154+F155+F156+F157+F158</f>
        <v>10372</v>
      </c>
      <c r="G150" s="27">
        <f>+G152+G153+G154+G155+G156+G157+G158</f>
        <v>10372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>
        <v>550</v>
      </c>
      <c r="D154" s="1174">
        <v>550</v>
      </c>
      <c r="E154" s="1174"/>
      <c r="F154" s="16">
        <f t="shared" si="48"/>
        <v>550</v>
      </c>
      <c r="G154" s="20">
        <v>550</v>
      </c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7615</v>
      </c>
      <c r="D155" s="1174">
        <v>7615</v>
      </c>
      <c r="E155" s="1174"/>
      <c r="F155" s="16">
        <f t="shared" si="48"/>
        <v>7615</v>
      </c>
      <c r="G155" s="20">
        <v>7615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2207</v>
      </c>
      <c r="D158" s="1175">
        <v>2207</v>
      </c>
      <c r="E158" s="1175"/>
      <c r="F158" s="23">
        <f t="shared" si="48"/>
        <v>2207</v>
      </c>
      <c r="G158" s="21">
        <v>2207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60130</v>
      </c>
      <c r="D176" s="1171">
        <f>+D109+D149</f>
        <v>57964</v>
      </c>
      <c r="E176" s="1171">
        <f>+E109+E149</f>
        <v>537</v>
      </c>
      <c r="F176" s="29">
        <f t="shared" ref="F176" si="53">+F109+F149</f>
        <v>58501</v>
      </c>
      <c r="G176" s="27">
        <f>+G109+G149</f>
        <v>58501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60130</v>
      </c>
      <c r="D208" s="1182">
        <f>+D176+D207</f>
        <v>57964</v>
      </c>
      <c r="E208" s="1182">
        <f>+E176+E207</f>
        <v>537</v>
      </c>
      <c r="F208" s="26">
        <f t="shared" ref="F208" si="64">+F176+F207</f>
        <v>58501</v>
      </c>
      <c r="G208" s="24">
        <f>+G176+G207</f>
        <v>58501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-59530</v>
      </c>
      <c r="D213" s="1171">
        <f>+D214+D215</f>
        <v>-57364</v>
      </c>
      <c r="E213" s="1171">
        <f>+E214+E215</f>
        <v>-537</v>
      </c>
      <c r="F213" s="29">
        <f t="shared" ref="F213" si="65">+F214+F215</f>
        <v>-57901</v>
      </c>
      <c r="G213" s="27">
        <f>+G214+G215</f>
        <v>-57901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-49158</v>
      </c>
      <c r="D214" s="1172">
        <f>+D10-D109</f>
        <v>-46992</v>
      </c>
      <c r="E214" s="1172">
        <f>+E10-E109</f>
        <v>-537</v>
      </c>
      <c r="F214" s="35">
        <f t="shared" ref="F214" si="66">+F10-F109</f>
        <v>-47529</v>
      </c>
      <c r="G214" s="34">
        <f>+G10-G109</f>
        <v>-47529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-10372</v>
      </c>
      <c r="D215" s="1189">
        <f>+D50-D149</f>
        <v>-10372</v>
      </c>
      <c r="E215" s="1189">
        <f>+E50-E149</f>
        <v>0</v>
      </c>
      <c r="F215" s="39">
        <f t="shared" ref="F215" si="67">+F50-F149</f>
        <v>-10372</v>
      </c>
      <c r="G215" s="40">
        <f>+G50-G149</f>
        <v>-10372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59530</v>
      </c>
      <c r="D220" s="1171">
        <f>+D221+D228</f>
        <v>57364</v>
      </c>
      <c r="E220" s="1171">
        <f>+E221+E228</f>
        <v>537</v>
      </c>
      <c r="F220" s="29">
        <f t="shared" ref="F220" si="68">+F221+F228</f>
        <v>57901</v>
      </c>
      <c r="G220" s="27">
        <f>+G221+G228</f>
        <v>57901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49158</v>
      </c>
      <c r="D221" s="1171">
        <f>+D222-D225</f>
        <v>46992</v>
      </c>
      <c r="E221" s="1171">
        <f>+E222-E225</f>
        <v>537</v>
      </c>
      <c r="F221" s="29">
        <f t="shared" ref="F221" si="69">+F222-F225</f>
        <v>47529</v>
      </c>
      <c r="G221" s="27">
        <f>+G222-G225</f>
        <v>47529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49158</v>
      </c>
      <c r="D222" s="1172">
        <f>+D223+D224</f>
        <v>46992</v>
      </c>
      <c r="E222" s="1172">
        <f>+E223+E224</f>
        <v>537</v>
      </c>
      <c r="F222" s="35">
        <f t="shared" ref="F222" si="70">+F223+F224</f>
        <v>47529</v>
      </c>
      <c r="G222" s="34">
        <f>+G223+G224</f>
        <v>47529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3">
        <f>+D76+D80</f>
        <v>329</v>
      </c>
      <c r="E223" s="1173">
        <f>+E76+E80</f>
        <v>0</v>
      </c>
      <c r="F223" s="15">
        <f t="shared" ref="F223" si="71">+F76+F80</f>
        <v>329</v>
      </c>
      <c r="G223" s="19">
        <f>+G76+G80</f>
        <v>329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49158</v>
      </c>
      <c r="D224" s="1173">
        <f>+D74+D75+D77+D78+D79+D81</f>
        <v>46663</v>
      </c>
      <c r="E224" s="1173">
        <f>+E74+E75+E77+E78+E79+E81</f>
        <v>537</v>
      </c>
      <c r="F224" s="15">
        <f t="shared" ref="F224" si="72">+F74+F75+F77+F78+F79+F81</f>
        <v>47200</v>
      </c>
      <c r="G224" s="19">
        <f>+G74+G75+G77+G78+G79+G81</f>
        <v>47200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10372</v>
      </c>
      <c r="D228" s="1171">
        <f>+D229-D232</f>
        <v>10372</v>
      </c>
      <c r="E228" s="1171">
        <f>+E229-E232</f>
        <v>0</v>
      </c>
      <c r="F228" s="29">
        <f t="shared" ref="F228" si="76">+F229-F232</f>
        <v>10372</v>
      </c>
      <c r="G228" s="27">
        <f>+G229-G232</f>
        <v>10372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10372</v>
      </c>
      <c r="D229" s="1172">
        <f>+D230+D231</f>
        <v>10372</v>
      </c>
      <c r="E229" s="1172">
        <f>+E230+E231</f>
        <v>0</v>
      </c>
      <c r="F229" s="35">
        <f t="shared" ref="F229" si="77">+F230+F231</f>
        <v>10372</v>
      </c>
      <c r="G229" s="34">
        <f>+G230+G231</f>
        <v>10372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10372</v>
      </c>
      <c r="D231" s="1173">
        <f>+D89+D90+D92+D93+D94+D96</f>
        <v>10372</v>
      </c>
      <c r="E231" s="1173">
        <f>+E89+E90+E92+E93+E94+E96</f>
        <v>0</v>
      </c>
      <c r="F231" s="15">
        <f t="shared" ref="F231" si="79">+F89+F90+F92+F93+F94+F96</f>
        <v>10372</v>
      </c>
      <c r="G231" s="19">
        <f>+G89+G90+G92+G93+G94+G96</f>
        <v>10372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5">
        <v>9</v>
      </c>
      <c r="D239" s="1278">
        <v>9</v>
      </c>
      <c r="E239" s="1278"/>
      <c r="F239" s="56">
        <f t="shared" ref="F239:F241" si="83">+D239+E239</f>
        <v>9</v>
      </c>
      <c r="G239" s="54">
        <v>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88">
        <f>+C239+C241</f>
        <v>9</v>
      </c>
      <c r="D242" s="1281">
        <f>+D239+D241</f>
        <v>9</v>
      </c>
      <c r="E242" s="1281">
        <f>+E239+E241</f>
        <v>0</v>
      </c>
      <c r="F242" s="62">
        <f t="shared" ref="F242" si="84">+F239+F241</f>
        <v>9</v>
      </c>
      <c r="G242" s="60">
        <f>+G239+G241</f>
        <v>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867</v>
      </c>
    </row>
    <row r="2" spans="1:11" s="50" customFormat="1" ht="15.75"/>
    <row r="3" spans="1:11" s="52" customFormat="1" ht="15.75">
      <c r="A3" s="1448" t="s">
        <v>859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/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20793</v>
      </c>
      <c r="D10" s="1170">
        <f>+D11+D25+D32+D44</f>
        <v>20793</v>
      </c>
      <c r="E10" s="1170">
        <f>+E11+E25+E32+E44</f>
        <v>0</v>
      </c>
      <c r="F10" s="130">
        <f t="shared" ref="F10" si="0">+F11+F25+F32+F44</f>
        <v>20793</v>
      </c>
      <c r="G10" s="31">
        <f>+G11+G25+G32+G44</f>
        <v>0</v>
      </c>
      <c r="H10" s="32">
        <f>+H11+H25+H32+H44</f>
        <v>20793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3240</v>
      </c>
      <c r="D11" s="1171">
        <f>+D12+D19+D20+D21+D22+D23</f>
        <v>3240</v>
      </c>
      <c r="E11" s="1171">
        <f>+E12+E19+E20+E21+E22+E23</f>
        <v>0</v>
      </c>
      <c r="F11" s="29">
        <f t="shared" ref="F11" si="1">+F12+F19+F20+F21+F22+F23</f>
        <v>3240</v>
      </c>
      <c r="G11" s="27">
        <f>+G12+G19+G20+G21+G22+G23</f>
        <v>0</v>
      </c>
      <c r="H11" s="28">
        <f>+H12+H19+H20+H21+H22+H23</f>
        <v>3240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/>
      <c r="D12" s="1172"/>
      <c r="E12" s="1172"/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3240</v>
      </c>
      <c r="D23" s="1175">
        <v>3240</v>
      </c>
      <c r="E23" s="1175"/>
      <c r="F23" s="23">
        <f t="shared" si="4"/>
        <v>3240</v>
      </c>
      <c r="G23" s="21"/>
      <c r="H23" s="22">
        <v>3240</v>
      </c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17553</v>
      </c>
      <c r="D25" s="1171">
        <f>+D26+D27+D28+D29+D30+D31</f>
        <v>17553</v>
      </c>
      <c r="E25" s="1171">
        <f>+E26+E27+E28+E29+E30+E31</f>
        <v>0</v>
      </c>
      <c r="F25" s="29">
        <f t="shared" ref="F25" si="5">+F26+F27+F28+F29+F30+F31</f>
        <v>17553</v>
      </c>
      <c r="G25" s="27">
        <f>+G26+G27+G28+G29+G30+G31</f>
        <v>0</v>
      </c>
      <c r="H25" s="28">
        <f>+H26+H27+H28+H29+H30+H31</f>
        <v>17553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17553</v>
      </c>
      <c r="D31" s="1175">
        <v>17553</v>
      </c>
      <c r="E31" s="1175"/>
      <c r="F31" s="23">
        <f t="shared" si="6"/>
        <v>17553</v>
      </c>
      <c r="G31" s="20"/>
      <c r="H31" s="11">
        <v>17553</v>
      </c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1">
        <f>+D33+D34+D35+D36+D37+D38+D39+D40+D41+D42+D43</f>
        <v>0</v>
      </c>
      <c r="E32" s="1171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4"/>
      <c r="E34" s="1174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20793</v>
      </c>
      <c r="D70" s="1171">
        <f>+D10+D50</f>
        <v>20793</v>
      </c>
      <c r="E70" s="1171">
        <f>+E10+E50</f>
        <v>0</v>
      </c>
      <c r="F70" s="29">
        <f t="shared" ref="F70" si="18">+F10+F50</f>
        <v>20793</v>
      </c>
      <c r="G70" s="27">
        <f>+G10+G50</f>
        <v>0</v>
      </c>
      <c r="H70" s="28">
        <f>+H10+H50</f>
        <v>20793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-1000</v>
      </c>
      <c r="D71" s="1171">
        <f>+D72</f>
        <v>24</v>
      </c>
      <c r="E71" s="1171">
        <f>+E72</f>
        <v>0</v>
      </c>
      <c r="F71" s="29">
        <f t="shared" ref="F71" si="19">+F72</f>
        <v>24</v>
      </c>
      <c r="G71" s="27">
        <f>+G72</f>
        <v>0</v>
      </c>
      <c r="H71" s="28">
        <f>+H72</f>
        <v>24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-1000</v>
      </c>
      <c r="D72" s="1171">
        <f>+D73+D83+D84+D85</f>
        <v>24</v>
      </c>
      <c r="E72" s="1171">
        <f>+E73+E83+E84+E85</f>
        <v>0</v>
      </c>
      <c r="F72" s="29">
        <f t="shared" ref="F72" si="20">+F73+F83+F84+F85</f>
        <v>24</v>
      </c>
      <c r="G72" s="27">
        <f>+G73+G83+G84+G85</f>
        <v>0</v>
      </c>
      <c r="H72" s="28">
        <f>+H73+H83+H84+H85</f>
        <v>24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-1000</v>
      </c>
      <c r="D73" s="1172">
        <f>+D74+D75+D76+D77+D78+D79+D80+D81+D82</f>
        <v>24</v>
      </c>
      <c r="E73" s="1172">
        <f>+E74+E75+E76+E77+E78+E79+E80+E81+E82</f>
        <v>0</v>
      </c>
      <c r="F73" s="35">
        <f t="shared" ref="F73" si="21">+F74+F75+F76+F77+F78+F79+F80+F81+F82</f>
        <v>24</v>
      </c>
      <c r="G73" s="34">
        <f>+G74+G75+G76+G77+G78+G79+G80+G81+G82</f>
        <v>0</v>
      </c>
      <c r="H73" s="10">
        <f>+H74+H75+H76+H77+H78+H79+H80+H81+H82</f>
        <v>24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3">
        <f>0+24</f>
        <v>24</v>
      </c>
      <c r="E76" s="1173"/>
      <c r="F76" s="15">
        <f t="shared" si="22"/>
        <v>24</v>
      </c>
      <c r="G76" s="19"/>
      <c r="H76" s="12">
        <v>24</v>
      </c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-1000</v>
      </c>
      <c r="D79" s="1173">
        <f t="shared" si="24"/>
        <v>0</v>
      </c>
      <c r="E79" s="1173">
        <f t="shared" si="24"/>
        <v>0</v>
      </c>
      <c r="F79" s="15">
        <f t="shared" si="24"/>
        <v>0</v>
      </c>
      <c r="G79" s="19">
        <f>+G109-G10+G178-G74-G75-G76-G77-G78-G80-G81-G83-G84-G85</f>
        <v>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1000</v>
      </c>
      <c r="D86" s="1171">
        <f>+D87</f>
        <v>0</v>
      </c>
      <c r="E86" s="1171">
        <f>+E87</f>
        <v>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1000</v>
      </c>
      <c r="D87" s="1171">
        <f>+D88+D98+D99+D100</f>
        <v>0</v>
      </c>
      <c r="E87" s="1171">
        <f>+E88+E98+E99+E100</f>
        <v>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1000</v>
      </c>
      <c r="D88" s="1172">
        <f>+D89+D90+D91+D92+D93+D94+D95+D96+D97</f>
        <v>0</v>
      </c>
      <c r="E88" s="1172">
        <f>+E89+E90+E91+E92+E93+E94+E95+E96+E97</f>
        <v>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1000</v>
      </c>
      <c r="D94" s="1173">
        <f t="shared" si="30"/>
        <v>0</v>
      </c>
      <c r="E94" s="1173">
        <f t="shared" si="30"/>
        <v>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0</v>
      </c>
      <c r="D101" s="1171">
        <f>+D71+D86</f>
        <v>24</v>
      </c>
      <c r="E101" s="1171">
        <f>+E71+E86</f>
        <v>0</v>
      </c>
      <c r="F101" s="29">
        <f t="shared" ref="F101" si="32">+F71+F86</f>
        <v>24</v>
      </c>
      <c r="G101" s="27">
        <f>+G71+G86</f>
        <v>0</v>
      </c>
      <c r="H101" s="28">
        <f>+H71+H86</f>
        <v>24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20793</v>
      </c>
      <c r="D102" s="1182">
        <f>+D70+D101</f>
        <v>20817</v>
      </c>
      <c r="E102" s="1182">
        <f>+E70+E101</f>
        <v>0</v>
      </c>
      <c r="F102" s="26">
        <f t="shared" ref="F102" si="33">+F70+F101</f>
        <v>20817</v>
      </c>
      <c r="G102" s="24">
        <f>+G70+G101</f>
        <v>0</v>
      </c>
      <c r="H102" s="25">
        <f>+H70+H101</f>
        <v>20817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19793</v>
      </c>
      <c r="D109" s="1171">
        <f>+D110+D114+D116+D123+D132</f>
        <v>20817</v>
      </c>
      <c r="E109" s="1171">
        <f>+E110+E114+E116+E123+E132</f>
        <v>0</v>
      </c>
      <c r="F109" s="29">
        <f t="shared" ref="F109" si="34">+F110+F114+F116+F123+F132</f>
        <v>20817</v>
      </c>
      <c r="G109" s="27">
        <f>+G110+G114+G116+G123+G132</f>
        <v>0</v>
      </c>
      <c r="H109" s="28">
        <f>+H110+H114+H116+H123+H132</f>
        <v>20817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9352</v>
      </c>
      <c r="D110" s="1171">
        <f>+D112+D113</f>
        <v>9352</v>
      </c>
      <c r="E110" s="1171">
        <f>+E112+E113</f>
        <v>0</v>
      </c>
      <c r="F110" s="29">
        <f t="shared" ref="F110" si="35">+F112+F113</f>
        <v>9352</v>
      </c>
      <c r="G110" s="27">
        <f>+G112+G113</f>
        <v>0</v>
      </c>
      <c r="H110" s="28">
        <f>+H112+H113</f>
        <v>9352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9352</v>
      </c>
      <c r="D112" s="1172">
        <v>9352</v>
      </c>
      <c r="E112" s="1172"/>
      <c r="F112" s="35">
        <f t="shared" si="36"/>
        <v>9352</v>
      </c>
      <c r="G112" s="34"/>
      <c r="H112" s="10">
        <v>9352</v>
      </c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5"/>
      <c r="E113" s="1175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1371</v>
      </c>
      <c r="D114" s="1171">
        <v>1371</v>
      </c>
      <c r="E114" s="1171"/>
      <c r="F114" s="29">
        <f t="shared" si="36"/>
        <v>1371</v>
      </c>
      <c r="G114" s="27"/>
      <c r="H114" s="28">
        <v>1371</v>
      </c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1056</v>
      </c>
      <c r="D116" s="1171">
        <f>+D118+D119+D120+D121+D122</f>
        <v>1056</v>
      </c>
      <c r="E116" s="1171">
        <f>+E118+E119+E120+E121+E122</f>
        <v>0</v>
      </c>
      <c r="F116" s="29">
        <f t="shared" ref="F116" si="37">+F118+F119+F120+F121+F122</f>
        <v>1056</v>
      </c>
      <c r="G116" s="27">
        <f>+G118+G119+G120+G121+G122</f>
        <v>0</v>
      </c>
      <c r="H116" s="28">
        <f>+H118+H119+H120+H121+H122</f>
        <v>1056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374</v>
      </c>
      <c r="D118" s="1172">
        <v>374</v>
      </c>
      <c r="E118" s="1172"/>
      <c r="F118" s="35">
        <f t="shared" si="38"/>
        <v>374</v>
      </c>
      <c r="G118" s="34"/>
      <c r="H118" s="10">
        <v>374</v>
      </c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142</v>
      </c>
      <c r="D119" s="1174">
        <v>142</v>
      </c>
      <c r="E119" s="1174"/>
      <c r="F119" s="16">
        <f t="shared" si="38"/>
        <v>142</v>
      </c>
      <c r="G119" s="20"/>
      <c r="H119" s="11">
        <v>142</v>
      </c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326</v>
      </c>
      <c r="D120" s="1174">
        <v>326</v>
      </c>
      <c r="E120" s="1174"/>
      <c r="F120" s="16">
        <f t="shared" si="38"/>
        <v>326</v>
      </c>
      <c r="G120" s="20"/>
      <c r="H120" s="11">
        <v>326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4"/>
      <c r="E121" s="1174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214</v>
      </c>
      <c r="D122" s="1175">
        <v>214</v>
      </c>
      <c r="E122" s="1175"/>
      <c r="F122" s="39">
        <f t="shared" si="38"/>
        <v>214</v>
      </c>
      <c r="G122" s="21"/>
      <c r="H122" s="22">
        <v>214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8014</v>
      </c>
      <c r="D132" s="1171">
        <f>+D133+D134+D135+D136+D137+D138+D140+D141+D142+D143+D144+D145+D146</f>
        <v>9038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9038</v>
      </c>
      <c r="G132" s="27">
        <f>+G133+G134+G135+G136+G137+G138+G140+G141+G142+G143+G144+G145+G146</f>
        <v>0</v>
      </c>
      <c r="H132" s="28">
        <f>+H133+H134+H135+H136+H137+H138+H140+H141+H142+H143+H144+H145+H146</f>
        <v>9038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8014</v>
      </c>
      <c r="D134" s="1174">
        <f>8014+1000+24</f>
        <v>9038</v>
      </c>
      <c r="E134" s="1174"/>
      <c r="F134" s="16">
        <f t="shared" si="42"/>
        <v>9038</v>
      </c>
      <c r="G134" s="20"/>
      <c r="H134" s="11">
        <f>8014+1000+24</f>
        <v>9038</v>
      </c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1000</v>
      </c>
      <c r="D149" s="1171">
        <f>+D150+D159+D165</f>
        <v>0</v>
      </c>
      <c r="E149" s="1171">
        <f>+E150+E159+E165</f>
        <v>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1000</v>
      </c>
      <c r="D150" s="1171">
        <f>+D152+D153+D154+D155+D156+D157+D158</f>
        <v>0</v>
      </c>
      <c r="E150" s="1171">
        <f>+E152+E153+E154+E155+E156+E157+E158</f>
        <v>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787</v>
      </c>
      <c r="D155" s="1174">
        <v>0</v>
      </c>
      <c r="E155" s="1174"/>
      <c r="F155" s="16">
        <f t="shared" si="48"/>
        <v>0</v>
      </c>
      <c r="G155" s="20"/>
      <c r="H155" s="11">
        <f>787-787</f>
        <v>0</v>
      </c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213</v>
      </c>
      <c r="D158" s="1175">
        <v>0</v>
      </c>
      <c r="E158" s="1175"/>
      <c r="F158" s="23">
        <f t="shared" si="48"/>
        <v>0</v>
      </c>
      <c r="G158" s="21"/>
      <c r="H158" s="22">
        <f>213-213</f>
        <v>0</v>
      </c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20793</v>
      </c>
      <c r="D176" s="1171">
        <f>+D109+D149</f>
        <v>20817</v>
      </c>
      <c r="E176" s="1171">
        <f>+E109+E149</f>
        <v>0</v>
      </c>
      <c r="F176" s="29">
        <f t="shared" ref="F176" si="53">+F109+F149</f>
        <v>20817</v>
      </c>
      <c r="G176" s="27">
        <f>+G109+G149</f>
        <v>0</v>
      </c>
      <c r="H176" s="28">
        <f>+H109+H149</f>
        <v>20817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20793</v>
      </c>
      <c r="D208" s="1182">
        <f>+D176+D207</f>
        <v>20817</v>
      </c>
      <c r="E208" s="1182">
        <f>+E176+E207</f>
        <v>0</v>
      </c>
      <c r="F208" s="26">
        <f t="shared" ref="F208" si="64">+F176+F207</f>
        <v>20817</v>
      </c>
      <c r="G208" s="24">
        <f>+G176+G207</f>
        <v>0</v>
      </c>
      <c r="H208" s="25">
        <f>+H176+H207</f>
        <v>20817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0</v>
      </c>
      <c r="D213" s="1171">
        <f>+D214+D215</f>
        <v>-24</v>
      </c>
      <c r="E213" s="1171">
        <f>+E214+E215</f>
        <v>0</v>
      </c>
      <c r="F213" s="29">
        <f t="shared" ref="F213" si="65">+F214+F215</f>
        <v>-24</v>
      </c>
      <c r="G213" s="27">
        <f>+G214+G215</f>
        <v>0</v>
      </c>
      <c r="H213" s="28">
        <f>+H214+H215</f>
        <v>-24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1000</v>
      </c>
      <c r="D214" s="1172">
        <f>+D10-D109</f>
        <v>-24</v>
      </c>
      <c r="E214" s="1172">
        <f>+E10-E109</f>
        <v>0</v>
      </c>
      <c r="F214" s="35">
        <f t="shared" ref="F214" si="66">+F10-F109</f>
        <v>-24</v>
      </c>
      <c r="G214" s="34">
        <f>+G10-G109</f>
        <v>0</v>
      </c>
      <c r="H214" s="10">
        <f>+H10-H109</f>
        <v>-24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-1000</v>
      </c>
      <c r="D215" s="1189">
        <f>+D50-D149</f>
        <v>0</v>
      </c>
      <c r="E215" s="1189">
        <f>+E50-E149</f>
        <v>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0</v>
      </c>
      <c r="D220" s="1171">
        <f>+D221+D228</f>
        <v>24</v>
      </c>
      <c r="E220" s="1171">
        <f>+E221+E228</f>
        <v>0</v>
      </c>
      <c r="F220" s="29">
        <f t="shared" ref="F220" si="68">+F221+F228</f>
        <v>24</v>
      </c>
      <c r="G220" s="27">
        <f>+G221+G228</f>
        <v>0</v>
      </c>
      <c r="H220" s="28">
        <f>+H221+H228</f>
        <v>24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-1000</v>
      </c>
      <c r="D221" s="1171">
        <f>+D222-D225</f>
        <v>24</v>
      </c>
      <c r="E221" s="1171">
        <f>+E222-E225</f>
        <v>0</v>
      </c>
      <c r="F221" s="29">
        <f t="shared" ref="F221" si="69">+F222-F225</f>
        <v>24</v>
      </c>
      <c r="G221" s="27">
        <f>+G222-G225</f>
        <v>0</v>
      </c>
      <c r="H221" s="28">
        <f>+H222-H225</f>
        <v>24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-1000</v>
      </c>
      <c r="D222" s="1172">
        <f>+D223+D224</f>
        <v>24</v>
      </c>
      <c r="E222" s="1172">
        <f>+E223+E224</f>
        <v>0</v>
      </c>
      <c r="F222" s="35">
        <f t="shared" ref="F222" si="70">+F223+F224</f>
        <v>24</v>
      </c>
      <c r="G222" s="34">
        <f>+G223+G224</f>
        <v>0</v>
      </c>
      <c r="H222" s="10">
        <f>+H223+H224</f>
        <v>24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3">
        <f>+D76+D80</f>
        <v>24</v>
      </c>
      <c r="E223" s="1173">
        <f>+E76+E80</f>
        <v>0</v>
      </c>
      <c r="F223" s="15">
        <f t="shared" ref="F223" si="71">+F76+F80</f>
        <v>24</v>
      </c>
      <c r="G223" s="19">
        <f>+G76+G80</f>
        <v>0</v>
      </c>
      <c r="H223" s="12">
        <f>+H76+H80</f>
        <v>24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-1000</v>
      </c>
      <c r="D224" s="1173">
        <f>+D74+D75+D77+D78+D79+D81</f>
        <v>0</v>
      </c>
      <c r="E224" s="1173">
        <f>+E74+E75+E77+E78+E79+E81</f>
        <v>0</v>
      </c>
      <c r="F224" s="15">
        <f t="shared" ref="F224" si="72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1000</v>
      </c>
      <c r="D228" s="1171">
        <f>+D229-D232</f>
        <v>0</v>
      </c>
      <c r="E228" s="1171">
        <f>+E229-E232</f>
        <v>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1000</v>
      </c>
      <c r="D229" s="1172">
        <f>+D230+D231</f>
        <v>0</v>
      </c>
      <c r="E229" s="1172">
        <f>+E230+E231</f>
        <v>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1000</v>
      </c>
      <c r="D231" s="1173">
        <f>+D89+D90+D92+D93+D94+D96</f>
        <v>0</v>
      </c>
      <c r="E231" s="1173">
        <f>+E89+E90+E92+E93+E94+E96</f>
        <v>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5">
        <v>3</v>
      </c>
      <c r="D239" s="1278">
        <v>3</v>
      </c>
      <c r="E239" s="1278"/>
      <c r="F239" s="56">
        <f t="shared" ref="F239:F241" si="83">+D239+E239</f>
        <v>3</v>
      </c>
      <c r="G239" s="54"/>
      <c r="H239" s="55">
        <v>3</v>
      </c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88">
        <f>+C239+C241</f>
        <v>3</v>
      </c>
      <c r="D242" s="1281">
        <f>+D239+D241</f>
        <v>3</v>
      </c>
      <c r="E242" s="1281"/>
      <c r="F242" s="62">
        <f t="shared" ref="F242" si="84">+F239+F241</f>
        <v>3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 t="shared" si="62"/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3"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1072</v>
      </c>
    </row>
    <row r="2" spans="1:11" s="50" customFormat="1" ht="15.75"/>
    <row r="3" spans="1:11" s="52" customFormat="1" ht="15.75">
      <c r="A3" s="1448" t="s">
        <v>1071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/>
    <row r="6" spans="1:11" s="52" customFormat="1" ht="15.7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0</v>
      </c>
      <c r="D10" s="1170">
        <f>+D11+D25+D32+D44</f>
        <v>0</v>
      </c>
      <c r="E10" s="1170">
        <f>+E11+E25+E32+E44</f>
        <v>0</v>
      </c>
      <c r="F10" s="130">
        <f t="shared" ref="F10" si="0">+F11+F25+F32+F44</f>
        <v>0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1">
        <f>+D33+D34+D35+D36+D37+D38+D39+D40+D41+D42+D43</f>
        <v>0</v>
      </c>
      <c r="E32" s="1171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4"/>
      <c r="E34" s="1174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0</v>
      </c>
      <c r="D70" s="1171">
        <f>+D10+D50</f>
        <v>0</v>
      </c>
      <c r="E70" s="1171">
        <f>+E10+E50</f>
        <v>0</v>
      </c>
      <c r="F70" s="29">
        <f t="shared" ref="F70" si="18">+F10+F50</f>
        <v>0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83600</v>
      </c>
      <c r="D71" s="1171">
        <f>+D72</f>
        <v>95721</v>
      </c>
      <c r="E71" s="1171">
        <f>+E72</f>
        <v>5065</v>
      </c>
      <c r="F71" s="29">
        <f t="shared" ref="F71" si="19">+F72</f>
        <v>100786</v>
      </c>
      <c r="G71" s="27">
        <f>+G72</f>
        <v>100786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83600</v>
      </c>
      <c r="D72" s="1171">
        <f>+D73+D83+D84+D85</f>
        <v>95721</v>
      </c>
      <c r="E72" s="1171">
        <f>+E73+E83+E84+E85</f>
        <v>5065</v>
      </c>
      <c r="F72" s="29">
        <f t="shared" ref="F72" si="20">+F73+F83+F84+F85</f>
        <v>100786</v>
      </c>
      <c r="G72" s="27">
        <f>+G73+G83+G84+G85</f>
        <v>100786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83600</v>
      </c>
      <c r="D73" s="1172">
        <f>+D74+D75+D76+D77+D78+D79+D80+D81+D82</f>
        <v>95721</v>
      </c>
      <c r="E73" s="1172">
        <f>+E74+E75+E76+E77+E78+E79+E80+E81+E82</f>
        <v>5065</v>
      </c>
      <c r="F73" s="35">
        <f t="shared" ref="F73" si="21">+F74+F75+F76+F77+F78+F79+F80+F81+F82</f>
        <v>100786</v>
      </c>
      <c r="G73" s="34">
        <f>+G74+G75+G76+G77+G78+G79+G80+G81+G82</f>
        <v>100786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3">
        <f>0+40</f>
        <v>40</v>
      </c>
      <c r="E76" s="1173"/>
      <c r="F76" s="15">
        <f t="shared" si="22"/>
        <v>40</v>
      </c>
      <c r="G76" s="19">
        <v>40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83600</v>
      </c>
      <c r="D79" s="1173">
        <f t="shared" si="24"/>
        <v>95681</v>
      </c>
      <c r="E79" s="1173">
        <f t="shared" si="24"/>
        <v>5065</v>
      </c>
      <c r="F79" s="15">
        <f t="shared" si="24"/>
        <v>100746</v>
      </c>
      <c r="G79" s="19">
        <f>+G109-G10+G178-G74-G75-G76-G77-G78-G80-G81-G83-G84-G85</f>
        <v>100746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0</v>
      </c>
      <c r="D86" s="1171">
        <f>+D87</f>
        <v>0</v>
      </c>
      <c r="E86" s="1171">
        <f>+E87</f>
        <v>12598</v>
      </c>
      <c r="F86" s="29">
        <f t="shared" ref="F86" si="26">+F87</f>
        <v>12598</v>
      </c>
      <c r="G86" s="27">
        <f>+G87</f>
        <v>12598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0</v>
      </c>
      <c r="D87" s="1171">
        <f>+D88+D98+D99+D100</f>
        <v>0</v>
      </c>
      <c r="E87" s="1171">
        <f>+E88+E98+E99+E100</f>
        <v>12598</v>
      </c>
      <c r="F87" s="29">
        <f t="shared" ref="F87" si="27">+F88+F98+F99+F100</f>
        <v>12598</v>
      </c>
      <c r="G87" s="27">
        <f>+G88+G98+G99+G100</f>
        <v>12598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0</v>
      </c>
      <c r="D88" s="1172">
        <f>+D89+D90+D91+D92+D93+D94+D95+D96+D97</f>
        <v>0</v>
      </c>
      <c r="E88" s="1172">
        <f>+E89+E90+E91+E92+E93+E94+E95+E96+E97</f>
        <v>12598</v>
      </c>
      <c r="F88" s="35">
        <f t="shared" ref="F88" si="28">+F89+F90+F91+F92+F93+F94+F95+F96+F97</f>
        <v>12598</v>
      </c>
      <c r="G88" s="34">
        <f>+G89+G90+G91+G92+G93+G94+G95+G96+G97</f>
        <v>12598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0</v>
      </c>
      <c r="D94" s="1173">
        <f t="shared" si="30"/>
        <v>0</v>
      </c>
      <c r="E94" s="1173">
        <f t="shared" si="30"/>
        <v>12598</v>
      </c>
      <c r="F94" s="15">
        <f t="shared" si="30"/>
        <v>12598</v>
      </c>
      <c r="G94" s="19">
        <f>+G149-G50+G192-G89-G90-G91-G92-G93-G95-G96-G98-G99-G100</f>
        <v>12598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83600</v>
      </c>
      <c r="D101" s="1171">
        <f>+D71+D86</f>
        <v>95721</v>
      </c>
      <c r="E101" s="1171">
        <f>+E71+E86</f>
        <v>17663</v>
      </c>
      <c r="F101" s="29">
        <f t="shared" ref="F101" si="32">+F71+F86</f>
        <v>113384</v>
      </c>
      <c r="G101" s="27">
        <f>+G71+G86</f>
        <v>113384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83600</v>
      </c>
      <c r="D102" s="1182">
        <f>+D70+D101</f>
        <v>95721</v>
      </c>
      <c r="E102" s="1182">
        <f>+E70+E101</f>
        <v>17663</v>
      </c>
      <c r="F102" s="26">
        <f t="shared" ref="F102" si="33">+F70+F101</f>
        <v>113384</v>
      </c>
      <c r="G102" s="24">
        <f>+G70+G101</f>
        <v>113384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83600</v>
      </c>
      <c r="D109" s="1171">
        <f>+D110+D114+D116+D123+D132</f>
        <v>95721</v>
      </c>
      <c r="E109" s="1171">
        <f>+E110+E114+E116+E123+E132</f>
        <v>5065</v>
      </c>
      <c r="F109" s="29">
        <f t="shared" ref="F109" si="34">+F110+F114+F116+F123+F132</f>
        <v>100786</v>
      </c>
      <c r="G109" s="27">
        <f>+G110+G114+G116+G123+G132</f>
        <v>100786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61539</v>
      </c>
      <c r="D110" s="1171">
        <f>+D112+D113</f>
        <v>71872</v>
      </c>
      <c r="E110" s="1171">
        <f>+E112+E113</f>
        <v>4385</v>
      </c>
      <c r="F110" s="29">
        <f t="shared" ref="F110" si="35">+F112+F113</f>
        <v>76257</v>
      </c>
      <c r="G110" s="27">
        <f>+G112+G113</f>
        <v>76257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24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1217">
        <v>61239</v>
      </c>
      <c r="D112" s="1172">
        <f>(61239+(5905+77))+(4320+31)</f>
        <v>71572</v>
      </c>
      <c r="E112" s="1172">
        <f>31+4354</f>
        <v>4385</v>
      </c>
      <c r="F112" s="35">
        <f t="shared" si="36"/>
        <v>75957</v>
      </c>
      <c r="G112" s="34">
        <f>61239+5982+4351+4385</f>
        <v>75957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74">
        <v>300</v>
      </c>
      <c r="D113" s="1175">
        <v>300</v>
      </c>
      <c r="E113" s="1175"/>
      <c r="F113" s="23">
        <f t="shared" si="36"/>
        <v>300</v>
      </c>
      <c r="G113" s="21">
        <v>300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15">
        <v>10823</v>
      </c>
      <c r="D114" s="1171">
        <f>(10823+(1033+13))+(697+5)</f>
        <v>12571</v>
      </c>
      <c r="E114" s="1171">
        <f>675+5</f>
        <v>680</v>
      </c>
      <c r="F114" s="29">
        <f t="shared" si="36"/>
        <v>13251</v>
      </c>
      <c r="G114" s="27">
        <f>10823+1046+702+680</f>
        <v>13251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11238</v>
      </c>
      <c r="D116" s="1171">
        <f>+D118+D119+D120+D121+D122</f>
        <v>11238</v>
      </c>
      <c r="E116" s="1171">
        <f>+E118+E119+E120+E121+E122</f>
        <v>0</v>
      </c>
      <c r="F116" s="29">
        <f t="shared" ref="F116" si="37">+F118+F119+F120+F121+F122</f>
        <v>11238</v>
      </c>
      <c r="G116" s="27">
        <f>+G118+G119+G120+G121+G122</f>
        <v>11238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1217">
        <v>1240</v>
      </c>
      <c r="D118" s="1172">
        <v>1240</v>
      </c>
      <c r="E118" s="1172"/>
      <c r="F118" s="35">
        <f t="shared" si="38"/>
        <v>1240</v>
      </c>
      <c r="G118" s="34">
        <v>1240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75">
        <v>1550</v>
      </c>
      <c r="D119" s="1174">
        <v>1550</v>
      </c>
      <c r="E119" s="1174"/>
      <c r="F119" s="16">
        <f t="shared" si="38"/>
        <v>1550</v>
      </c>
      <c r="G119" s="20">
        <v>1550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75">
        <v>6400</v>
      </c>
      <c r="D120" s="1174">
        <v>6400</v>
      </c>
      <c r="E120" s="1174"/>
      <c r="F120" s="16">
        <f t="shared" si="38"/>
        <v>6400</v>
      </c>
      <c r="G120" s="20">
        <v>6400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75">
        <v>1000</v>
      </c>
      <c r="D121" s="1174">
        <v>1000</v>
      </c>
      <c r="E121" s="1174"/>
      <c r="F121" s="16">
        <f t="shared" si="38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77">
        <v>1048</v>
      </c>
      <c r="D122" s="1189">
        <v>1048</v>
      </c>
      <c r="E122" s="1189"/>
      <c r="F122" s="39">
        <f t="shared" si="38"/>
        <v>1048</v>
      </c>
      <c r="G122" s="21">
        <v>1048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40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40</v>
      </c>
      <c r="G132" s="27">
        <f>+G133+G134+G135+G136+G137+G138+G140+G141+G142+G143+G144+G145+G146</f>
        <v>40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4">
        <f>0+40</f>
        <v>40</v>
      </c>
      <c r="E134" s="1174"/>
      <c r="F134" s="16">
        <f t="shared" si="42"/>
        <v>40</v>
      </c>
      <c r="G134" s="20">
        <v>40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0</v>
      </c>
      <c r="D149" s="1171">
        <f>+D150+D159+D165</f>
        <v>0</v>
      </c>
      <c r="E149" s="1171">
        <f>+E150+E159+E165</f>
        <v>12598</v>
      </c>
      <c r="F149" s="29">
        <f t="shared" ref="F149" si="46">+F150+F159+F165</f>
        <v>12598</v>
      </c>
      <c r="G149" s="27">
        <f>+G150+G159+G165</f>
        <v>12598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0</v>
      </c>
      <c r="D150" s="1171">
        <f>+D152+D153+D154+D155+D156+D157+D158</f>
        <v>0</v>
      </c>
      <c r="E150" s="1171">
        <f>+E152+E153+E154+E155+E156+E157+E158</f>
        <v>12598</v>
      </c>
      <c r="F150" s="29">
        <f t="shared" ref="F150" si="47">+F152+F153+F154+F155+F156+F157+F158</f>
        <v>12598</v>
      </c>
      <c r="G150" s="27">
        <f>+G152+G153+G154+G155+G156+G157+G158</f>
        <v>12598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/>
      <c r="D155" s="1174"/>
      <c r="E155" s="1174">
        <v>9920</v>
      </c>
      <c r="F155" s="16">
        <f t="shared" si="48"/>
        <v>9920</v>
      </c>
      <c r="G155" s="20">
        <v>9920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/>
      <c r="D158" s="1175"/>
      <c r="E158" s="1175">
        <v>2678</v>
      </c>
      <c r="F158" s="23">
        <f t="shared" si="48"/>
        <v>2678</v>
      </c>
      <c r="G158" s="21">
        <v>2678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83600</v>
      </c>
      <c r="D176" s="1171">
        <f>+D109+D149</f>
        <v>95721</v>
      </c>
      <c r="E176" s="1171">
        <f>+E109+E149</f>
        <v>17663</v>
      </c>
      <c r="F176" s="29">
        <f t="shared" ref="F176" si="53">+F109+F149</f>
        <v>113384</v>
      </c>
      <c r="G176" s="27">
        <f>+G109+G149</f>
        <v>113384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83600</v>
      </c>
      <c r="D208" s="1182">
        <f>+D176+D207</f>
        <v>95721</v>
      </c>
      <c r="E208" s="1182">
        <f>+E176+E207</f>
        <v>17663</v>
      </c>
      <c r="F208" s="26">
        <f t="shared" ref="F208" si="64">+F176+F207</f>
        <v>113384</v>
      </c>
      <c r="G208" s="24">
        <f>+G176+G207</f>
        <v>113384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-83600</v>
      </c>
      <c r="D213" s="1171">
        <f>+D214+D215</f>
        <v>-95721</v>
      </c>
      <c r="E213" s="1171">
        <f>+E214+E215</f>
        <v>-17663</v>
      </c>
      <c r="F213" s="29">
        <f t="shared" ref="F213" si="65">+F214+F215</f>
        <v>-113384</v>
      </c>
      <c r="G213" s="27">
        <f>+G214+G215</f>
        <v>-113384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-83600</v>
      </c>
      <c r="D214" s="1172">
        <f>+D10-D109</f>
        <v>-95721</v>
      </c>
      <c r="E214" s="1172">
        <f>+E10-E109</f>
        <v>-5065</v>
      </c>
      <c r="F214" s="35">
        <f t="shared" ref="F214" si="66">+F10-F109</f>
        <v>-100786</v>
      </c>
      <c r="G214" s="34">
        <f>+G10-G109</f>
        <v>-100786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0</v>
      </c>
      <c r="D215" s="1189">
        <f>+D50-D149</f>
        <v>0</v>
      </c>
      <c r="E215" s="1189">
        <f>+E50-E149</f>
        <v>-12598</v>
      </c>
      <c r="F215" s="39">
        <f t="shared" ref="F215" si="67">+F50-F149</f>
        <v>-12598</v>
      </c>
      <c r="G215" s="40">
        <f>+G50-G149</f>
        <v>-12598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83600</v>
      </c>
      <c r="D220" s="1171">
        <f>+D221+D228</f>
        <v>95721</v>
      </c>
      <c r="E220" s="1171">
        <f>+E221+E228</f>
        <v>17663</v>
      </c>
      <c r="F220" s="29">
        <f t="shared" ref="F220" si="68">+F221+F228</f>
        <v>113384</v>
      </c>
      <c r="G220" s="27">
        <f>+G221+G228</f>
        <v>113384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83600</v>
      </c>
      <c r="D221" s="1171">
        <f>+D222-D225</f>
        <v>95721</v>
      </c>
      <c r="E221" s="1171">
        <f>+E222-E225</f>
        <v>5065</v>
      </c>
      <c r="F221" s="29">
        <f t="shared" ref="F221" si="69">+F222-F225</f>
        <v>100786</v>
      </c>
      <c r="G221" s="27">
        <f>+G222-G225</f>
        <v>100786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83600</v>
      </c>
      <c r="D222" s="1172">
        <f>+D223+D224</f>
        <v>95721</v>
      </c>
      <c r="E222" s="1172">
        <f>+E223+E224</f>
        <v>5065</v>
      </c>
      <c r="F222" s="35">
        <f t="shared" ref="F222" si="70">+F223+F224</f>
        <v>100786</v>
      </c>
      <c r="G222" s="34">
        <f>+G223+G224</f>
        <v>100786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3">
        <f>+D76+D80</f>
        <v>40</v>
      </c>
      <c r="E223" s="1173">
        <f>+E76+E80</f>
        <v>0</v>
      </c>
      <c r="F223" s="15">
        <f t="shared" ref="F223" si="71">+F76+F80</f>
        <v>40</v>
      </c>
      <c r="G223" s="19">
        <f>+G76+G80</f>
        <v>40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83600</v>
      </c>
      <c r="D224" s="1173">
        <f>+D74+D75+D77+D78+D79+D81</f>
        <v>95681</v>
      </c>
      <c r="E224" s="1173">
        <f>+E74+E75+E77+E78+E79+E81</f>
        <v>5065</v>
      </c>
      <c r="F224" s="15">
        <f t="shared" ref="F224" si="72">+F74+F75+F77+F78+F79+F81</f>
        <v>100746</v>
      </c>
      <c r="G224" s="19">
        <f>+G74+G75+G77+G78+G79+G81</f>
        <v>100746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0</v>
      </c>
      <c r="D228" s="1171">
        <f>+D229-D232</f>
        <v>0</v>
      </c>
      <c r="E228" s="1171">
        <f>+E229-E232</f>
        <v>12598</v>
      </c>
      <c r="F228" s="29">
        <f t="shared" ref="F228" si="76">+F229-F232</f>
        <v>12598</v>
      </c>
      <c r="G228" s="27">
        <f>+G229-G232</f>
        <v>12598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0</v>
      </c>
      <c r="D229" s="1172">
        <f>+D230+D231</f>
        <v>0</v>
      </c>
      <c r="E229" s="1172">
        <f>+E230+E231</f>
        <v>12598</v>
      </c>
      <c r="F229" s="35">
        <f t="shared" ref="F229" si="77">+F230+F231</f>
        <v>12598</v>
      </c>
      <c r="G229" s="34">
        <f>+G230+G231</f>
        <v>12598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0</v>
      </c>
      <c r="D231" s="1173">
        <f>+D89+D90+D92+D93+D94+D96</f>
        <v>0</v>
      </c>
      <c r="E231" s="1173">
        <f>+E89+E90+E92+E93+E94+E96</f>
        <v>12598</v>
      </c>
      <c r="F231" s="15">
        <f t="shared" ref="F231" si="79">+F89+F90+F92+F93+F94+F96</f>
        <v>12598</v>
      </c>
      <c r="G231" s="19">
        <f>+G89+G90+G92+G93+G94+G96</f>
        <v>12598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5">
        <v>22</v>
      </c>
      <c r="D239" s="1278">
        <v>22</v>
      </c>
      <c r="E239" s="1278"/>
      <c r="F239" s="56">
        <f t="shared" ref="F239:F241" si="83">+D239+E239</f>
        <v>22</v>
      </c>
      <c r="G239" s="54">
        <v>22</v>
      </c>
      <c r="H239" s="55"/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88">
        <f>+C239+C241</f>
        <v>22</v>
      </c>
      <c r="D242" s="1281">
        <f>+D239+D241</f>
        <v>22</v>
      </c>
      <c r="E242" s="1281">
        <f>+E239+E241</f>
        <v>0</v>
      </c>
      <c r="F242" s="62">
        <f t="shared" ref="F242" si="84">+F239+F241</f>
        <v>22</v>
      </c>
      <c r="G242" s="60">
        <f>+G239+G241</f>
        <v>22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Kimutatás201212..</vt:lpstr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'16.mell_Étkezésdíj2020'!Nyomtatási_terület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  <vt:lpstr>Kimutatás201212..!Nyomtatási_terület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Bettenbuk Mária</cp:lastModifiedBy>
  <cp:lastPrinted>2020-12-22T15:42:48Z</cp:lastPrinted>
  <dcterms:created xsi:type="dcterms:W3CDTF">1998-12-06T10:54:59Z</dcterms:created>
  <dcterms:modified xsi:type="dcterms:W3CDTF">2021-03-26T08:44:16Z</dcterms:modified>
</cp:coreProperties>
</file>