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ksik\1 képviselő testület\jegyzőkönyvek\2019\rendeletek\"/>
    </mc:Choice>
  </mc:AlternateContent>
  <xr:revisionPtr revIDLastSave="0" documentId="8_{97A32D0F-8EA0-4AB3-BB17-3CAD675B31B1}" xr6:coauthVersionLast="41" xr6:coauthVersionMax="41" xr10:uidLastSave="{00000000-0000-0000-0000-000000000000}"/>
  <bookViews>
    <workbookView xWindow="-120" yWindow="-120" windowWidth="19440" windowHeight="15000" tabRatio="701" xr2:uid="{00000000-000D-0000-FFFF-FFFF00000000}"/>
  </bookViews>
  <sheets>
    <sheet name="ÖSSZESÍTŐ" sheetId="4" r:id="rId1"/>
    <sheet name="Óvoda" sheetId="2" r:id="rId2"/>
    <sheet name="Konyha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G13" i="2"/>
  <c r="H12" i="2"/>
  <c r="D16" i="4" s="1"/>
  <c r="F16" i="4" s="1"/>
  <c r="E17" i="4"/>
  <c r="F27" i="2" l="1"/>
  <c r="D21" i="2"/>
  <c r="D29" i="2" l="1"/>
  <c r="D17" i="2"/>
  <c r="D27" i="2" s="1"/>
  <c r="E41" i="2" l="1"/>
  <c r="E48" i="2" s="1"/>
  <c r="E49" i="2" s="1"/>
  <c r="F30" i="3"/>
  <c r="E30" i="3"/>
  <c r="G42" i="3"/>
  <c r="G30" i="3"/>
  <c r="F25" i="3"/>
  <c r="G25" i="3"/>
  <c r="E25" i="3"/>
  <c r="I23" i="3"/>
  <c r="G23" i="3"/>
  <c r="F23" i="3"/>
  <c r="E23" i="3"/>
  <c r="I20" i="3"/>
  <c r="I18" i="3"/>
  <c r="G18" i="3"/>
  <c r="F18" i="3"/>
  <c r="E18" i="3"/>
  <c r="G16" i="3"/>
  <c r="F16" i="3"/>
  <c r="E16" i="3"/>
  <c r="F62" i="4" l="1"/>
  <c r="F63" i="4"/>
  <c r="F64" i="4"/>
  <c r="F10" i="4"/>
  <c r="E16" i="4"/>
  <c r="D12" i="3"/>
  <c r="G7" i="3"/>
  <c r="G5" i="3"/>
  <c r="F27" i="3"/>
  <c r="G27" i="3"/>
  <c r="E27" i="3"/>
  <c r="G15" i="3"/>
  <c r="F15" i="3"/>
  <c r="E15" i="3"/>
  <c r="G17" i="3" l="1"/>
  <c r="F17" i="3"/>
  <c r="E17" i="3"/>
  <c r="F29" i="2"/>
  <c r="H30" i="3"/>
  <c r="H42" i="3" s="1"/>
  <c r="F5" i="3"/>
  <c r="F7" i="3" l="1"/>
  <c r="E6" i="3"/>
  <c r="E7" i="3" s="1"/>
  <c r="H10" i="3"/>
  <c r="E10" i="3"/>
  <c r="D43" i="3"/>
  <c r="G9" i="2"/>
  <c r="E24" i="3" l="1"/>
  <c r="G24" i="3"/>
  <c r="E9" i="3"/>
  <c r="F42" i="3" l="1"/>
  <c r="E44" i="3"/>
  <c r="E42" i="3"/>
  <c r="G44" i="2"/>
  <c r="G37" i="2"/>
  <c r="E22" i="3"/>
  <c r="I21" i="3"/>
  <c r="E28" i="4" s="1"/>
  <c r="F22" i="3"/>
  <c r="G22" i="3"/>
  <c r="H22" i="3"/>
  <c r="G45" i="2"/>
  <c r="G40" i="2"/>
  <c r="G41" i="2" l="1"/>
  <c r="F24" i="3"/>
  <c r="I24" i="3" s="1"/>
  <c r="I28" i="3"/>
  <c r="E34" i="4" s="1"/>
  <c r="F34" i="4" s="1"/>
  <c r="I22" i="3"/>
  <c r="I11" i="3"/>
  <c r="F9" i="3"/>
  <c r="F10" i="3" s="1"/>
  <c r="E12" i="3"/>
  <c r="I43" i="3" l="1"/>
  <c r="I40" i="3"/>
  <c r="I39" i="3"/>
  <c r="E47" i="4" s="1"/>
  <c r="I38" i="3"/>
  <c r="E46" i="4" s="1"/>
  <c r="I35" i="3"/>
  <c r="E50" i="3"/>
  <c r="F45" i="3"/>
  <c r="E45" i="3"/>
  <c r="F41" i="3"/>
  <c r="E41" i="3"/>
  <c r="E34" i="3"/>
  <c r="I33" i="3"/>
  <c r="E43" i="4" l="1"/>
  <c r="E31" i="3"/>
  <c r="E46" i="3" s="1"/>
  <c r="I30" i="3" l="1"/>
  <c r="I42" i="3" l="1"/>
  <c r="G47" i="2"/>
  <c r="H46" i="2"/>
  <c r="D55" i="4" s="1"/>
  <c r="F55" i="4" s="1"/>
  <c r="H38" i="2"/>
  <c r="D46" i="4" s="1"/>
  <c r="F46" i="4" s="1"/>
  <c r="H18" i="2"/>
  <c r="D13" i="4"/>
  <c r="F13" i="4" s="1"/>
  <c r="D23" i="4" l="1"/>
  <c r="D14" i="4"/>
  <c r="F14" i="4" l="1"/>
  <c r="H8" i="3"/>
  <c r="H12" i="3"/>
  <c r="H13" i="3" s="1"/>
  <c r="H20" i="3"/>
  <c r="H23" i="3"/>
  <c r="H29" i="3" s="1"/>
  <c r="H24" i="3"/>
  <c r="H31" i="3"/>
  <c r="H34" i="3"/>
  <c r="H41" i="3"/>
  <c r="H50" i="3"/>
  <c r="G10" i="3"/>
  <c r="G31" i="3"/>
  <c r="G45" i="3"/>
  <c r="G50" i="3"/>
  <c r="E8" i="3"/>
  <c r="E13" i="3" s="1"/>
  <c r="I49" i="3"/>
  <c r="I6" i="3"/>
  <c r="I9" i="3"/>
  <c r="I19" i="3"/>
  <c r="I26" i="3"/>
  <c r="E33" i="4" s="1"/>
  <c r="I44" i="3"/>
  <c r="I48" i="3"/>
  <c r="F12" i="3"/>
  <c r="I32" i="3"/>
  <c r="I37" i="3"/>
  <c r="F50" i="3"/>
  <c r="I15" i="3" l="1"/>
  <c r="G34" i="3"/>
  <c r="I36" i="3"/>
  <c r="I16" i="3"/>
  <c r="G41" i="3"/>
  <c r="I25" i="3"/>
  <c r="H45" i="3"/>
  <c r="H46" i="3" s="1"/>
  <c r="H47" i="3" s="1"/>
  <c r="H51" i="3" s="1"/>
  <c r="H52" i="3" s="1"/>
  <c r="H53" i="3" s="1"/>
  <c r="I50" i="3"/>
  <c r="G20" i="3"/>
  <c r="I17" i="3"/>
  <c r="I7" i="3"/>
  <c r="E20" i="3"/>
  <c r="G8" i="3"/>
  <c r="G13" i="3" s="1"/>
  <c r="I5" i="3"/>
  <c r="F31" i="3"/>
  <c r="F20" i="3"/>
  <c r="F8" i="3"/>
  <c r="F34" i="3"/>
  <c r="G46" i="3" l="1"/>
  <c r="I41" i="3"/>
  <c r="G29" i="3"/>
  <c r="E29" i="3"/>
  <c r="E47" i="3" s="1"/>
  <c r="I31" i="3"/>
  <c r="F46" i="3"/>
  <c r="I8" i="3"/>
  <c r="I27" i="3"/>
  <c r="F13" i="3"/>
  <c r="G47" i="3" l="1"/>
  <c r="G51" i="3" s="1"/>
  <c r="G52" i="3" s="1"/>
  <c r="G53" i="3" s="1"/>
  <c r="F29" i="3"/>
  <c r="I29" i="3" s="1"/>
  <c r="E27" i="2"/>
  <c r="H27" i="2" s="1"/>
  <c r="H6" i="2"/>
  <c r="H9" i="2"/>
  <c r="H11" i="2"/>
  <c r="D15" i="4" s="1"/>
  <c r="H20" i="2"/>
  <c r="H21" i="2"/>
  <c r="H23" i="2"/>
  <c r="H28" i="2"/>
  <c r="H31" i="2"/>
  <c r="H34" i="2"/>
  <c r="H35" i="2"/>
  <c r="H37" i="2"/>
  <c r="H40" i="2"/>
  <c r="H42" i="2"/>
  <c r="H45" i="2"/>
  <c r="H5" i="2"/>
  <c r="D17" i="4" l="1"/>
  <c r="F17" i="4" s="1"/>
  <c r="D18" i="4"/>
  <c r="D33" i="4"/>
  <c r="F33" i="4" s="1"/>
  <c r="F47" i="3"/>
  <c r="F51" i="3" s="1"/>
  <c r="F52" i="3" s="1"/>
  <c r="E29" i="4"/>
  <c r="E64" i="4"/>
  <c r="E51" i="4"/>
  <c r="E14" i="4"/>
  <c r="F53" i="3" l="1"/>
  <c r="H51" i="2"/>
  <c r="D60" i="4" s="1"/>
  <c r="H50" i="2"/>
  <c r="D59" i="4" s="1"/>
  <c r="D61" i="4" l="1"/>
  <c r="E53" i="4"/>
  <c r="F53" i="4" s="1"/>
  <c r="E24" i="2"/>
  <c r="H24" i="2" s="1"/>
  <c r="E22" i="4" l="1"/>
  <c r="I10" i="3" l="1"/>
  <c r="E15" i="4" s="1"/>
  <c r="E54" i="4"/>
  <c r="D45" i="3"/>
  <c r="E18" i="4" l="1"/>
  <c r="F15" i="4"/>
  <c r="I45" i="3"/>
  <c r="D46" i="3"/>
  <c r="I46" i="3" s="1"/>
  <c r="F18" i="4" l="1"/>
  <c r="E19" i="4"/>
  <c r="D47" i="3"/>
  <c r="D52" i="3" s="1"/>
  <c r="D13" i="3"/>
  <c r="I13" i="3" s="1"/>
  <c r="I12" i="3"/>
  <c r="H44" i="2" l="1"/>
  <c r="H32" i="2"/>
  <c r="F22" i="2" l="1"/>
  <c r="F25" i="2" s="1"/>
  <c r="H17" i="2"/>
  <c r="E59" i="4"/>
  <c r="F59" i="4" s="1"/>
  <c r="E60" i="4" l="1"/>
  <c r="F60" i="4" s="1"/>
  <c r="E26" i="2"/>
  <c r="E61" i="4" l="1"/>
  <c r="E23" i="4"/>
  <c r="F23" i="4" s="1"/>
  <c r="F26" i="2"/>
  <c r="H29" i="2"/>
  <c r="E65" i="4" l="1"/>
  <c r="F61" i="4"/>
  <c r="D28" i="4"/>
  <c r="F28" i="4" s="1"/>
  <c r="D26" i="2"/>
  <c r="E25" i="2"/>
  <c r="E30" i="2" s="1"/>
  <c r="D29" i="4" l="1"/>
  <c r="F29" i="4" s="1"/>
  <c r="D22" i="2"/>
  <c r="H19" i="2"/>
  <c r="D25" i="2" l="1"/>
  <c r="E53" i="2"/>
  <c r="E54" i="2" l="1"/>
  <c r="E5" i="4"/>
  <c r="F5" i="4" s="1"/>
  <c r="H39" i="2" l="1"/>
  <c r="D47" i="4" s="1"/>
  <c r="F47" i="4" s="1"/>
  <c r="E26" i="4" l="1"/>
  <c r="D35" i="4"/>
  <c r="F52" i="2"/>
  <c r="G52" i="2"/>
  <c r="D52" i="2"/>
  <c r="F47" i="2"/>
  <c r="D47" i="2"/>
  <c r="H47" i="2" s="1"/>
  <c r="F43" i="2"/>
  <c r="G43" i="2"/>
  <c r="D43" i="2"/>
  <c r="F41" i="2"/>
  <c r="D41" i="2"/>
  <c r="H41" i="2" s="1"/>
  <c r="F36" i="2"/>
  <c r="G36" i="2"/>
  <c r="D36" i="2"/>
  <c r="F33" i="2"/>
  <c r="G33" i="2"/>
  <c r="D33" i="2"/>
  <c r="G26" i="2"/>
  <c r="H26" i="2" s="1"/>
  <c r="G22" i="2"/>
  <c r="F14" i="2"/>
  <c r="F15" i="2" s="1"/>
  <c r="G10" i="2"/>
  <c r="F7" i="2"/>
  <c r="F8" i="2" s="1"/>
  <c r="G7" i="2"/>
  <c r="G8" i="2" s="1"/>
  <c r="D7" i="2"/>
  <c r="D24" i="4"/>
  <c r="D38" i="4"/>
  <c r="D40" i="4"/>
  <c r="D41" i="4"/>
  <c r="D43" i="4"/>
  <c r="F43" i="4" s="1"/>
  <c r="D48" i="4"/>
  <c r="D54" i="4"/>
  <c r="F54" i="4" s="1"/>
  <c r="H10" i="2" l="1"/>
  <c r="H52" i="2"/>
  <c r="H36" i="2"/>
  <c r="H33" i="2"/>
  <c r="G25" i="2"/>
  <c r="H25" i="2" s="1"/>
  <c r="H22" i="2"/>
  <c r="D8" i="2"/>
  <c r="H8" i="2" s="1"/>
  <c r="H7" i="2"/>
  <c r="H43" i="2"/>
  <c r="D22" i="4"/>
  <c r="F22" i="4" s="1"/>
  <c r="D49" i="4"/>
  <c r="D64" i="4"/>
  <c r="D65" i="4" s="1"/>
  <c r="F65" i="4" s="1"/>
  <c r="D42" i="4"/>
  <c r="D9" i="4"/>
  <c r="F9" i="4" s="1"/>
  <c r="E45" i="4"/>
  <c r="F45" i="4" s="1"/>
  <c r="D19" i="4"/>
  <c r="F19" i="4" s="1"/>
  <c r="D8" i="4"/>
  <c r="F8" i="4" s="1"/>
  <c r="D50" i="4"/>
  <c r="D37" i="4"/>
  <c r="E44" i="4"/>
  <c r="F44" i="4" s="1"/>
  <c r="D14" i="2"/>
  <c r="D15" i="2" s="1"/>
  <c r="F48" i="2"/>
  <c r="D48" i="2"/>
  <c r="E38" i="4"/>
  <c r="E32" i="4"/>
  <c r="D30" i="2"/>
  <c r="F30" i="2"/>
  <c r="D32" i="4"/>
  <c r="D39" i="4" l="1"/>
  <c r="F37" i="4"/>
  <c r="D51" i="4"/>
  <c r="F51" i="4" s="1"/>
  <c r="F50" i="4"/>
  <c r="E39" i="4"/>
  <c r="F39" i="4" s="1"/>
  <c r="F38" i="4"/>
  <c r="F32" i="4"/>
  <c r="D31" i="4"/>
  <c r="G30" i="2"/>
  <c r="H30" i="2" s="1"/>
  <c r="F49" i="2"/>
  <c r="F53" i="2" s="1"/>
  <c r="F54" i="2" s="1"/>
  <c r="H13" i="2"/>
  <c r="D11" i="4"/>
  <c r="D12" i="4" s="1"/>
  <c r="D20" i="4" s="1"/>
  <c r="E25" i="4"/>
  <c r="F25" i="4" s="1"/>
  <c r="E7" i="4"/>
  <c r="F7" i="4" s="1"/>
  <c r="E41" i="4"/>
  <c r="F41" i="4" s="1"/>
  <c r="E35" i="4"/>
  <c r="F35" i="4" s="1"/>
  <c r="E24" i="4"/>
  <c r="F24" i="4" s="1"/>
  <c r="E40" i="4"/>
  <c r="F40" i="4" s="1"/>
  <c r="E48" i="4"/>
  <c r="F48" i="4" s="1"/>
  <c r="E6" i="4"/>
  <c r="F6" i="4" s="1"/>
  <c r="D26" i="4"/>
  <c r="D49" i="2"/>
  <c r="E52" i="4"/>
  <c r="D27" i="4" l="1"/>
  <c r="F26" i="4"/>
  <c r="E56" i="4"/>
  <c r="D30" i="4"/>
  <c r="E49" i="4"/>
  <c r="F49" i="4" s="1"/>
  <c r="E27" i="4"/>
  <c r="E30" i="4" s="1"/>
  <c r="E42" i="4"/>
  <c r="F42" i="4" s="1"/>
  <c r="D53" i="2"/>
  <c r="E31" i="4"/>
  <c r="F31" i="4" s="1"/>
  <c r="E11" i="4"/>
  <c r="G14" i="2"/>
  <c r="H14" i="2" s="1"/>
  <c r="E12" i="4" l="1"/>
  <c r="F11" i="4"/>
  <c r="F27" i="4"/>
  <c r="D36" i="4"/>
  <c r="F30" i="4"/>
  <c r="E57" i="4"/>
  <c r="E36" i="4"/>
  <c r="D54" i="2"/>
  <c r="G15" i="2"/>
  <c r="H15" i="2" s="1"/>
  <c r="E20" i="4" l="1"/>
  <c r="F20" i="4" s="1"/>
  <c r="F12" i="4"/>
  <c r="F36" i="4"/>
  <c r="E58" i="4"/>
  <c r="E66" i="4" s="1"/>
  <c r="E67" i="4" s="1"/>
  <c r="E68" i="4" s="1"/>
  <c r="D52" i="4"/>
  <c r="F52" i="4" s="1"/>
  <c r="G48" i="2"/>
  <c r="H48" i="2" s="1"/>
  <c r="D56" i="4" l="1"/>
  <c r="G49" i="2"/>
  <c r="H49" i="2" s="1"/>
  <c r="D57" i="4" l="1"/>
  <c r="F57" i="4" s="1"/>
  <c r="F56" i="4"/>
  <c r="D58" i="4"/>
  <c r="D66" i="4" s="1"/>
  <c r="G53" i="2"/>
  <c r="H53" i="2" s="1"/>
  <c r="F58" i="4" l="1"/>
  <c r="D67" i="4"/>
  <c r="F66" i="4"/>
  <c r="G54" i="2"/>
  <c r="H54" i="2" s="1"/>
  <c r="H55" i="2" s="1"/>
  <c r="I34" i="3"/>
  <c r="I47" i="3"/>
  <c r="D68" i="4" l="1"/>
  <c r="F67" i="4"/>
  <c r="F68" i="4" s="1"/>
  <c r="E51" i="3"/>
  <c r="I51" i="3" s="1"/>
  <c r="E52" i="3" l="1"/>
  <c r="I52" i="3" s="1"/>
  <c r="E53" i="3" l="1"/>
  <c r="I53" i="3"/>
</calcChain>
</file>

<file path=xl/sharedStrings.xml><?xml version="1.0" encoding="utf-8"?>
<sst xmlns="http://schemas.openxmlformats.org/spreadsheetml/2006/main" count="370" uniqueCount="170">
  <si>
    <t>Sor-szám</t>
  </si>
  <si>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</si>
  <si>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</si>
  <si>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</si>
  <si>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</si>
  <si>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</si>
  <si>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</si>
  <si>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>Közlekedési költségtérítés</t>
  </si>
  <si>
    <t>K1109</t>
  </si>
  <si>
    <t>Foglalkoztatottak egyéb személyi juttatásai</t>
  </si>
  <si>
    <t>K1113</t>
  </si>
  <si>
    <t>K11</t>
  </si>
  <si>
    <t>K1</t>
  </si>
  <si>
    <t>K2</t>
  </si>
  <si>
    <t>ebből: szociális hozzájárulási adó</t>
  </si>
  <si>
    <t>ebből: táppénz hozzájárulás</t>
  </si>
  <si>
    <t>ebből: munkáltatót terhelő személyi jövedelemadó</t>
  </si>
  <si>
    <t>SZEMÉLYI JELLEGŰ KIADÁSOK ÖSSZESEN</t>
  </si>
  <si>
    <t>K1+K2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</si>
  <si>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</si>
  <si>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</si>
  <si>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</si>
  <si>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</si>
  <si>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</si>
  <si>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</si>
  <si>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</si>
  <si>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</si>
  <si>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</si>
  <si>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</si>
  <si>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</si>
  <si>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</si>
  <si>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 xml:space="preserve">Szakmai tevékenységet segítő szolgáltatások </t>
  </si>
  <si>
    <t>K336</t>
  </si>
  <si>
    <t>K337</t>
  </si>
  <si>
    <t>K33</t>
  </si>
  <si>
    <t>Reklám- és propagandakiadások</t>
  </si>
  <si>
    <t>K342</t>
  </si>
  <si>
    <t>K34</t>
  </si>
  <si>
    <t>Működési célú előzetesen felszámított általános forgalmi adó</t>
  </si>
  <si>
    <t>K351</t>
  </si>
  <si>
    <t>Egyéb dologi kiadások</t>
  </si>
  <si>
    <t>K355</t>
  </si>
  <si>
    <t>K35</t>
  </si>
  <si>
    <t>K3</t>
  </si>
  <si>
    <t>MŰKÖDÉSI CÉLÚ KIADÁSOK ÖSSZESEN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</si>
  <si>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</si>
  <si>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</si>
  <si>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</si>
  <si>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</si>
  <si>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</si>
  <si>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K1-K8</t>
  </si>
  <si>
    <t>K1-K9</t>
  </si>
  <si>
    <t>B408</t>
  </si>
  <si>
    <t>B4114</t>
  </si>
  <si>
    <t>B4</t>
  </si>
  <si>
    <t>B1-B7</t>
  </si>
  <si>
    <t>Előző év költségvetési maradványának igénybevétele</t>
  </si>
  <si>
    <t>B8131</t>
  </si>
  <si>
    <t>B813</t>
  </si>
  <si>
    <t>Központi, irányító szervi támogatás</t>
  </si>
  <si>
    <t>B816</t>
  </si>
  <si>
    <t>B81</t>
  </si>
  <si>
    <t>B8</t>
  </si>
  <si>
    <t>B1-B8</t>
  </si>
  <si>
    <t>Kerekítési különbözet</t>
  </si>
  <si>
    <t>Kamatbevételek</t>
  </si>
  <si>
    <t>Működési bevételek</t>
  </si>
  <si>
    <t>Költségvetési bevételek</t>
  </si>
  <si>
    <t>Maradvány igénybevétele</t>
  </si>
  <si>
    <t>Belföldi finanszírozás bevételei</t>
  </si>
  <si>
    <t>Finanszírozási bevételek</t>
  </si>
  <si>
    <t>Bevételek összesen</t>
  </si>
  <si>
    <t>Foglalkoztatottak személyi juttatásai</t>
  </si>
  <si>
    <t>Személyi juttatások összesen</t>
  </si>
  <si>
    <t xml:space="preserve">Munkaadókat terhelő járulékok és szociális hozzájárulási adó                                      </t>
  </si>
  <si>
    <t>Készletbeszerzés</t>
  </si>
  <si>
    <t>Kommunikációs szolgáltatások</t>
  </si>
  <si>
    <t>Egyéb szolgáltatások</t>
  </si>
  <si>
    <t>Szolgáltatási kiadások</t>
  </si>
  <si>
    <t>Kiküldetések, reklám- és propagandakiadások</t>
  </si>
  <si>
    <t>Különféle befizetések és egyéb dologi kiadások</t>
  </si>
  <si>
    <t>Dologi kiadások</t>
  </si>
  <si>
    <t>Beruházások</t>
  </si>
  <si>
    <t>Költségvetési kiadások</t>
  </si>
  <si>
    <t>KIADÁSOK ÖSSZESEN</t>
  </si>
  <si>
    <t>091110</t>
  </si>
  <si>
    <t>091130</t>
  </si>
  <si>
    <t>091140</t>
  </si>
  <si>
    <t>Összesen</t>
  </si>
  <si>
    <t>K1+K3</t>
  </si>
  <si>
    <t>Óvodai nevelés, ellátás szakmai feladatai</t>
  </si>
  <si>
    <t>Nemzetiségi óvodai nevelés, ellátás szakmai feladatai</t>
  </si>
  <si>
    <t>096015</t>
  </si>
  <si>
    <t>Gyermekétkeztetés köznevelési intézményben</t>
  </si>
  <si>
    <t>Szociális étkeztetés</t>
  </si>
  <si>
    <t>Ellátási díjak</t>
  </si>
  <si>
    <t>Szolgáltatások ellenértéke</t>
  </si>
  <si>
    <t>B405</t>
  </si>
  <si>
    <t>B402</t>
  </si>
  <si>
    <t>107051</t>
  </si>
  <si>
    <t>104037</t>
  </si>
  <si>
    <t>Kiszámlázott ÁFA</t>
  </si>
  <si>
    <t>B406</t>
  </si>
  <si>
    <t>Vásárolt élelmezés</t>
  </si>
  <si>
    <t>Bérleti és lízingdíjak</t>
  </si>
  <si>
    <t>K332</t>
  </si>
  <si>
    <t>K333</t>
  </si>
  <si>
    <t>Egyéb dologi kiadások (kerekítés)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</si>
  <si>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</si>
  <si>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</si>
  <si>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</si>
  <si>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</si>
  <si>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</si>
  <si>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</si>
  <si>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</si>
  <si>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</si>
  <si>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</si>
  <si>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</si>
  <si>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</si>
  <si>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</si>
  <si>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</si>
  <si>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Ingatlanok felújítása</t>
  </si>
  <si>
    <t>K71</t>
  </si>
  <si>
    <t>Felújítások</t>
  </si>
  <si>
    <t>K7</t>
  </si>
  <si>
    <t>FELHALMOZÁSI CÉLÚ KIADÁSOK ÖSSZESEN</t>
  </si>
  <si>
    <t>B411</t>
  </si>
  <si>
    <t>Karbantartás, kisjavítás</t>
  </si>
  <si>
    <t>900020</t>
  </si>
  <si>
    <t>Munkavégzésre irányuló egyéb jogviszonyban nem saját foglalkoztatottnak fizetett juttatások</t>
  </si>
  <si>
    <t>K122</t>
  </si>
  <si>
    <t>K12</t>
  </si>
  <si>
    <t>Sajátos nevelési igényű gyermekek óvodai nevelésének, ellátásának szakmai feladatai</t>
  </si>
  <si>
    <t>Külső személyi juttatások</t>
  </si>
  <si>
    <t>Jubileumi jutalmak</t>
  </si>
  <si>
    <t>K1106</t>
  </si>
  <si>
    <t>Fizetendő ÁFA</t>
  </si>
  <si>
    <t>K352</t>
  </si>
  <si>
    <t>Önkormányzatok és önkormányzati hivatalok jogalkotó és általános igazgatási tevékenysége</t>
  </si>
  <si>
    <t>011130</t>
  </si>
  <si>
    <t>091120</t>
  </si>
  <si>
    <t>Önkormányzati funkción nem elszámolható bevételek  (Vendég  étkeztetés)</t>
  </si>
  <si>
    <t>K74</t>
  </si>
  <si>
    <t>K334</t>
  </si>
  <si>
    <t xml:space="preserve">Belföldi finanszírozás bevételei </t>
  </si>
  <si>
    <t>Óvoda</t>
  </si>
  <si>
    <t>Konyha</t>
  </si>
  <si>
    <t>K1-K3</t>
  </si>
  <si>
    <t>K6+K7</t>
  </si>
  <si>
    <t>Eredeti előirányzat</t>
  </si>
  <si>
    <t>Kiadások visszatérítései</t>
  </si>
  <si>
    <t>Előirányzat összesen</t>
  </si>
  <si>
    <t>Karbantartás, kisjavítási szolgáltatások</t>
  </si>
  <si>
    <t>Óvodai nevelés, ellátás működtetési feladatai</t>
  </si>
  <si>
    <t>Működési tartalék</t>
  </si>
  <si>
    <t xml:space="preserve"> + önerő</t>
  </si>
  <si>
    <t>Intézményen kívüli gyermekétkeztetés (szünidei étk.)</t>
  </si>
  <si>
    <t>Egyéb tárgyi eszköz beszerzése</t>
  </si>
  <si>
    <t>Egyéb külső személyi juttatások</t>
  </si>
  <si>
    <t>K123</t>
  </si>
  <si>
    <t>ebből: munkkadót terhelő más járulék jellegű kötelezettségek</t>
  </si>
  <si>
    <t>Óvoda és Konyha 2019. évi költségvetése</t>
  </si>
  <si>
    <t>Óvoda 2019. évi költségvetése</t>
  </si>
  <si>
    <t>Konyha 2019. évi költségvetése</t>
  </si>
  <si>
    <t xml:space="preserve"> + önerős finanszírzás - ÁFA</t>
  </si>
  <si>
    <t>Jubileumi jutalom</t>
  </si>
  <si>
    <t>Központi, irányító szervi támogatás együtt</t>
  </si>
  <si>
    <t>Foglalkoztatottak egyéb személyi juttatásai - túlóra</t>
  </si>
  <si>
    <t xml:space="preserve"> + önerő ÁFA</t>
  </si>
  <si>
    <t>Fizetendő általános forgalmi adó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</si>
</sst>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_"/>
  </numFmts>
  <fonts count="40" x14ac:knownFonts="1">
    <font>
      <sz val="10"/>
      <name val="Arial CE"/>
      <charset val="238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name val="Arial CE"/>
      <charset val="238"/>
    </font>
    <font>
      <sz val="12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rgb="FFFF0000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sz val="14"/>
      <color indexed="8"/>
      <name val="Arial"/>
      <family val="2"/>
      <charset val="238"/>
    </font>
    <font>
      <sz val="14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0" fontId="5" fillId="2" borderId="1" xfId="0" quotePrefix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6" borderId="6" xfId="0" quotePrefix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0" borderId="1" xfId="1" quotePrefix="1" applyFont="1" applyBorder="1" applyAlignment="1">
      <alignment horizontal="right" vertical="center"/>
    </xf>
    <xf numFmtId="0" fontId="7" fillId="0" borderId="1" xfId="1" quotePrefix="1" applyFont="1" applyBorder="1" applyAlignment="1">
      <alignment horizontal="right" vertical="center"/>
    </xf>
    <xf numFmtId="0" fontId="4" fillId="0" borderId="1" xfId="1" quotePrefix="1" applyFont="1" applyBorder="1" applyAlignment="1">
      <alignment horizontal="right" vertical="center"/>
    </xf>
    <xf numFmtId="0" fontId="10" fillId="4" borderId="1" xfId="1" quotePrefix="1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8" xfId="0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3" fontId="14" fillId="0" borderId="0" xfId="0" applyNumberFormat="1" applyFont="1"/>
    <xf numFmtId="2" fontId="11" fillId="0" borderId="0" xfId="2" applyNumberFormat="1"/>
    <xf numFmtId="0" fontId="4" fillId="6" borderId="8" xfId="0" applyFont="1" applyFill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3" borderId="9" xfId="0" applyNumberFormat="1" applyFont="1" applyFill="1" applyBorder="1" applyAlignment="1">
      <alignment horizontal="right" vertical="center"/>
    </xf>
    <xf numFmtId="0" fontId="1" fillId="0" borderId="3" xfId="0" quotePrefix="1" applyFont="1" applyBorder="1" applyAlignment="1">
      <alignment horizontal="right" vertical="center"/>
    </xf>
    <xf numFmtId="0" fontId="1" fillId="0" borderId="3" xfId="0" applyFont="1" applyBorder="1"/>
    <xf numFmtId="0" fontId="10" fillId="4" borderId="4" xfId="1" quotePrefix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horizontal="left" vertical="center" wrapText="1"/>
    </xf>
    <xf numFmtId="3" fontId="10" fillId="4" borderId="16" xfId="1" quotePrefix="1" applyNumberFormat="1" applyFont="1" applyFill="1" applyBorder="1" applyAlignment="1">
      <alignment horizontal="right" vertical="center"/>
    </xf>
    <xf numFmtId="3" fontId="1" fillId="0" borderId="16" xfId="0" quotePrefix="1" applyNumberFormat="1" applyFont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0" fillId="4" borderId="15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3" fontId="10" fillId="4" borderId="19" xfId="1" quotePrefix="1" applyNumberFormat="1" applyFont="1" applyFill="1" applyBorder="1" applyAlignment="1">
      <alignment horizontal="right" vertical="center"/>
    </xf>
    <xf numFmtId="3" fontId="1" fillId="0" borderId="19" xfId="0" quotePrefix="1" applyNumberFormat="1" applyFont="1" applyBorder="1" applyAlignment="1">
      <alignment horizontal="right" vertical="center"/>
    </xf>
    <xf numFmtId="3" fontId="10" fillId="4" borderId="14" xfId="0" applyNumberFormat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3" fontId="1" fillId="0" borderId="13" xfId="0" quotePrefix="1" applyNumberFormat="1" applyFont="1" applyBorder="1" applyAlignment="1">
      <alignment horizontal="right" vertical="center"/>
    </xf>
    <xf numFmtId="0" fontId="10" fillId="4" borderId="9" xfId="1" applyFont="1" applyFill="1" applyBorder="1" applyAlignment="1">
      <alignment horizontal="left" vertical="center" wrapText="1"/>
    </xf>
    <xf numFmtId="3" fontId="10" fillId="4" borderId="4" xfId="1" quotePrefix="1" applyNumberFormat="1" applyFont="1" applyFill="1" applyBorder="1" applyAlignment="1">
      <alignment horizontal="right" vertical="center"/>
    </xf>
    <xf numFmtId="0" fontId="16" fillId="0" borderId="0" xfId="0" applyFont="1"/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20" fillId="0" borderId="1" xfId="1" quotePrefix="1" applyFont="1" applyBorder="1" applyAlignment="1">
      <alignment horizontal="right" vertical="center"/>
    </xf>
    <xf numFmtId="49" fontId="20" fillId="0" borderId="1" xfId="0" applyNumberFormat="1" applyFont="1" applyBorder="1" applyAlignment="1">
      <alignment vertical="center" wrapText="1"/>
    </xf>
    <xf numFmtId="49" fontId="20" fillId="0" borderId="6" xfId="0" applyNumberFormat="1" applyFont="1" applyBorder="1" applyAlignment="1">
      <alignment vertical="center" wrapText="1"/>
    </xf>
    <xf numFmtId="0" fontId="21" fillId="0" borderId="1" xfId="1" applyFont="1" applyBorder="1" applyAlignment="1">
      <alignment horizontal="left" vertical="center" wrapText="1"/>
    </xf>
    <xf numFmtId="0" fontId="22" fillId="0" borderId="1" xfId="1" quotePrefix="1" applyFont="1" applyBorder="1" applyAlignment="1">
      <alignment horizontal="right" vertical="center"/>
    </xf>
    <xf numFmtId="0" fontId="23" fillId="0" borderId="1" xfId="1" quotePrefix="1" applyFont="1" applyBorder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0" fontId="23" fillId="6" borderId="6" xfId="0" quotePrefix="1" applyFont="1" applyFill="1" applyBorder="1" applyAlignment="1">
      <alignment horizontal="right" vertical="center"/>
    </xf>
    <xf numFmtId="0" fontId="24" fillId="6" borderId="6" xfId="0" applyFont="1" applyFill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25" fillId="4" borderId="4" xfId="1" quotePrefix="1" applyFont="1" applyFill="1" applyBorder="1" applyAlignment="1">
      <alignment horizontal="right" vertical="center"/>
    </xf>
    <xf numFmtId="0" fontId="25" fillId="4" borderId="5" xfId="1" applyFont="1" applyFill="1" applyBorder="1" applyAlignment="1">
      <alignment horizontal="left" vertical="center" wrapText="1"/>
    </xf>
    <xf numFmtId="0" fontId="20" fillId="0" borderId="3" xfId="0" quotePrefix="1" applyFont="1" applyBorder="1" applyAlignment="1">
      <alignment horizontal="right" vertical="center"/>
    </xf>
    <xf numFmtId="0" fontId="20" fillId="0" borderId="3" xfId="0" applyFont="1" applyBorder="1"/>
    <xf numFmtId="0" fontId="20" fillId="0" borderId="1" xfId="0" quotePrefix="1" applyFont="1" applyBorder="1" applyAlignment="1">
      <alignment horizontal="right" vertical="center"/>
    </xf>
    <xf numFmtId="0" fontId="20" fillId="0" borderId="1" xfId="0" applyFont="1" applyBorder="1"/>
    <xf numFmtId="0" fontId="20" fillId="0" borderId="1" xfId="0" applyFont="1" applyBorder="1" applyAlignment="1">
      <alignment vertical="center" wrapText="1"/>
    </xf>
    <xf numFmtId="0" fontId="23" fillId="0" borderId="1" xfId="0" quotePrefix="1" applyFont="1" applyBorder="1" applyAlignment="1">
      <alignment horizontal="right" vertical="center"/>
    </xf>
    <xf numFmtId="0" fontId="23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0" fontId="18" fillId="2" borderId="1" xfId="0" quotePrefix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6" xfId="0" quotePrefix="1" applyFont="1" applyBorder="1" applyAlignment="1">
      <alignment horizontal="right" vertical="center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3" fontId="16" fillId="0" borderId="0" xfId="0" applyNumberFormat="1" applyFont="1"/>
    <xf numFmtId="3" fontId="14" fillId="7" borderId="0" xfId="0" applyNumberFormat="1" applyFont="1" applyFill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3" fontId="28" fillId="7" borderId="0" xfId="0" applyNumberFormat="1" applyFont="1" applyFill="1"/>
    <xf numFmtId="1" fontId="16" fillId="0" borderId="0" xfId="2" applyNumberFormat="1" applyFont="1" applyAlignment="1">
      <alignment horizontal="right"/>
    </xf>
    <xf numFmtId="3" fontId="13" fillId="7" borderId="0" xfId="0" applyNumberFormat="1" applyFont="1" applyFill="1" applyAlignment="1">
      <alignment horizontal="right"/>
    </xf>
    <xf numFmtId="3" fontId="14" fillId="7" borderId="0" xfId="0" applyNumberFormat="1" applyFont="1" applyFill="1" applyAlignment="1">
      <alignment horizontal="right"/>
    </xf>
    <xf numFmtId="49" fontId="6" fillId="0" borderId="2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20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23" fillId="6" borderId="8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25" fillId="4" borderId="9" xfId="1" applyFont="1" applyFill="1" applyBorder="1" applyAlignment="1">
      <alignment horizontal="left" vertical="center" wrapText="1"/>
    </xf>
    <xf numFmtId="0" fontId="20" fillId="0" borderId="2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3" fontId="27" fillId="3" borderId="9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3" fontId="23" fillId="5" borderId="16" xfId="1" applyNumberFormat="1" applyFont="1" applyFill="1" applyBorder="1" applyAlignment="1">
      <alignment horizontal="right" vertical="center"/>
    </xf>
    <xf numFmtId="3" fontId="23" fillId="6" borderId="16" xfId="0" applyNumberFormat="1" applyFont="1" applyFill="1" applyBorder="1" applyAlignment="1">
      <alignment horizontal="right" vertical="center" wrapText="1"/>
    </xf>
    <xf numFmtId="3" fontId="20" fillId="0" borderId="16" xfId="1" applyNumberFormat="1" applyFont="1" applyBorder="1" applyAlignment="1">
      <alignment horizontal="right" vertical="center" wrapText="1"/>
    </xf>
    <xf numFmtId="3" fontId="23" fillId="0" borderId="16" xfId="1" applyNumberFormat="1" applyFont="1" applyBorder="1" applyAlignment="1">
      <alignment horizontal="right" vertical="center" wrapText="1"/>
    </xf>
    <xf numFmtId="3" fontId="23" fillId="6" borderId="12" xfId="0" applyNumberFormat="1" applyFont="1" applyFill="1" applyBorder="1" applyAlignment="1">
      <alignment horizontal="right" vertical="center" wrapText="1"/>
    </xf>
    <xf numFmtId="3" fontId="25" fillId="4" borderId="4" xfId="1" applyNumberFormat="1" applyFont="1" applyFill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18" fillId="2" borderId="16" xfId="0" applyNumberFormat="1" applyFont="1" applyFill="1" applyBorder="1" applyAlignment="1">
      <alignment horizontal="right" vertical="center"/>
    </xf>
    <xf numFmtId="3" fontId="15" fillId="7" borderId="16" xfId="0" applyNumberFormat="1" applyFont="1" applyFill="1" applyBorder="1" applyAlignment="1">
      <alignment horizontal="right" vertical="center"/>
    </xf>
    <xf numFmtId="3" fontId="27" fillId="3" borderId="4" xfId="0" applyNumberFormat="1" applyFont="1" applyFill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20" fillId="0" borderId="25" xfId="1" applyNumberFormat="1" applyFont="1" applyBorder="1" applyAlignment="1">
      <alignment horizontal="right" vertical="center"/>
    </xf>
    <xf numFmtId="3" fontId="23" fillId="5" borderId="25" xfId="1" applyNumberFormat="1" applyFont="1" applyFill="1" applyBorder="1" applyAlignment="1">
      <alignment horizontal="right" vertical="center"/>
    </xf>
    <xf numFmtId="3" fontId="23" fillId="6" borderId="25" xfId="0" applyNumberFormat="1" applyFont="1" applyFill="1" applyBorder="1" applyAlignment="1">
      <alignment horizontal="right" vertical="center" wrapText="1"/>
    </xf>
    <xf numFmtId="3" fontId="20" fillId="0" borderId="25" xfId="1" applyNumberFormat="1" applyFont="1" applyBorder="1" applyAlignment="1">
      <alignment horizontal="right" vertical="center" wrapText="1"/>
    </xf>
    <xf numFmtId="3" fontId="23" fillId="0" borderId="25" xfId="1" applyNumberFormat="1" applyFont="1" applyBorder="1" applyAlignment="1">
      <alignment horizontal="right" vertical="center" wrapText="1"/>
    </xf>
    <xf numFmtId="3" fontId="23" fillId="6" borderId="26" xfId="0" applyNumberFormat="1" applyFont="1" applyFill="1" applyBorder="1" applyAlignment="1">
      <alignment horizontal="right" vertical="center" wrapText="1"/>
    </xf>
    <xf numFmtId="3" fontId="25" fillId="4" borderId="27" xfId="1" applyNumberFormat="1" applyFont="1" applyFill="1" applyBorder="1" applyAlignment="1">
      <alignment horizontal="right" vertical="center" wrapText="1"/>
    </xf>
    <xf numFmtId="3" fontId="20" fillId="0" borderId="24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/>
    </xf>
    <xf numFmtId="3" fontId="18" fillId="2" borderId="25" xfId="0" applyNumberFormat="1" applyFont="1" applyFill="1" applyBorder="1" applyAlignment="1">
      <alignment horizontal="right" vertical="center"/>
    </xf>
    <xf numFmtId="3" fontId="27" fillId="3" borderId="27" xfId="0" applyNumberFormat="1" applyFont="1" applyFill="1" applyBorder="1" applyAlignment="1">
      <alignment horizontal="right" vertical="center"/>
    </xf>
    <xf numFmtId="0" fontId="17" fillId="0" borderId="28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/>
    <xf numFmtId="3" fontId="20" fillId="0" borderId="29" xfId="0" applyNumberFormat="1" applyFont="1" applyBorder="1"/>
    <xf numFmtId="3" fontId="23" fillId="5" borderId="29" xfId="0" applyNumberFormat="1" applyFont="1" applyFill="1" applyBorder="1" applyAlignment="1">
      <alignment horizontal="right" vertical="center"/>
    </xf>
    <xf numFmtId="3" fontId="23" fillId="6" borderId="31" xfId="0" applyNumberFormat="1" applyFont="1" applyFill="1" applyBorder="1" applyAlignment="1">
      <alignment horizontal="right" vertical="center"/>
    </xf>
    <xf numFmtId="3" fontId="23" fillId="0" borderId="29" xfId="0" applyNumberFormat="1" applyFont="1" applyBorder="1"/>
    <xf numFmtId="3" fontId="25" fillId="4" borderId="32" xfId="1" quotePrefix="1" applyNumberFormat="1" applyFont="1" applyFill="1" applyBorder="1" applyAlignment="1">
      <alignment horizontal="right" vertical="center"/>
    </xf>
    <xf numFmtId="3" fontId="20" fillId="0" borderId="30" xfId="0" quotePrefix="1" applyNumberFormat="1" applyFont="1" applyBorder="1" applyAlignment="1">
      <alignment horizontal="right" vertical="center"/>
    </xf>
    <xf numFmtId="3" fontId="20" fillId="0" borderId="29" xfId="0" quotePrefix="1" applyNumberFormat="1" applyFont="1" applyBorder="1" applyAlignment="1">
      <alignment horizontal="right" vertical="center"/>
    </xf>
    <xf numFmtId="3" fontId="23" fillId="0" borderId="29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3" fontId="22" fillId="0" borderId="29" xfId="0" quotePrefix="1" applyNumberFormat="1" applyFont="1" applyBorder="1" applyAlignment="1">
      <alignment horizontal="right" vertical="center"/>
    </xf>
    <xf numFmtId="3" fontId="18" fillId="2" borderId="29" xfId="0" applyNumberFormat="1" applyFont="1" applyFill="1" applyBorder="1" applyAlignment="1">
      <alignment horizontal="right" vertical="center"/>
    </xf>
    <xf numFmtId="3" fontId="25" fillId="4" borderId="33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3" fontId="10" fillId="4" borderId="29" xfId="1" quotePrefix="1" applyNumberFormat="1" applyFont="1" applyFill="1" applyBorder="1" applyAlignment="1">
      <alignment horizontal="right" vertical="center"/>
    </xf>
    <xf numFmtId="3" fontId="1" fillId="0" borderId="29" xfId="0" quotePrefix="1" applyNumberFormat="1" applyFont="1" applyBorder="1" applyAlignment="1">
      <alignment horizontal="right" vertical="center"/>
    </xf>
    <xf numFmtId="3" fontId="10" fillId="4" borderId="33" xfId="0" applyNumberFormat="1" applyFont="1" applyFill="1" applyBorder="1" applyAlignment="1">
      <alignment horizontal="right" vertical="center"/>
    </xf>
    <xf numFmtId="49" fontId="6" fillId="0" borderId="37" xfId="0" applyNumberFormat="1" applyFont="1" applyBorder="1" applyAlignment="1">
      <alignment horizontal="center" vertical="center" wrapText="1"/>
    </xf>
    <xf numFmtId="3" fontId="10" fillId="4" borderId="14" xfId="1" quotePrefix="1" applyNumberFormat="1" applyFont="1" applyFill="1" applyBorder="1" applyAlignment="1">
      <alignment horizontal="right" vertical="center"/>
    </xf>
    <xf numFmtId="3" fontId="1" fillId="0" borderId="18" xfId="0" quotePrefix="1" applyNumberFormat="1" applyFont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/>
    </xf>
    <xf numFmtId="3" fontId="10" fillId="4" borderId="32" xfId="1" quotePrefix="1" applyNumberFormat="1" applyFont="1" applyFill="1" applyBorder="1" applyAlignment="1">
      <alignment horizontal="right" vertical="center"/>
    </xf>
    <xf numFmtId="3" fontId="1" fillId="0" borderId="30" xfId="0" quotePrefix="1" applyNumberFormat="1" applyFont="1" applyBorder="1" applyAlignment="1">
      <alignment horizontal="right" vertical="center"/>
    </xf>
    <xf numFmtId="3" fontId="0" fillId="0" borderId="0" xfId="0" applyNumberFormat="1"/>
    <xf numFmtId="0" fontId="29" fillId="0" borderId="0" xfId="0" applyFont="1"/>
    <xf numFmtId="3" fontId="30" fillId="0" borderId="11" xfId="0" applyNumberFormat="1" applyFont="1" applyBorder="1"/>
    <xf numFmtId="3" fontId="30" fillId="0" borderId="16" xfId="0" applyNumberFormat="1" applyFont="1" applyBorder="1"/>
    <xf numFmtId="3" fontId="30" fillId="0" borderId="35" xfId="0" applyNumberFormat="1" applyFont="1" applyBorder="1"/>
    <xf numFmtId="3" fontId="30" fillId="0" borderId="29" xfId="0" applyNumberFormat="1" applyFont="1" applyBorder="1"/>
    <xf numFmtId="0" fontId="31" fillId="0" borderId="16" xfId="0" applyFont="1" applyBorder="1"/>
    <xf numFmtId="3" fontId="30" fillId="0" borderId="19" xfId="0" applyNumberFormat="1" applyFont="1" applyBorder="1"/>
    <xf numFmtId="3" fontId="30" fillId="0" borderId="12" xfId="0" applyNumberFormat="1" applyFont="1" applyBorder="1"/>
    <xf numFmtId="3" fontId="32" fillId="6" borderId="16" xfId="0" applyNumberFormat="1" applyFont="1" applyFill="1" applyBorder="1" applyAlignment="1">
      <alignment horizontal="right" vertical="center"/>
    </xf>
    <xf numFmtId="3" fontId="32" fillId="6" borderId="12" xfId="0" applyNumberFormat="1" applyFont="1" applyFill="1" applyBorder="1" applyAlignment="1">
      <alignment horizontal="right" vertical="center"/>
    </xf>
    <xf numFmtId="3" fontId="32" fillId="6" borderId="19" xfId="0" applyNumberFormat="1" applyFont="1" applyFill="1" applyBorder="1" applyAlignment="1">
      <alignment horizontal="right" vertical="center"/>
    </xf>
    <xf numFmtId="3" fontId="32" fillId="6" borderId="31" xfId="0" applyNumberFormat="1" applyFont="1" applyFill="1" applyBorder="1" applyAlignment="1">
      <alignment horizontal="right" vertical="center"/>
    </xf>
    <xf numFmtId="3" fontId="33" fillId="7" borderId="16" xfId="0" applyNumberFormat="1" applyFont="1" applyFill="1" applyBorder="1"/>
    <xf numFmtId="3" fontId="32" fillId="0" borderId="16" xfId="0" applyNumberFormat="1" applyFont="1" applyBorder="1"/>
    <xf numFmtId="3" fontId="32" fillId="0" borderId="19" xfId="0" applyNumberFormat="1" applyFont="1" applyBorder="1"/>
    <xf numFmtId="3" fontId="32" fillId="0" borderId="29" xfId="0" applyNumberFormat="1" applyFont="1" applyBorder="1"/>
    <xf numFmtId="3" fontId="32" fillId="6" borderId="20" xfId="0" applyNumberFormat="1" applyFont="1" applyFill="1" applyBorder="1" applyAlignment="1">
      <alignment horizontal="right" vertical="center"/>
    </xf>
    <xf numFmtId="0" fontId="30" fillId="0" borderId="1" xfId="0" applyFont="1" applyBorder="1"/>
    <xf numFmtId="0" fontId="30" fillId="0" borderId="2" xfId="0" applyFont="1" applyBorder="1" applyAlignment="1">
      <alignment vertical="center"/>
    </xf>
    <xf numFmtId="3" fontId="30" fillId="0" borderId="16" xfId="0" quotePrefix="1" applyNumberFormat="1" applyFont="1" applyBorder="1" applyAlignment="1">
      <alignment horizontal="right" vertical="center"/>
    </xf>
    <xf numFmtId="3" fontId="30" fillId="0" borderId="19" xfId="0" quotePrefix="1" applyNumberFormat="1" applyFont="1" applyBorder="1" applyAlignment="1">
      <alignment horizontal="right" vertical="center"/>
    </xf>
    <xf numFmtId="3" fontId="30" fillId="0" borderId="29" xfId="0" quotePrefix="1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19" xfId="0" applyNumberFormat="1" applyFont="1" applyBorder="1" applyAlignment="1">
      <alignment horizontal="right" vertical="center"/>
    </xf>
    <xf numFmtId="3" fontId="32" fillId="0" borderId="29" xfId="0" quotePrefix="1" applyNumberFormat="1" applyFont="1" applyBorder="1" applyAlignment="1">
      <alignment horizontal="right" vertical="center"/>
    </xf>
    <xf numFmtId="3" fontId="32" fillId="5" borderId="16" xfId="0" applyNumberFormat="1" applyFont="1" applyFill="1" applyBorder="1" applyAlignment="1">
      <alignment horizontal="right" vertical="center"/>
    </xf>
    <xf numFmtId="3" fontId="32" fillId="5" borderId="19" xfId="0" applyNumberFormat="1" applyFont="1" applyFill="1" applyBorder="1" applyAlignment="1">
      <alignment horizontal="right" vertical="center"/>
    </xf>
    <xf numFmtId="3" fontId="32" fillId="5" borderId="29" xfId="0" applyNumberFormat="1" applyFont="1" applyFill="1" applyBorder="1" applyAlignment="1">
      <alignment horizontal="right" vertical="center"/>
    </xf>
    <xf numFmtId="164" fontId="34" fillId="0" borderId="1" xfId="0" applyNumberFormat="1" applyFont="1" applyBorder="1" applyAlignment="1">
      <alignment vertical="center" wrapText="1"/>
    </xf>
    <xf numFmtId="0" fontId="34" fillId="0" borderId="2" xfId="0" applyFont="1" applyBorder="1" applyAlignment="1">
      <alignment vertical="center"/>
    </xf>
    <xf numFmtId="3" fontId="34" fillId="0" borderId="16" xfId="0" quotePrefix="1" applyNumberFormat="1" applyFont="1" applyBorder="1" applyAlignment="1">
      <alignment horizontal="right" vertical="center"/>
    </xf>
    <xf numFmtId="3" fontId="34" fillId="0" borderId="19" xfId="0" quotePrefix="1" applyNumberFormat="1" applyFont="1" applyBorder="1" applyAlignment="1">
      <alignment horizontal="right" vertical="center"/>
    </xf>
    <xf numFmtId="3" fontId="34" fillId="0" borderId="29" xfId="0" quotePrefix="1" applyNumberFormat="1" applyFont="1" applyBorder="1" applyAlignment="1">
      <alignment horizontal="right" vertical="center"/>
    </xf>
    <xf numFmtId="0" fontId="35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/>
    </xf>
    <xf numFmtId="3" fontId="32" fillId="2" borderId="16" xfId="0" applyNumberFormat="1" applyFont="1" applyFill="1" applyBorder="1" applyAlignment="1">
      <alignment horizontal="right" vertical="center"/>
    </xf>
    <xf numFmtId="3" fontId="32" fillId="2" borderId="19" xfId="0" applyNumberFormat="1" applyFont="1" applyFill="1" applyBorder="1" applyAlignment="1">
      <alignment horizontal="right" vertical="center"/>
    </xf>
    <xf numFmtId="3" fontId="32" fillId="2" borderId="29" xfId="0" applyNumberFormat="1" applyFont="1" applyFill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3" fontId="30" fillId="0" borderId="19" xfId="0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3" fontId="32" fillId="0" borderId="29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1" fillId="0" borderId="0" xfId="0" applyNumberFormat="1" applyFont="1"/>
    <xf numFmtId="0" fontId="36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6" borderId="6" xfId="0" applyFont="1" applyFill="1" applyBorder="1" applyAlignment="1">
      <alignment vertical="center" wrapText="1"/>
    </xf>
    <xf numFmtId="0" fontId="32" fillId="6" borderId="8" xfId="0" applyFont="1" applyFill="1" applyBorder="1" applyAlignment="1">
      <alignment vertical="center" wrapText="1"/>
    </xf>
    <xf numFmtId="0" fontId="36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vertical="center"/>
    </xf>
    <xf numFmtId="3" fontId="30" fillId="0" borderId="13" xfId="0" applyNumberFormat="1" applyFont="1" applyBorder="1"/>
    <xf numFmtId="3" fontId="30" fillId="0" borderId="18" xfId="0" applyNumberFormat="1" applyFont="1" applyBorder="1"/>
    <xf numFmtId="3" fontId="30" fillId="0" borderId="30" xfId="0" applyNumberFormat="1" applyFont="1" applyBorder="1"/>
    <xf numFmtId="0" fontId="37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vertical="center" wrapText="1"/>
    </xf>
    <xf numFmtId="3" fontId="34" fillId="0" borderId="16" xfId="0" applyNumberFormat="1" applyFont="1" applyBorder="1"/>
    <xf numFmtId="3" fontId="34" fillId="0" borderId="19" xfId="0" applyNumberFormat="1" applyFont="1" applyBorder="1"/>
    <xf numFmtId="3" fontId="34" fillId="0" borderId="19" xfId="1" applyNumberFormat="1" applyFont="1" applyBorder="1" applyAlignment="1">
      <alignment horizontal="right" vertical="center" wrapText="1"/>
    </xf>
    <xf numFmtId="3" fontId="34" fillId="0" borderId="29" xfId="0" applyNumberFormat="1" applyFont="1" applyBorder="1"/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vertical="center" wrapText="1"/>
    </xf>
    <xf numFmtId="0" fontId="36" fillId="0" borderId="1" xfId="1" applyFont="1" applyBorder="1" applyAlignment="1">
      <alignment vertical="center" wrapText="1"/>
    </xf>
    <xf numFmtId="3" fontId="30" fillId="0" borderId="19" xfId="1" applyNumberFormat="1" applyFont="1" applyBorder="1" applyAlignment="1">
      <alignment horizontal="right" vertical="center" wrapText="1"/>
    </xf>
    <xf numFmtId="0" fontId="35" fillId="0" borderId="1" xfId="1" applyFont="1" applyBorder="1" applyAlignment="1">
      <alignment vertical="center" wrapText="1"/>
    </xf>
    <xf numFmtId="0" fontId="32" fillId="0" borderId="2" xfId="1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3" fontId="38" fillId="7" borderId="19" xfId="0" quotePrefix="1" applyNumberFormat="1" applyFont="1" applyFill="1" applyBorder="1" applyAlignment="1">
      <alignment horizontal="right" vertical="center"/>
    </xf>
    <xf numFmtId="0" fontId="36" fillId="0" borderId="1" xfId="0" applyFont="1" applyBorder="1" applyAlignment="1">
      <alignment horizontal="left" vertical="center" wrapText="1"/>
    </xf>
    <xf numFmtId="3" fontId="4" fillId="0" borderId="16" xfId="1" applyNumberFormat="1" applyFont="1" applyBorder="1" applyAlignment="1">
      <alignment horizontal="right" vertical="center" wrapText="1"/>
    </xf>
    <xf numFmtId="3" fontId="4" fillId="0" borderId="25" xfId="1" applyNumberFormat="1" applyFont="1" applyBorder="1" applyAlignment="1">
      <alignment horizontal="right" vertical="center" wrapText="1"/>
    </xf>
    <xf numFmtId="3" fontId="4" fillId="0" borderId="29" xfId="0" applyNumberFormat="1" applyFont="1" applyBorder="1"/>
    <xf numFmtId="0" fontId="39" fillId="0" borderId="1" xfId="1" applyFont="1" applyBorder="1" applyAlignment="1">
      <alignment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16" xfId="1" applyNumberFormat="1" applyFont="1" applyBorder="1" applyAlignment="1">
      <alignment horizontal="right" vertical="center" wrapText="1"/>
    </xf>
    <xf numFmtId="3" fontId="7" fillId="0" borderId="25" xfId="1" applyNumberFormat="1" applyFont="1" applyBorder="1" applyAlignment="1">
      <alignment horizontal="right" vertical="center" wrapText="1"/>
    </xf>
    <xf numFmtId="3" fontId="7" fillId="0" borderId="29" xfId="0" applyNumberFormat="1" applyFont="1" applyBorder="1"/>
    <xf numFmtId="3" fontId="7" fillId="7" borderId="25" xfId="1" applyNumberFormat="1" applyFont="1" applyFill="1" applyBorder="1" applyAlignment="1">
      <alignment horizontal="right" vertical="center" wrapText="1"/>
    </xf>
    <xf numFmtId="3" fontId="7" fillId="7" borderId="16" xfId="1" applyNumberFormat="1" applyFont="1" applyFill="1" applyBorder="1" applyAlignment="1">
      <alignment horizontal="right" vertical="center" wrapText="1"/>
    </xf>
    <xf numFmtId="3" fontId="7" fillId="7" borderId="29" xfId="0" applyNumberFormat="1" applyFont="1" applyFill="1" applyBorder="1"/>
    <xf numFmtId="0" fontId="37" fillId="0" borderId="1" xfId="1" applyFont="1" applyBorder="1" applyAlignment="1">
      <alignment vertical="center" wrapText="1"/>
    </xf>
    <xf numFmtId="3" fontId="38" fillId="7" borderId="19" xfId="1" applyNumberFormat="1" applyFont="1" applyFill="1" applyBorder="1" applyAlignment="1">
      <alignment horizontal="right" vertical="center" wrapText="1"/>
    </xf>
    <xf numFmtId="3" fontId="29" fillId="0" borderId="0" xfId="0" applyNumberFormat="1" applyFont="1"/>
    <xf numFmtId="0" fontId="7" fillId="0" borderId="6" xfId="1" quotePrefix="1" applyFont="1" applyBorder="1" applyAlignment="1">
      <alignment horizontal="right" vertical="center"/>
    </xf>
    <xf numFmtId="0" fontId="39" fillId="0" borderId="6" xfId="1" applyFont="1" applyBorder="1" applyAlignment="1">
      <alignment vertical="center" wrapText="1"/>
    </xf>
    <xf numFmtId="0" fontId="7" fillId="0" borderId="8" xfId="1" applyFont="1" applyBorder="1" applyAlignment="1">
      <alignment horizontal="left" vertical="center" wrapText="1"/>
    </xf>
    <xf numFmtId="3" fontId="38" fillId="7" borderId="12" xfId="0" applyNumberFormat="1" applyFont="1" applyFill="1" applyBorder="1"/>
    <xf numFmtId="3" fontId="34" fillId="0" borderId="12" xfId="0" applyNumberFormat="1" applyFont="1" applyBorder="1"/>
    <xf numFmtId="3" fontId="34" fillId="0" borderId="20" xfId="0" applyNumberFormat="1" applyFont="1" applyBorder="1"/>
  </cellXfs>
  <cellStyles count="3">
    <cellStyle name="Normál" xfId="0" builtinId="0"/>
    <cellStyle name="Normál_06" xfId="1" xr:uid="{00000000-0005-0000-0000-000001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8.140625" style="53" customWidth="1"/>
    <col min="2" max="2" width="61.42578125" style="53" customWidth="1"/>
    <col min="3" max="3" width="10.7109375" style="53" customWidth="1"/>
    <col min="4" max="5" width="20.28515625" style="53" bestFit="1" customWidth="1"/>
    <col min="6" max="6" width="22.5703125" style="53" bestFit="1" customWidth="1"/>
    <col min="7" max="7" width="10.140625" style="53" bestFit="1" customWidth="1"/>
    <col min="8" max="16384" width="9.140625" style="53"/>
  </cols>
  <sheetData>
    <row r="1" spans="1:6" ht="20.25" x14ac:dyDescent="0.3">
      <c r="B1" s="1" t="s">
        <v>161</v>
      </c>
    </row>
    <row r="2" spans="1:6" ht="13.5" thickBot="1" x14ac:dyDescent="0.25"/>
    <row r="3" spans="1:6" ht="15.75" thickTop="1" x14ac:dyDescent="0.25">
      <c r="D3" s="114" t="s">
        <v>149</v>
      </c>
      <c r="E3" s="131" t="s">
        <v>149</v>
      </c>
      <c r="F3" s="148" t="s">
        <v>149</v>
      </c>
    </row>
    <row r="4" spans="1:6" ht="31.5" x14ac:dyDescent="0.2">
      <c r="A4" s="54" t="s">
        <v>0</v>
      </c>
      <c r="B4" s="55" t="s">
        <v>1</v>
      </c>
      <c r="C4" s="97" t="s">
        <v>2</v>
      </c>
      <c r="D4" s="115" t="s">
        <v>145</v>
      </c>
      <c r="E4" s="132" t="s">
        <v>146</v>
      </c>
      <c r="F4" s="149" t="s">
        <v>88</v>
      </c>
    </row>
    <row r="5" spans="1:6" ht="14.25" x14ac:dyDescent="0.2">
      <c r="A5" s="56" t="s">
        <v>108</v>
      </c>
      <c r="B5" s="57" t="s">
        <v>96</v>
      </c>
      <c r="C5" s="98" t="s">
        <v>98</v>
      </c>
      <c r="D5" s="116"/>
      <c r="E5" s="133">
        <f>Konyha!I5</f>
        <v>9849787.6929133851</v>
      </c>
      <c r="F5" s="150">
        <f>+E5+D5</f>
        <v>9849787.6929133851</v>
      </c>
    </row>
    <row r="6" spans="1:6" ht="14.25" x14ac:dyDescent="0.2">
      <c r="A6" s="56" t="s">
        <v>109</v>
      </c>
      <c r="B6" s="57" t="s">
        <v>95</v>
      </c>
      <c r="C6" s="98" t="s">
        <v>97</v>
      </c>
      <c r="D6" s="117"/>
      <c r="E6" s="134">
        <f>Konyha!I6</f>
        <v>1993502.3622047245</v>
      </c>
      <c r="F6" s="151">
        <f t="shared" ref="F6:F20" si="0">+E6+D6</f>
        <v>1993502.3622047245</v>
      </c>
    </row>
    <row r="7" spans="1:6" ht="14.25" x14ac:dyDescent="0.2">
      <c r="A7" s="56" t="s">
        <v>110</v>
      </c>
      <c r="B7" s="58" t="s">
        <v>101</v>
      </c>
      <c r="C7" s="98" t="s">
        <v>102</v>
      </c>
      <c r="D7" s="117"/>
      <c r="E7" s="134">
        <f>Konyha!I7</f>
        <v>3197688.3148818896</v>
      </c>
      <c r="F7" s="151">
        <f t="shared" si="0"/>
        <v>3197688.3148818896</v>
      </c>
    </row>
    <row r="8" spans="1:6" ht="14.25" x14ac:dyDescent="0.2">
      <c r="A8" s="56" t="s">
        <v>111</v>
      </c>
      <c r="B8" s="59" t="s">
        <v>65</v>
      </c>
      <c r="C8" s="98" t="s">
        <v>52</v>
      </c>
      <c r="D8" s="117">
        <f>Óvoda!H5</f>
        <v>177</v>
      </c>
      <c r="E8" s="134"/>
      <c r="F8" s="151">
        <f t="shared" si="0"/>
        <v>177</v>
      </c>
    </row>
    <row r="9" spans="1:6" ht="14.25" x14ac:dyDescent="0.2">
      <c r="A9" s="60" t="s">
        <v>112</v>
      </c>
      <c r="B9" s="59" t="s">
        <v>64</v>
      </c>
      <c r="C9" s="99" t="s">
        <v>126</v>
      </c>
      <c r="D9" s="117">
        <f>Óvoda!H6</f>
        <v>10000</v>
      </c>
      <c r="E9" s="135"/>
      <c r="F9" s="151">
        <f t="shared" si="0"/>
        <v>10000</v>
      </c>
    </row>
    <row r="10" spans="1:6" ht="14.25" x14ac:dyDescent="0.2">
      <c r="A10" s="60">
        <v>6</v>
      </c>
      <c r="B10" s="59" t="s">
        <v>150</v>
      </c>
      <c r="C10" s="99" t="s">
        <v>126</v>
      </c>
      <c r="D10" s="117"/>
      <c r="E10" s="135"/>
      <c r="F10" s="151">
        <f t="shared" si="0"/>
        <v>0</v>
      </c>
    </row>
    <row r="11" spans="1:6" ht="15" x14ac:dyDescent="0.2">
      <c r="A11" s="61" t="s">
        <v>113</v>
      </c>
      <c r="B11" s="62" t="s">
        <v>66</v>
      </c>
      <c r="C11" s="100" t="s">
        <v>54</v>
      </c>
      <c r="D11" s="118">
        <f>SUM(D5:D9)</f>
        <v>10177</v>
      </c>
      <c r="E11" s="136">
        <f>SUM(E5:E9)</f>
        <v>15040978.369999999</v>
      </c>
      <c r="F11" s="152">
        <f t="shared" si="0"/>
        <v>15051155.369999999</v>
      </c>
    </row>
    <row r="12" spans="1:6" ht="15" x14ac:dyDescent="0.2">
      <c r="A12" s="63" t="s">
        <v>114</v>
      </c>
      <c r="B12" s="64" t="s">
        <v>67</v>
      </c>
      <c r="C12" s="101" t="s">
        <v>55</v>
      </c>
      <c r="D12" s="119">
        <f>D11</f>
        <v>10177</v>
      </c>
      <c r="E12" s="137">
        <f>E11</f>
        <v>15040978.369999999</v>
      </c>
      <c r="F12" s="153">
        <f t="shared" si="0"/>
        <v>15051155.369999999</v>
      </c>
    </row>
    <row r="13" spans="1:6" ht="14.25" x14ac:dyDescent="0.2">
      <c r="A13" s="56" t="s">
        <v>115</v>
      </c>
      <c r="B13" s="65" t="s">
        <v>56</v>
      </c>
      <c r="C13" s="102" t="s">
        <v>57</v>
      </c>
      <c r="D13" s="120">
        <f>Óvoda!G9</f>
        <v>2193277</v>
      </c>
      <c r="E13" s="138">
        <v>0</v>
      </c>
      <c r="F13" s="151">
        <f t="shared" si="0"/>
        <v>2193277</v>
      </c>
    </row>
    <row r="14" spans="1:6" ht="15" x14ac:dyDescent="0.25">
      <c r="A14" s="61" t="s">
        <v>116</v>
      </c>
      <c r="B14" s="66" t="s">
        <v>68</v>
      </c>
      <c r="C14" s="103" t="s">
        <v>58</v>
      </c>
      <c r="D14" s="121">
        <f>SUM(D13)</f>
        <v>2193277</v>
      </c>
      <c r="E14" s="139">
        <f>SUM(E13)</f>
        <v>0</v>
      </c>
      <c r="F14" s="154">
        <f t="shared" si="0"/>
        <v>2193277</v>
      </c>
    </row>
    <row r="15" spans="1:6" s="176" customFormat="1" ht="14.25" x14ac:dyDescent="0.2">
      <c r="A15" s="19" t="s">
        <v>117</v>
      </c>
      <c r="B15" s="255" t="s">
        <v>59</v>
      </c>
      <c r="C15" s="256"/>
      <c r="D15" s="257">
        <f>+Óvoda!H11</f>
        <v>34615900</v>
      </c>
      <c r="E15" s="258">
        <f>Konyha!I10</f>
        <v>19847765</v>
      </c>
      <c r="F15" s="259">
        <f t="shared" si="0"/>
        <v>54463665</v>
      </c>
    </row>
    <row r="16" spans="1:6" s="176" customFormat="1" ht="14.25" x14ac:dyDescent="0.2">
      <c r="A16" s="19"/>
      <c r="B16" s="255" t="s">
        <v>164</v>
      </c>
      <c r="C16" s="256"/>
      <c r="D16" s="261">
        <f>+Óvoda!H12</f>
        <v>2451079</v>
      </c>
      <c r="E16" s="260">
        <f>Konyha!I11</f>
        <v>2558000</v>
      </c>
      <c r="F16" s="262">
        <f>+E16+D16</f>
        <v>5009079</v>
      </c>
    </row>
    <row r="17" spans="1:7" ht="15" x14ac:dyDescent="0.25">
      <c r="A17" s="18"/>
      <c r="B17" s="26" t="s">
        <v>166</v>
      </c>
      <c r="C17" s="31" t="s">
        <v>60</v>
      </c>
      <c r="D17" s="252">
        <f>+D15+D16</f>
        <v>37066979</v>
      </c>
      <c r="E17" s="253">
        <f>+E15+E16</f>
        <v>22405765</v>
      </c>
      <c r="F17" s="254">
        <f>+E17+D17</f>
        <v>59472744</v>
      </c>
    </row>
    <row r="18" spans="1:7" ht="15" x14ac:dyDescent="0.25">
      <c r="A18" s="20" t="s">
        <v>118</v>
      </c>
      <c r="B18" s="26" t="s">
        <v>69</v>
      </c>
      <c r="C18" s="31" t="s">
        <v>61</v>
      </c>
      <c r="D18" s="252">
        <f>D14+D15+D16</f>
        <v>39260256</v>
      </c>
      <c r="E18" s="253">
        <f>E14+E15</f>
        <v>19847765</v>
      </c>
      <c r="F18" s="254">
        <f t="shared" si="0"/>
        <v>59108021</v>
      </c>
    </row>
    <row r="19" spans="1:7" ht="15.75" thickBot="1" x14ac:dyDescent="0.25">
      <c r="A19" s="63" t="s">
        <v>119</v>
      </c>
      <c r="B19" s="64" t="s">
        <v>70</v>
      </c>
      <c r="C19" s="101" t="s">
        <v>62</v>
      </c>
      <c r="D19" s="122">
        <f>D18</f>
        <v>39260256</v>
      </c>
      <c r="E19" s="140">
        <f>E18+E16</f>
        <v>22405765</v>
      </c>
      <c r="F19" s="153">
        <f t="shared" si="0"/>
        <v>61666021</v>
      </c>
    </row>
    <row r="20" spans="1:7" ht="18.75" thickBot="1" x14ac:dyDescent="0.25">
      <c r="A20" s="67" t="s">
        <v>120</v>
      </c>
      <c r="B20" s="68" t="s">
        <v>71</v>
      </c>
      <c r="C20" s="104" t="s">
        <v>63</v>
      </c>
      <c r="D20" s="123">
        <f>D12+D19</f>
        <v>39270433</v>
      </c>
      <c r="E20" s="141">
        <f>E12+E19</f>
        <v>37446743.369999997</v>
      </c>
      <c r="F20" s="155">
        <f t="shared" si="0"/>
        <v>76717176.370000005</v>
      </c>
      <c r="G20" s="85"/>
    </row>
    <row r="21" spans="1:7" ht="7.5" customHeight="1" x14ac:dyDescent="0.2">
      <c r="A21" s="69"/>
      <c r="B21" s="70"/>
      <c r="C21" s="105"/>
      <c r="D21" s="124"/>
      <c r="E21" s="142"/>
      <c r="F21" s="156"/>
    </row>
    <row r="22" spans="1:7" ht="14.25" x14ac:dyDescent="0.2">
      <c r="A22" s="71">
        <v>1</v>
      </c>
      <c r="B22" s="72" t="s">
        <v>3</v>
      </c>
      <c r="C22" s="106" t="s">
        <v>4</v>
      </c>
      <c r="D22" s="125">
        <f>Óvoda!H17</f>
        <v>23980637</v>
      </c>
      <c r="E22" s="143">
        <f>Konyha!I15</f>
        <v>10382900</v>
      </c>
      <c r="F22" s="157">
        <f>+D22+E22</f>
        <v>34363537</v>
      </c>
    </row>
    <row r="23" spans="1:7" ht="14.25" x14ac:dyDescent="0.2">
      <c r="A23" s="71">
        <v>2</v>
      </c>
      <c r="B23" s="6" t="s">
        <v>165</v>
      </c>
      <c r="C23" s="33" t="s">
        <v>135</v>
      </c>
      <c r="D23" s="125">
        <f>Óvoda!H18</f>
        <v>1827000</v>
      </c>
      <c r="E23" s="143">
        <f>Konyha!I16</f>
        <v>390000</v>
      </c>
      <c r="F23" s="157">
        <f t="shared" ref="F23:F67" si="1">+D23+E23</f>
        <v>2217000</v>
      </c>
    </row>
    <row r="24" spans="1:7" ht="14.25" x14ac:dyDescent="0.2">
      <c r="A24" s="71">
        <v>3</v>
      </c>
      <c r="B24" s="73" t="s">
        <v>5</v>
      </c>
      <c r="C24" s="106" t="s">
        <v>6</v>
      </c>
      <c r="D24" s="125">
        <f>Óvoda!H19</f>
        <v>1139400</v>
      </c>
      <c r="E24" s="143">
        <f>Konyha!I17</f>
        <v>506401</v>
      </c>
      <c r="F24" s="157">
        <f t="shared" si="1"/>
        <v>1645801</v>
      </c>
    </row>
    <row r="25" spans="1:7" ht="14.25" x14ac:dyDescent="0.2">
      <c r="A25" s="71">
        <v>4</v>
      </c>
      <c r="B25" s="73" t="s">
        <v>7</v>
      </c>
      <c r="C25" s="106" t="s">
        <v>8</v>
      </c>
      <c r="D25" s="125">
        <v>0</v>
      </c>
      <c r="E25" s="143">
        <f>Konyha!I18</f>
        <v>119988</v>
      </c>
      <c r="F25" s="157">
        <f t="shared" si="1"/>
        <v>119988</v>
      </c>
    </row>
    <row r="26" spans="1:7" ht="14.25" x14ac:dyDescent="0.2">
      <c r="A26" s="71">
        <v>5</v>
      </c>
      <c r="B26" s="7" t="s">
        <v>167</v>
      </c>
      <c r="C26" s="106" t="s">
        <v>10</v>
      </c>
      <c r="D26" s="125">
        <f>Óvoda!H21</f>
        <v>2164674</v>
      </c>
      <c r="E26" s="143">
        <f>Konyha!I19</f>
        <v>0</v>
      </c>
      <c r="F26" s="157">
        <f t="shared" si="1"/>
        <v>2164674</v>
      </c>
    </row>
    <row r="27" spans="1:7" ht="15" x14ac:dyDescent="0.2">
      <c r="A27" s="74">
        <v>6</v>
      </c>
      <c r="B27" s="75" t="s">
        <v>72</v>
      </c>
      <c r="C27" s="107" t="s">
        <v>11</v>
      </c>
      <c r="D27" s="126">
        <f>SUM(D22:D26)</f>
        <v>29111711</v>
      </c>
      <c r="E27" s="144">
        <f>SUM(E22:E26)</f>
        <v>11399289</v>
      </c>
      <c r="F27" s="158">
        <f t="shared" si="1"/>
        <v>40511000</v>
      </c>
    </row>
    <row r="28" spans="1:7" ht="15" x14ac:dyDescent="0.2">
      <c r="A28" s="74">
        <v>7</v>
      </c>
      <c r="B28" s="7" t="s">
        <v>158</v>
      </c>
      <c r="C28" s="108" t="s">
        <v>130</v>
      </c>
      <c r="D28" s="125">
        <f>Óvoda!H23</f>
        <v>0</v>
      </c>
      <c r="E28" s="143">
        <f>Konyha!I21</f>
        <v>0</v>
      </c>
      <c r="F28" s="159">
        <f t="shared" si="1"/>
        <v>0</v>
      </c>
    </row>
    <row r="29" spans="1:7" ht="15" x14ac:dyDescent="0.2">
      <c r="A29" s="74">
        <v>8</v>
      </c>
      <c r="B29" s="75" t="s">
        <v>133</v>
      </c>
      <c r="C29" s="109" t="s">
        <v>131</v>
      </c>
      <c r="D29" s="126">
        <f>SUM(D28)</f>
        <v>0</v>
      </c>
      <c r="E29" s="144">
        <f>SUM(E28)</f>
        <v>0</v>
      </c>
      <c r="F29" s="158">
        <f t="shared" si="1"/>
        <v>0</v>
      </c>
    </row>
    <row r="30" spans="1:7" ht="15" x14ac:dyDescent="0.2">
      <c r="A30" s="74">
        <v>9</v>
      </c>
      <c r="B30" s="75" t="s">
        <v>73</v>
      </c>
      <c r="C30" s="107" t="s">
        <v>12</v>
      </c>
      <c r="D30" s="118">
        <f>D27+D29</f>
        <v>29111711</v>
      </c>
      <c r="E30" s="136">
        <f>E27+E29</f>
        <v>11399289</v>
      </c>
      <c r="F30" s="152">
        <f t="shared" si="1"/>
        <v>40511000</v>
      </c>
    </row>
    <row r="31" spans="1:7" ht="30" x14ac:dyDescent="0.2">
      <c r="A31" s="74">
        <v>10</v>
      </c>
      <c r="B31" s="75" t="s">
        <v>74</v>
      </c>
      <c r="C31" s="107" t="s">
        <v>13</v>
      </c>
      <c r="D31" s="118">
        <f>SUM(D32:D35)</f>
        <v>5847693.6450000005</v>
      </c>
      <c r="E31" s="136">
        <f>SUM(E32:E35)</f>
        <v>2275423.8450000002</v>
      </c>
      <c r="F31" s="152">
        <f t="shared" si="1"/>
        <v>8123117.4900000002</v>
      </c>
    </row>
    <row r="32" spans="1:7" ht="14.25" x14ac:dyDescent="0.2">
      <c r="A32" s="71">
        <v>11</v>
      </c>
      <c r="B32" s="76" t="s">
        <v>14</v>
      </c>
      <c r="C32" s="110" t="s">
        <v>13</v>
      </c>
      <c r="D32" s="127">
        <f>Óvoda!H27</f>
        <v>5676783.6450000005</v>
      </c>
      <c r="E32" s="145">
        <f>Konyha!I25</f>
        <v>2199463.6950000003</v>
      </c>
      <c r="F32" s="160">
        <f t="shared" si="1"/>
        <v>7876247.3400000008</v>
      </c>
    </row>
    <row r="33" spans="1:6" ht="14.25" x14ac:dyDescent="0.2">
      <c r="A33" s="71"/>
      <c r="B33" s="9" t="s">
        <v>15</v>
      </c>
      <c r="C33" s="34" t="s">
        <v>13</v>
      </c>
      <c r="D33" s="127">
        <f>Óvoda!H28</f>
        <v>0</v>
      </c>
      <c r="E33" s="145">
        <f>Konyha!I26</f>
        <v>0</v>
      </c>
      <c r="F33" s="160">
        <f t="shared" si="1"/>
        <v>0</v>
      </c>
    </row>
    <row r="34" spans="1:6" ht="14.25" x14ac:dyDescent="0.2">
      <c r="A34" s="71"/>
      <c r="B34" s="9" t="s">
        <v>160</v>
      </c>
      <c r="C34" s="34" t="s">
        <v>13</v>
      </c>
      <c r="D34" s="127"/>
      <c r="E34" s="145">
        <f>Konyha!I28</f>
        <v>0</v>
      </c>
      <c r="F34" s="160">
        <f t="shared" si="1"/>
        <v>0</v>
      </c>
    </row>
    <row r="35" spans="1:6" ht="14.25" x14ac:dyDescent="0.2">
      <c r="A35" s="71">
        <v>13</v>
      </c>
      <c r="B35" s="76" t="s">
        <v>16</v>
      </c>
      <c r="C35" s="110" t="s">
        <v>13</v>
      </c>
      <c r="D35" s="127">
        <f>Óvoda!H29</f>
        <v>170910</v>
      </c>
      <c r="E35" s="145">
        <f>Konyha!I27</f>
        <v>75960.150000000009</v>
      </c>
      <c r="F35" s="160">
        <f t="shared" si="1"/>
        <v>246870.15000000002</v>
      </c>
    </row>
    <row r="36" spans="1:6" ht="15.75" x14ac:dyDescent="0.2">
      <c r="A36" s="77">
        <v>14</v>
      </c>
      <c r="B36" s="78" t="s">
        <v>17</v>
      </c>
      <c r="C36" s="111" t="s">
        <v>18</v>
      </c>
      <c r="D36" s="128">
        <f>D30+D31</f>
        <v>34959404.645000003</v>
      </c>
      <c r="E36" s="146">
        <f>E30+E31</f>
        <v>13674712.845000001</v>
      </c>
      <c r="F36" s="161">
        <f>+D36+E36</f>
        <v>48634117.490000002</v>
      </c>
    </row>
    <row r="37" spans="1:6" ht="14.25" x14ac:dyDescent="0.2">
      <c r="A37" s="71">
        <v>15</v>
      </c>
      <c r="B37" s="73" t="s">
        <v>19</v>
      </c>
      <c r="C37" s="106" t="s">
        <v>20</v>
      </c>
      <c r="D37" s="125">
        <f>Óvoda!H31</f>
        <v>262847</v>
      </c>
      <c r="E37" s="143">
        <v>0</v>
      </c>
      <c r="F37" s="159">
        <f t="shared" si="1"/>
        <v>262847</v>
      </c>
    </row>
    <row r="38" spans="1:6" ht="14.25" x14ac:dyDescent="0.2">
      <c r="A38" s="71">
        <v>16</v>
      </c>
      <c r="B38" s="73" t="s">
        <v>21</v>
      </c>
      <c r="C38" s="106" t="s">
        <v>22</v>
      </c>
      <c r="D38" s="125">
        <f>Óvoda!H32</f>
        <v>1123332</v>
      </c>
      <c r="E38" s="143">
        <f>Konyha!I30</f>
        <v>15852088.913385827</v>
      </c>
      <c r="F38" s="159">
        <f t="shared" si="1"/>
        <v>16975420.913385827</v>
      </c>
    </row>
    <row r="39" spans="1:6" ht="15" x14ac:dyDescent="0.2">
      <c r="A39" s="74">
        <v>17</v>
      </c>
      <c r="B39" s="75" t="s">
        <v>75</v>
      </c>
      <c r="C39" s="107" t="s">
        <v>23</v>
      </c>
      <c r="D39" s="126">
        <f>SUM(D37:D38)</f>
        <v>1386179</v>
      </c>
      <c r="E39" s="144">
        <f>SUM(E37:E38)</f>
        <v>15852088.913385827</v>
      </c>
      <c r="F39" s="158">
        <f t="shared" si="1"/>
        <v>17238267.913385827</v>
      </c>
    </row>
    <row r="40" spans="1:6" ht="14.25" x14ac:dyDescent="0.2">
      <c r="A40" s="71">
        <v>18</v>
      </c>
      <c r="B40" s="73" t="s">
        <v>24</v>
      </c>
      <c r="C40" s="106" t="s">
        <v>25</v>
      </c>
      <c r="D40" s="125">
        <f>Óvoda!H34</f>
        <v>45833</v>
      </c>
      <c r="E40" s="143">
        <f>Konyha!I32</f>
        <v>65512</v>
      </c>
      <c r="F40" s="159">
        <f t="shared" si="1"/>
        <v>111345</v>
      </c>
    </row>
    <row r="41" spans="1:6" ht="14.25" x14ac:dyDescent="0.2">
      <c r="A41" s="71">
        <v>19</v>
      </c>
      <c r="B41" s="73" t="s">
        <v>26</v>
      </c>
      <c r="C41" s="106" t="s">
        <v>27</v>
      </c>
      <c r="D41" s="125">
        <f>Óvoda!H35</f>
        <v>24913</v>
      </c>
      <c r="E41" s="143">
        <f>Konyha!I33</f>
        <v>0</v>
      </c>
      <c r="F41" s="159">
        <f t="shared" si="1"/>
        <v>24913</v>
      </c>
    </row>
    <row r="42" spans="1:6" ht="15" x14ac:dyDescent="0.2">
      <c r="A42" s="74">
        <v>20</v>
      </c>
      <c r="B42" s="75" t="s">
        <v>76</v>
      </c>
      <c r="C42" s="107" t="s">
        <v>28</v>
      </c>
      <c r="D42" s="126">
        <f>SUM(D40:D41)</f>
        <v>70746</v>
      </c>
      <c r="E42" s="144">
        <f>SUM(E40:E41)</f>
        <v>65512</v>
      </c>
      <c r="F42" s="158">
        <f t="shared" si="1"/>
        <v>136258</v>
      </c>
    </row>
    <row r="43" spans="1:6" ht="14.25" x14ac:dyDescent="0.2">
      <c r="A43" s="71">
        <v>21</v>
      </c>
      <c r="B43" s="73" t="s">
        <v>29</v>
      </c>
      <c r="C43" s="106" t="s">
        <v>30</v>
      </c>
      <c r="D43" s="125">
        <f>Óvoda!H37</f>
        <v>1077258</v>
      </c>
      <c r="E43" s="143">
        <f>Konyha!I35</f>
        <v>1275155</v>
      </c>
      <c r="F43" s="159">
        <f t="shared" si="1"/>
        <v>2352413</v>
      </c>
    </row>
    <row r="44" spans="1:6" ht="14.25" x14ac:dyDescent="0.2">
      <c r="A44" s="71">
        <v>22</v>
      </c>
      <c r="B44" s="73" t="s">
        <v>103</v>
      </c>
      <c r="C44" s="106" t="s">
        <v>105</v>
      </c>
      <c r="D44" s="125"/>
      <c r="E44" s="143">
        <f>Konyha!I36</f>
        <v>8413</v>
      </c>
      <c r="F44" s="159">
        <f t="shared" si="1"/>
        <v>8413</v>
      </c>
    </row>
    <row r="45" spans="1:6" ht="14.25" x14ac:dyDescent="0.2">
      <c r="A45" s="71">
        <v>23</v>
      </c>
      <c r="B45" s="73" t="s">
        <v>104</v>
      </c>
      <c r="C45" s="106" t="s">
        <v>106</v>
      </c>
      <c r="D45" s="125"/>
      <c r="E45" s="143">
        <f>Konyha!I37</f>
        <v>0</v>
      </c>
      <c r="F45" s="159">
        <f t="shared" si="1"/>
        <v>0</v>
      </c>
    </row>
    <row r="46" spans="1:6" ht="14.25" x14ac:dyDescent="0.2">
      <c r="A46" s="71">
        <v>24</v>
      </c>
      <c r="B46" s="73" t="s">
        <v>127</v>
      </c>
      <c r="C46" s="106" t="s">
        <v>143</v>
      </c>
      <c r="D46" s="125">
        <f>+Óvoda!H38</f>
        <v>6933</v>
      </c>
      <c r="E46" s="143">
        <f>+Konyha!I38</f>
        <v>240410</v>
      </c>
      <c r="F46" s="159">
        <f t="shared" si="1"/>
        <v>247343</v>
      </c>
    </row>
    <row r="47" spans="1:6" ht="14.25" x14ac:dyDescent="0.2">
      <c r="A47" s="71">
        <v>25</v>
      </c>
      <c r="B47" s="73" t="s">
        <v>31</v>
      </c>
      <c r="C47" s="106" t="s">
        <v>32</v>
      </c>
      <c r="D47" s="125">
        <f>+Óvoda!H39</f>
        <v>495205</v>
      </c>
      <c r="E47" s="143">
        <f>+Konyha!I39</f>
        <v>6724</v>
      </c>
      <c r="F47" s="157">
        <f t="shared" si="1"/>
        <v>501929</v>
      </c>
    </row>
    <row r="48" spans="1:6" ht="14.25" x14ac:dyDescent="0.2">
      <c r="A48" s="71">
        <v>26</v>
      </c>
      <c r="B48" s="73" t="s">
        <v>77</v>
      </c>
      <c r="C48" s="106" t="s">
        <v>33</v>
      </c>
      <c r="D48" s="125">
        <f>Óvoda!H40</f>
        <v>401021</v>
      </c>
      <c r="E48" s="143">
        <f>Konyha!I40</f>
        <v>172091</v>
      </c>
      <c r="F48" s="157">
        <f t="shared" si="1"/>
        <v>573112</v>
      </c>
    </row>
    <row r="49" spans="1:6" ht="15" x14ac:dyDescent="0.2">
      <c r="A49" s="74">
        <v>27</v>
      </c>
      <c r="B49" s="75" t="s">
        <v>78</v>
      </c>
      <c r="C49" s="107" t="s">
        <v>34</v>
      </c>
      <c r="D49" s="126">
        <f>SUM(D43:D48)</f>
        <v>1980417</v>
      </c>
      <c r="E49" s="144">
        <f>SUM(E43:E48)</f>
        <v>1702793</v>
      </c>
      <c r="F49" s="158">
        <f t="shared" si="1"/>
        <v>3683210</v>
      </c>
    </row>
    <row r="50" spans="1:6" ht="14.25" x14ac:dyDescent="0.2">
      <c r="A50" s="71">
        <v>28</v>
      </c>
      <c r="B50" s="73" t="s">
        <v>35</v>
      </c>
      <c r="C50" s="106" t="s">
        <v>36</v>
      </c>
      <c r="D50" s="125">
        <f>Óvoda!H42</f>
        <v>0</v>
      </c>
      <c r="E50" s="143"/>
      <c r="F50" s="160">
        <f t="shared" si="1"/>
        <v>0</v>
      </c>
    </row>
    <row r="51" spans="1:6" ht="15" x14ac:dyDescent="0.2">
      <c r="A51" s="74">
        <v>29</v>
      </c>
      <c r="B51" s="75" t="s">
        <v>79</v>
      </c>
      <c r="C51" s="107" t="s">
        <v>37</v>
      </c>
      <c r="D51" s="126">
        <f>SUM(D50)</f>
        <v>0</v>
      </c>
      <c r="E51" s="144">
        <f>SUM(E50)</f>
        <v>0</v>
      </c>
      <c r="F51" s="158">
        <f t="shared" si="1"/>
        <v>0</v>
      </c>
    </row>
    <row r="52" spans="1:6" ht="14.25" x14ac:dyDescent="0.2">
      <c r="A52" s="71">
        <v>30</v>
      </c>
      <c r="B52" s="73" t="s">
        <v>38</v>
      </c>
      <c r="C52" s="106" t="s">
        <v>39</v>
      </c>
      <c r="D52" s="125">
        <f>Óvoda!H44</f>
        <v>614309</v>
      </c>
      <c r="E52" s="143">
        <f>Konyha!I42</f>
        <v>3443243.0866141734</v>
      </c>
      <c r="F52" s="157">
        <f t="shared" si="1"/>
        <v>4057552.0866141734</v>
      </c>
    </row>
    <row r="53" spans="1:6" ht="14.25" x14ac:dyDescent="0.2">
      <c r="A53" s="71">
        <v>31</v>
      </c>
      <c r="B53" s="73" t="s">
        <v>136</v>
      </c>
      <c r="C53" s="106" t="s">
        <v>137</v>
      </c>
      <c r="D53" s="125"/>
      <c r="E53" s="143">
        <f>Konyha!I43</f>
        <v>2558000</v>
      </c>
      <c r="F53" s="157">
        <f t="shared" si="1"/>
        <v>2558000</v>
      </c>
    </row>
    <row r="54" spans="1:6" ht="14.25" x14ac:dyDescent="0.2">
      <c r="A54" s="71">
        <v>32</v>
      </c>
      <c r="B54" s="7" t="s">
        <v>107</v>
      </c>
      <c r="C54" s="106" t="s">
        <v>41</v>
      </c>
      <c r="D54" s="125">
        <f>Óvoda!H45</f>
        <v>48702</v>
      </c>
      <c r="E54" s="143">
        <f>Konyha!I44</f>
        <v>150394</v>
      </c>
      <c r="F54" s="157">
        <f t="shared" si="1"/>
        <v>199096</v>
      </c>
    </row>
    <row r="55" spans="1:6" ht="15" x14ac:dyDescent="0.2">
      <c r="A55" s="71"/>
      <c r="B55" s="7" t="s">
        <v>154</v>
      </c>
      <c r="C55" s="33" t="s">
        <v>41</v>
      </c>
      <c r="D55" s="129">
        <f>Óvoda!H46</f>
        <v>0</v>
      </c>
      <c r="E55" s="143"/>
      <c r="F55" s="157">
        <f t="shared" si="1"/>
        <v>0</v>
      </c>
    </row>
    <row r="56" spans="1:6" ht="15" x14ac:dyDescent="0.2">
      <c r="A56" s="74">
        <v>33</v>
      </c>
      <c r="B56" s="75" t="s">
        <v>80</v>
      </c>
      <c r="C56" s="107" t="s">
        <v>42</v>
      </c>
      <c r="D56" s="126">
        <f>SUM(D52:D55)</f>
        <v>663011</v>
      </c>
      <c r="E56" s="144">
        <f>SUM(E52:E54)</f>
        <v>6151637.0866141729</v>
      </c>
      <c r="F56" s="158">
        <f t="shared" si="1"/>
        <v>6814648.0866141729</v>
      </c>
    </row>
    <row r="57" spans="1:6" ht="15" x14ac:dyDescent="0.2">
      <c r="A57" s="74">
        <v>34</v>
      </c>
      <c r="B57" s="75" t="s">
        <v>81</v>
      </c>
      <c r="C57" s="107" t="s">
        <v>43</v>
      </c>
      <c r="D57" s="118">
        <f>D39+D42+D49+D51+D56</f>
        <v>4100353</v>
      </c>
      <c r="E57" s="136">
        <f>E39+E42+E49+E51+E56</f>
        <v>23772031</v>
      </c>
      <c r="F57" s="152">
        <f t="shared" si="1"/>
        <v>27872384</v>
      </c>
    </row>
    <row r="58" spans="1:6" ht="15.75" x14ac:dyDescent="0.2">
      <c r="A58" s="77">
        <v>35</v>
      </c>
      <c r="B58" s="78" t="s">
        <v>44</v>
      </c>
      <c r="C58" s="111" t="s">
        <v>147</v>
      </c>
      <c r="D58" s="128">
        <f>D36+D57</f>
        <v>39059757.645000003</v>
      </c>
      <c r="E58" s="146">
        <f>E36+E57</f>
        <v>37446743.844999999</v>
      </c>
      <c r="F58" s="161">
        <f t="shared" si="1"/>
        <v>76506501.49000001</v>
      </c>
    </row>
    <row r="59" spans="1:6" ht="14.25" x14ac:dyDescent="0.2">
      <c r="A59" s="71">
        <v>36</v>
      </c>
      <c r="B59" s="79" t="s">
        <v>45</v>
      </c>
      <c r="C59" s="106" t="s">
        <v>46</v>
      </c>
      <c r="D59" s="125">
        <f>+Óvoda!H50</f>
        <v>177637</v>
      </c>
      <c r="E59" s="143">
        <f>Konyha!I48</f>
        <v>0</v>
      </c>
      <c r="F59" s="157">
        <f t="shared" si="1"/>
        <v>177637</v>
      </c>
    </row>
    <row r="60" spans="1:6" ht="14.25" x14ac:dyDescent="0.2">
      <c r="A60" s="71">
        <v>37</v>
      </c>
      <c r="B60" s="73" t="s">
        <v>47</v>
      </c>
      <c r="C60" s="106" t="s">
        <v>48</v>
      </c>
      <c r="D60" s="125">
        <f>+Óvoda!H51</f>
        <v>33038</v>
      </c>
      <c r="E60" s="143">
        <f>Konyha!I49</f>
        <v>0</v>
      </c>
      <c r="F60" s="157">
        <f t="shared" si="1"/>
        <v>33038</v>
      </c>
    </row>
    <row r="61" spans="1:6" ht="15" x14ac:dyDescent="0.2">
      <c r="A61" s="74">
        <v>38</v>
      </c>
      <c r="B61" s="80" t="s">
        <v>82</v>
      </c>
      <c r="C61" s="107" t="s">
        <v>49</v>
      </c>
      <c r="D61" s="118">
        <f>SUM(D59:D60)</f>
        <v>210675</v>
      </c>
      <c r="E61" s="136">
        <f>SUM(E59:E60)</f>
        <v>0</v>
      </c>
      <c r="F61" s="152">
        <f t="shared" si="1"/>
        <v>210675</v>
      </c>
    </row>
    <row r="62" spans="1:6" ht="14.25" x14ac:dyDescent="0.2">
      <c r="A62" s="71">
        <v>39</v>
      </c>
      <c r="B62" s="81" t="s">
        <v>121</v>
      </c>
      <c r="C62" s="108" t="s">
        <v>122</v>
      </c>
      <c r="D62" s="125">
        <v>0</v>
      </c>
      <c r="E62" s="143">
        <v>0</v>
      </c>
      <c r="F62" s="157">
        <f t="shared" si="1"/>
        <v>0</v>
      </c>
    </row>
    <row r="63" spans="1:6" ht="14.25" x14ac:dyDescent="0.2">
      <c r="A63" s="71">
        <v>40</v>
      </c>
      <c r="B63" s="73" t="s">
        <v>47</v>
      </c>
      <c r="C63" s="108" t="s">
        <v>142</v>
      </c>
      <c r="D63" s="125">
        <v>0</v>
      </c>
      <c r="E63" s="143">
        <v>0</v>
      </c>
      <c r="F63" s="157">
        <f t="shared" si="1"/>
        <v>0</v>
      </c>
    </row>
    <row r="64" spans="1:6" ht="15" x14ac:dyDescent="0.2">
      <c r="A64" s="82">
        <v>41</v>
      </c>
      <c r="B64" s="80" t="s">
        <v>123</v>
      </c>
      <c r="C64" s="112" t="s">
        <v>124</v>
      </c>
      <c r="D64" s="118">
        <f>SUM(D62:D63)</f>
        <v>0</v>
      </c>
      <c r="E64" s="136">
        <f>SUM(E62:E63)</f>
        <v>0</v>
      </c>
      <c r="F64" s="152">
        <f t="shared" si="1"/>
        <v>0</v>
      </c>
    </row>
    <row r="65" spans="1:6" ht="15.75" x14ac:dyDescent="0.2">
      <c r="A65" s="77">
        <v>42</v>
      </c>
      <c r="B65" s="78" t="s">
        <v>125</v>
      </c>
      <c r="C65" s="111" t="s">
        <v>148</v>
      </c>
      <c r="D65" s="128">
        <f>D64+D61</f>
        <v>210675</v>
      </c>
      <c r="E65" s="146">
        <f>E64+E61</f>
        <v>0</v>
      </c>
      <c r="F65" s="161">
        <f t="shared" si="1"/>
        <v>210675</v>
      </c>
    </row>
    <row r="66" spans="1:6" ht="15.75" thickBot="1" x14ac:dyDescent="0.25">
      <c r="A66" s="63">
        <v>43</v>
      </c>
      <c r="B66" s="64" t="s">
        <v>83</v>
      </c>
      <c r="C66" s="101" t="s">
        <v>50</v>
      </c>
      <c r="D66" s="122">
        <f>D58+D65</f>
        <v>39270432.645000003</v>
      </c>
      <c r="E66" s="140">
        <f>E58+E65</f>
        <v>37446743.844999999</v>
      </c>
      <c r="F66" s="153">
        <f t="shared" si="1"/>
        <v>76717176.49000001</v>
      </c>
    </row>
    <row r="67" spans="1:6" ht="18.75" thickBot="1" x14ac:dyDescent="0.25">
      <c r="A67" s="83">
        <v>44</v>
      </c>
      <c r="B67" s="84" t="s">
        <v>84</v>
      </c>
      <c r="C67" s="113" t="s">
        <v>51</v>
      </c>
      <c r="D67" s="130">
        <f>D66</f>
        <v>39270432.645000003</v>
      </c>
      <c r="E67" s="147">
        <f>E66</f>
        <v>37446743.844999999</v>
      </c>
      <c r="F67" s="162">
        <f t="shared" si="1"/>
        <v>76717176.49000001</v>
      </c>
    </row>
    <row r="68" spans="1:6" x14ac:dyDescent="0.2">
      <c r="D68" s="85">
        <f>SUM(D20-D67)</f>
        <v>0.35499999672174454</v>
      </c>
      <c r="E68" s="85">
        <f>SUM(E20-E67)</f>
        <v>-0.47500000149011612</v>
      </c>
      <c r="F68" s="85">
        <f>F20-F67</f>
        <v>-0.12000000476837158</v>
      </c>
    </row>
    <row r="69" spans="1:6" x14ac:dyDescent="0.2">
      <c r="F69" s="9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topLeftCell="B1" zoomScaleSheetLayoutView="90" workbookViewId="0">
      <selection activeCell="G13" sqref="G13"/>
    </sheetView>
  </sheetViews>
  <sheetFormatPr defaultRowHeight="12.75" x14ac:dyDescent="0.2"/>
  <cols>
    <col min="1" max="1" width="8.140625" customWidth="1"/>
    <col min="2" max="2" width="61.42578125" bestFit="1" customWidth="1"/>
    <col min="3" max="3" width="9.85546875" customWidth="1"/>
    <col min="4" max="4" width="18.140625" customWidth="1"/>
    <col min="5" max="5" width="20.5703125" customWidth="1"/>
    <col min="6" max="6" width="19.85546875" customWidth="1"/>
    <col min="7" max="8" width="20.7109375" customWidth="1"/>
    <col min="9" max="9" width="10.140625" bestFit="1" customWidth="1"/>
  </cols>
  <sheetData>
    <row r="1" spans="1:9" ht="20.25" x14ac:dyDescent="0.3">
      <c r="B1" s="1" t="s">
        <v>162</v>
      </c>
    </row>
    <row r="2" spans="1:9" ht="13.5" thickBot="1" x14ac:dyDescent="0.25"/>
    <row r="3" spans="1:9" ht="90.75" thickBot="1" x14ac:dyDescent="0.25">
      <c r="D3" s="44" t="s">
        <v>90</v>
      </c>
      <c r="E3" s="44" t="s">
        <v>132</v>
      </c>
      <c r="F3" s="44" t="s">
        <v>91</v>
      </c>
      <c r="G3" s="163" t="s">
        <v>153</v>
      </c>
    </row>
    <row r="4" spans="1:9" ht="33" thickTop="1" thickBot="1" x14ac:dyDescent="0.25">
      <c r="A4" s="2" t="s">
        <v>0</v>
      </c>
      <c r="B4" s="3" t="s">
        <v>1</v>
      </c>
      <c r="C4" s="4" t="s">
        <v>2</v>
      </c>
      <c r="D4" s="13" t="s">
        <v>85</v>
      </c>
      <c r="E4" s="13" t="s">
        <v>140</v>
      </c>
      <c r="F4" s="13" t="s">
        <v>86</v>
      </c>
      <c r="G4" s="164" t="s">
        <v>87</v>
      </c>
      <c r="H4" s="165" t="s">
        <v>151</v>
      </c>
    </row>
    <row r="5" spans="1:9" ht="18" x14ac:dyDescent="0.25">
      <c r="A5" s="18">
        <v>1</v>
      </c>
      <c r="B5" s="227" t="s">
        <v>65</v>
      </c>
      <c r="C5" s="228" t="s">
        <v>52</v>
      </c>
      <c r="D5" s="229"/>
      <c r="E5" s="229"/>
      <c r="F5" s="230"/>
      <c r="G5" s="179">
        <v>177</v>
      </c>
      <c r="H5" s="231">
        <f t="shared" ref="H5:H10" si="0">D5+E5+F5+G5</f>
        <v>177</v>
      </c>
    </row>
    <row r="6" spans="1:9" ht="18.75" x14ac:dyDescent="0.25">
      <c r="A6" s="19">
        <v>2</v>
      </c>
      <c r="B6" s="232" t="s">
        <v>64</v>
      </c>
      <c r="C6" s="233" t="s">
        <v>53</v>
      </c>
      <c r="D6" s="178"/>
      <c r="E6" s="178"/>
      <c r="F6" s="182"/>
      <c r="G6" s="182">
        <v>10000</v>
      </c>
      <c r="H6" s="180">
        <f t="shared" si="0"/>
        <v>10000</v>
      </c>
    </row>
    <row r="7" spans="1:9" ht="18" x14ac:dyDescent="0.2">
      <c r="A7" s="20">
        <v>3</v>
      </c>
      <c r="B7" s="234" t="s">
        <v>66</v>
      </c>
      <c r="C7" s="235" t="s">
        <v>54</v>
      </c>
      <c r="D7" s="204">
        <f>SUM(D5:D6)</f>
        <v>0</v>
      </c>
      <c r="E7" s="204"/>
      <c r="F7" s="205">
        <f t="shared" ref="F7:G7" si="1">SUM(F5:F6)</f>
        <v>0</v>
      </c>
      <c r="G7" s="205">
        <f t="shared" si="1"/>
        <v>10177</v>
      </c>
      <c r="H7" s="206">
        <f t="shared" si="0"/>
        <v>10177</v>
      </c>
    </row>
    <row r="8" spans="1:9" ht="18" x14ac:dyDescent="0.2">
      <c r="A8" s="14">
        <v>4</v>
      </c>
      <c r="B8" s="225" t="s">
        <v>67</v>
      </c>
      <c r="C8" s="226" t="s">
        <v>55</v>
      </c>
      <c r="D8" s="184">
        <f>SUM(D7)</f>
        <v>0</v>
      </c>
      <c r="E8" s="185"/>
      <c r="F8" s="192">
        <f t="shared" ref="F8:G8" si="2">SUM(F7)</f>
        <v>0</v>
      </c>
      <c r="G8" s="192">
        <f t="shared" si="2"/>
        <v>10177</v>
      </c>
      <c r="H8" s="187">
        <f t="shared" si="0"/>
        <v>10177</v>
      </c>
    </row>
    <row r="9" spans="1:9" s="176" customFormat="1" ht="37.5" x14ac:dyDescent="0.3">
      <c r="A9" s="19">
        <v>5</v>
      </c>
      <c r="B9" s="236" t="s">
        <v>56</v>
      </c>
      <c r="C9" s="237" t="s">
        <v>57</v>
      </c>
      <c r="D9" s="238"/>
      <c r="E9" s="238"/>
      <c r="F9" s="239"/>
      <c r="G9" s="240">
        <f>63601544+13244297-74652564</f>
        <v>2193277</v>
      </c>
      <c r="H9" s="241">
        <f t="shared" si="0"/>
        <v>2193277</v>
      </c>
    </row>
    <row r="10" spans="1:9" ht="18" x14ac:dyDescent="0.25">
      <c r="A10" s="18">
        <v>6</v>
      </c>
      <c r="B10" s="242" t="s">
        <v>68</v>
      </c>
      <c r="C10" s="243" t="s">
        <v>58</v>
      </c>
      <c r="D10" s="178"/>
      <c r="E10" s="178"/>
      <c r="F10" s="182"/>
      <c r="G10" s="182">
        <f t="shared" ref="G10" si="3">SUM(G9)</f>
        <v>2193277</v>
      </c>
      <c r="H10" s="180">
        <f t="shared" si="0"/>
        <v>2193277</v>
      </c>
    </row>
    <row r="11" spans="1:9" ht="18" x14ac:dyDescent="0.25">
      <c r="A11" s="18">
        <v>7</v>
      </c>
      <c r="B11" s="244" t="s">
        <v>59</v>
      </c>
      <c r="C11" s="243" t="s">
        <v>60</v>
      </c>
      <c r="D11" s="178"/>
      <c r="E11" s="178"/>
      <c r="F11" s="182"/>
      <c r="G11" s="245">
        <v>34615900</v>
      </c>
      <c r="H11" s="180">
        <f>D11+E11+F11+G11</f>
        <v>34615900</v>
      </c>
      <c r="I11" s="175"/>
    </row>
    <row r="12" spans="1:9" s="176" customFormat="1" ht="18.75" x14ac:dyDescent="0.3">
      <c r="A12" s="19"/>
      <c r="B12" s="263" t="s">
        <v>155</v>
      </c>
      <c r="C12" s="237"/>
      <c r="D12" s="238"/>
      <c r="E12" s="238"/>
      <c r="F12" s="239"/>
      <c r="G12" s="264">
        <v>2451079</v>
      </c>
      <c r="H12" s="241">
        <f>D12+E12+F12+G12</f>
        <v>2451079</v>
      </c>
      <c r="I12" s="265"/>
    </row>
    <row r="13" spans="1:9" ht="18" x14ac:dyDescent="0.25">
      <c r="A13" s="18">
        <v>8</v>
      </c>
      <c r="B13" s="246" t="s">
        <v>69</v>
      </c>
      <c r="C13" s="247" t="s">
        <v>61</v>
      </c>
      <c r="D13" s="189"/>
      <c r="E13" s="189"/>
      <c r="F13" s="190"/>
      <c r="G13" s="190">
        <f>G10+G11+G12</f>
        <v>39260256</v>
      </c>
      <c r="H13" s="191">
        <f>D13+E13+F13+G13</f>
        <v>39260256</v>
      </c>
    </row>
    <row r="14" spans="1:9" ht="18" x14ac:dyDescent="0.2">
      <c r="A14" s="14">
        <v>9</v>
      </c>
      <c r="B14" s="225" t="s">
        <v>70</v>
      </c>
      <c r="C14" s="226" t="s">
        <v>62</v>
      </c>
      <c r="D14" s="184">
        <f>SUM(D13)</f>
        <v>0</v>
      </c>
      <c r="E14" s="185"/>
      <c r="F14" s="192">
        <f>SUM(F13)</f>
        <v>0</v>
      </c>
      <c r="G14" s="192">
        <f>SUM(G13)</f>
        <v>39260256</v>
      </c>
      <c r="H14" s="187">
        <f>D14+E14+F14+G14</f>
        <v>39260256</v>
      </c>
    </row>
    <row r="15" spans="1:9" ht="18" x14ac:dyDescent="0.2">
      <c r="A15" s="21">
        <v>10</v>
      </c>
      <c r="B15" s="12" t="s">
        <v>71</v>
      </c>
      <c r="C15" s="32" t="s">
        <v>63</v>
      </c>
      <c r="D15" s="40">
        <f>SUM(D14)</f>
        <v>0</v>
      </c>
      <c r="E15" s="40"/>
      <c r="F15" s="45">
        <f t="shared" ref="F15" si="4">SUM(F14)</f>
        <v>0</v>
      </c>
      <c r="G15" s="45">
        <f>SUM(G14)+G8</f>
        <v>39270433</v>
      </c>
      <c r="H15" s="166">
        <f>D15+E15+F15+G15</f>
        <v>39270433</v>
      </c>
    </row>
    <row r="16" spans="1:9" ht="6" customHeight="1" x14ac:dyDescent="0.2">
      <c r="A16" s="5"/>
      <c r="B16" s="6"/>
      <c r="C16" s="33"/>
      <c r="D16" s="41"/>
      <c r="E16" s="41"/>
      <c r="F16" s="46"/>
      <c r="G16" s="46"/>
      <c r="H16" s="167"/>
    </row>
    <row r="17" spans="1:8" ht="18" x14ac:dyDescent="0.25">
      <c r="A17" s="5">
        <v>1</v>
      </c>
      <c r="B17" s="193" t="s">
        <v>3</v>
      </c>
      <c r="C17" s="194" t="s">
        <v>4</v>
      </c>
      <c r="D17" s="195">
        <f>23980637-5617034</f>
        <v>18363603</v>
      </c>
      <c r="E17" s="195"/>
      <c r="F17" s="196">
        <v>5617034</v>
      </c>
      <c r="G17" s="196"/>
      <c r="H17" s="197">
        <f t="shared" ref="H17:H54" si="5">D17+E17+F17+G17</f>
        <v>23980637</v>
      </c>
    </row>
    <row r="18" spans="1:8" ht="18" x14ac:dyDescent="0.25">
      <c r="A18" s="5"/>
      <c r="B18" s="193" t="s">
        <v>165</v>
      </c>
      <c r="C18" s="194" t="s">
        <v>135</v>
      </c>
      <c r="D18" s="195">
        <v>1827000</v>
      </c>
      <c r="E18" s="195"/>
      <c r="F18" s="196"/>
      <c r="G18" s="196"/>
      <c r="H18" s="197">
        <f t="shared" si="5"/>
        <v>1827000</v>
      </c>
    </row>
    <row r="19" spans="1:8" ht="18" x14ac:dyDescent="0.2">
      <c r="A19" s="5">
        <v>2</v>
      </c>
      <c r="B19" s="198" t="s">
        <v>5</v>
      </c>
      <c r="C19" s="194" t="s">
        <v>6</v>
      </c>
      <c r="D19" s="195">
        <v>1012800</v>
      </c>
      <c r="E19" s="195"/>
      <c r="F19" s="196">
        <v>126600</v>
      </c>
      <c r="G19" s="196"/>
      <c r="H19" s="197">
        <f t="shared" si="5"/>
        <v>1139400</v>
      </c>
    </row>
    <row r="20" spans="1:8" ht="18" x14ac:dyDescent="0.2">
      <c r="A20" s="5">
        <v>3</v>
      </c>
      <c r="B20" s="198" t="s">
        <v>7</v>
      </c>
      <c r="C20" s="194" t="s">
        <v>8</v>
      </c>
      <c r="D20" s="195"/>
      <c r="E20" s="195"/>
      <c r="F20" s="196"/>
      <c r="G20" s="196"/>
      <c r="H20" s="197">
        <f t="shared" si="5"/>
        <v>0</v>
      </c>
    </row>
    <row r="21" spans="1:8" ht="18" customHeight="1" x14ac:dyDescent="0.2">
      <c r="A21" s="5">
        <v>4</v>
      </c>
      <c r="B21" s="198" t="s">
        <v>167</v>
      </c>
      <c r="C21" s="194" t="s">
        <v>10</v>
      </c>
      <c r="D21" s="195">
        <f>417965+466561</f>
        <v>884526</v>
      </c>
      <c r="E21" s="195"/>
      <c r="F21" s="196">
        <v>1280148</v>
      </c>
      <c r="G21" s="196"/>
      <c r="H21" s="197">
        <f t="shared" si="5"/>
        <v>2164674</v>
      </c>
    </row>
    <row r="22" spans="1:8" ht="18" x14ac:dyDescent="0.2">
      <c r="A22" s="8">
        <v>5</v>
      </c>
      <c r="B22" s="199" t="s">
        <v>72</v>
      </c>
      <c r="C22" s="200" t="s">
        <v>11</v>
      </c>
      <c r="D22" s="201">
        <f>SUM(D17:D21)</f>
        <v>22087929</v>
      </c>
      <c r="E22" s="201"/>
      <c r="F22" s="202">
        <f>SUM(F17:F21)</f>
        <v>7023782</v>
      </c>
      <c r="G22" s="202">
        <f t="shared" ref="G22" si="6">SUM(G17:G21)</f>
        <v>0</v>
      </c>
      <c r="H22" s="220">
        <f t="shared" si="5"/>
        <v>29111711</v>
      </c>
    </row>
    <row r="23" spans="1:8" ht="36" x14ac:dyDescent="0.2">
      <c r="A23" s="8"/>
      <c r="B23" s="198" t="s">
        <v>129</v>
      </c>
      <c r="C23" s="248" t="s">
        <v>130</v>
      </c>
      <c r="D23" s="217"/>
      <c r="E23" s="217"/>
      <c r="F23" s="218"/>
      <c r="G23" s="218"/>
      <c r="H23" s="219">
        <f t="shared" si="5"/>
        <v>0</v>
      </c>
    </row>
    <row r="24" spans="1:8" ht="18" x14ac:dyDescent="0.2">
      <c r="A24" s="8"/>
      <c r="B24" s="199" t="s">
        <v>133</v>
      </c>
      <c r="C24" s="249" t="s">
        <v>131</v>
      </c>
      <c r="D24" s="201"/>
      <c r="E24" s="201">
        <f>E23</f>
        <v>0</v>
      </c>
      <c r="F24" s="202"/>
      <c r="G24" s="202"/>
      <c r="H24" s="220">
        <f t="shared" si="5"/>
        <v>0</v>
      </c>
    </row>
    <row r="25" spans="1:8" ht="18" x14ac:dyDescent="0.2">
      <c r="A25" s="8">
        <v>6</v>
      </c>
      <c r="B25" s="199" t="s">
        <v>73</v>
      </c>
      <c r="C25" s="200" t="s">
        <v>12</v>
      </c>
      <c r="D25" s="204">
        <f>SUM(D22)</f>
        <v>22087929</v>
      </c>
      <c r="E25" s="204">
        <f>E24</f>
        <v>0</v>
      </c>
      <c r="F25" s="205">
        <f>SUM(F22)</f>
        <v>7023782</v>
      </c>
      <c r="G25" s="205">
        <f t="shared" ref="G25" si="7">SUM(G22)</f>
        <v>0</v>
      </c>
      <c r="H25" s="206">
        <f t="shared" si="5"/>
        <v>29111711</v>
      </c>
    </row>
    <row r="26" spans="1:8" ht="36" x14ac:dyDescent="0.2">
      <c r="A26" s="8">
        <v>7</v>
      </c>
      <c r="B26" s="199" t="s">
        <v>74</v>
      </c>
      <c r="C26" s="200" t="s">
        <v>13</v>
      </c>
      <c r="D26" s="204">
        <f>SUM(D27:D29)</f>
        <v>4459066.1550000003</v>
      </c>
      <c r="E26" s="204">
        <f>E27</f>
        <v>0</v>
      </c>
      <c r="F26" s="205">
        <f>SUM(F27:F29)</f>
        <v>1388627.49</v>
      </c>
      <c r="G26" s="205">
        <f>SUM(G27:G29)</f>
        <v>0</v>
      </c>
      <c r="H26" s="206">
        <f t="shared" si="5"/>
        <v>5847693.6450000005</v>
      </c>
    </row>
    <row r="27" spans="1:8" ht="18.75" x14ac:dyDescent="0.2">
      <c r="A27" s="5">
        <v>8</v>
      </c>
      <c r="B27" s="207" t="s">
        <v>14</v>
      </c>
      <c r="C27" s="208" t="s">
        <v>13</v>
      </c>
      <c r="D27" s="209">
        <f>+(D17+D18+D19+D21)*0.195</f>
        <v>4307146.1550000003</v>
      </c>
      <c r="E27" s="209">
        <f>E23*0.9*0.22</f>
        <v>0</v>
      </c>
      <c r="F27" s="210">
        <f>+(F17+F19+F21)*0.195</f>
        <v>1369637.49</v>
      </c>
      <c r="G27" s="210"/>
      <c r="H27" s="211">
        <f>D27+E27+F27+G27</f>
        <v>5676783.6450000005</v>
      </c>
    </row>
    <row r="28" spans="1:8" ht="18.75" x14ac:dyDescent="0.2">
      <c r="A28" s="5">
        <v>10</v>
      </c>
      <c r="B28" s="207" t="s">
        <v>15</v>
      </c>
      <c r="C28" s="208" t="s">
        <v>13</v>
      </c>
      <c r="D28" s="209">
        <v>0</v>
      </c>
      <c r="E28" s="209"/>
      <c r="F28" s="210">
        <v>0</v>
      </c>
      <c r="G28" s="210"/>
      <c r="H28" s="211">
        <f t="shared" si="5"/>
        <v>0</v>
      </c>
    </row>
    <row r="29" spans="1:8" ht="37.5" x14ac:dyDescent="0.2">
      <c r="A29" s="5">
        <v>11</v>
      </c>
      <c r="B29" s="207" t="s">
        <v>16</v>
      </c>
      <c r="C29" s="208" t="s">
        <v>13</v>
      </c>
      <c r="D29" s="209">
        <f>+D19*0.15</f>
        <v>151920</v>
      </c>
      <c r="E29" s="209"/>
      <c r="F29" s="210">
        <f>+F19*0.15</f>
        <v>18990</v>
      </c>
      <c r="G29" s="210"/>
      <c r="H29" s="211">
        <f t="shared" si="5"/>
        <v>170910</v>
      </c>
    </row>
    <row r="30" spans="1:8" ht="18" x14ac:dyDescent="0.2">
      <c r="A30" s="10">
        <v>12</v>
      </c>
      <c r="B30" s="212" t="s">
        <v>17</v>
      </c>
      <c r="C30" s="213" t="s">
        <v>18</v>
      </c>
      <c r="D30" s="214">
        <f>SUM(D25:D26)</f>
        <v>26546995.155000001</v>
      </c>
      <c r="E30" s="214">
        <f>E25+E26</f>
        <v>0</v>
      </c>
      <c r="F30" s="215">
        <f>SUM(F25:F26)</f>
        <v>8412409.4900000002</v>
      </c>
      <c r="G30" s="215">
        <f>SUM(G25:G26)</f>
        <v>0</v>
      </c>
      <c r="H30" s="216">
        <f>D30+E30+F30+G30</f>
        <v>34959404.645000003</v>
      </c>
    </row>
    <row r="31" spans="1:8" ht="18" x14ac:dyDescent="0.2">
      <c r="A31" s="5">
        <v>13</v>
      </c>
      <c r="B31" s="198" t="s">
        <v>19</v>
      </c>
      <c r="C31" s="194" t="s">
        <v>20</v>
      </c>
      <c r="D31" s="217"/>
      <c r="E31" s="217"/>
      <c r="F31" s="218"/>
      <c r="G31" s="218">
        <v>262847</v>
      </c>
      <c r="H31" s="219">
        <f t="shared" si="5"/>
        <v>262847</v>
      </c>
    </row>
    <row r="32" spans="1:8" ht="18" x14ac:dyDescent="0.2">
      <c r="A32" s="5">
        <v>14</v>
      </c>
      <c r="B32" s="198" t="s">
        <v>21</v>
      </c>
      <c r="C32" s="194" t="s">
        <v>22</v>
      </c>
      <c r="D32" s="217"/>
      <c r="E32" s="217"/>
      <c r="F32" s="218"/>
      <c r="G32" s="218">
        <v>1123332</v>
      </c>
      <c r="H32" s="219">
        <f t="shared" si="5"/>
        <v>1123332</v>
      </c>
    </row>
    <row r="33" spans="1:9" ht="18" x14ac:dyDescent="0.2">
      <c r="A33" s="8">
        <v>15</v>
      </c>
      <c r="B33" s="199" t="s">
        <v>75</v>
      </c>
      <c r="C33" s="200" t="s">
        <v>23</v>
      </c>
      <c r="D33" s="201">
        <f>SUM(D31:D32)</f>
        <v>0</v>
      </c>
      <c r="E33" s="201"/>
      <c r="F33" s="202">
        <f t="shared" ref="F33:G33" si="8">SUM(F31:F32)</f>
        <v>0</v>
      </c>
      <c r="G33" s="202">
        <f t="shared" si="8"/>
        <v>1386179</v>
      </c>
      <c r="H33" s="220">
        <f t="shared" si="5"/>
        <v>1386179</v>
      </c>
    </row>
    <row r="34" spans="1:9" ht="18" x14ac:dyDescent="0.2">
      <c r="A34" s="5">
        <v>16</v>
      </c>
      <c r="B34" s="198" t="s">
        <v>24</v>
      </c>
      <c r="C34" s="194" t="s">
        <v>25</v>
      </c>
      <c r="D34" s="217"/>
      <c r="E34" s="217"/>
      <c r="F34" s="218"/>
      <c r="G34" s="218">
        <v>45833</v>
      </c>
      <c r="H34" s="219">
        <f t="shared" si="5"/>
        <v>45833</v>
      </c>
    </row>
    <row r="35" spans="1:9" ht="18" x14ac:dyDescent="0.2">
      <c r="A35" s="5">
        <v>17</v>
      </c>
      <c r="B35" s="198" t="s">
        <v>26</v>
      </c>
      <c r="C35" s="194" t="s">
        <v>27</v>
      </c>
      <c r="D35" s="217"/>
      <c r="E35" s="217"/>
      <c r="F35" s="218"/>
      <c r="G35" s="218">
        <v>24913</v>
      </c>
      <c r="H35" s="219">
        <f t="shared" si="5"/>
        <v>24913</v>
      </c>
    </row>
    <row r="36" spans="1:9" ht="18" x14ac:dyDescent="0.2">
      <c r="A36" s="8">
        <v>18</v>
      </c>
      <c r="B36" s="199" t="s">
        <v>76</v>
      </c>
      <c r="C36" s="200" t="s">
        <v>28</v>
      </c>
      <c r="D36" s="201">
        <f>SUM(D34:D35)</f>
        <v>0</v>
      </c>
      <c r="E36" s="201"/>
      <c r="F36" s="202">
        <f t="shared" ref="F36:G36" si="9">SUM(F34:F35)</f>
        <v>0</v>
      </c>
      <c r="G36" s="202">
        <f t="shared" si="9"/>
        <v>70746</v>
      </c>
      <c r="H36" s="220">
        <f t="shared" si="5"/>
        <v>70746</v>
      </c>
    </row>
    <row r="37" spans="1:9" ht="18" x14ac:dyDescent="0.2">
      <c r="A37" s="5">
        <v>19</v>
      </c>
      <c r="B37" s="198" t="s">
        <v>29</v>
      </c>
      <c r="C37" s="194" t="s">
        <v>30</v>
      </c>
      <c r="D37" s="217"/>
      <c r="E37" s="217"/>
      <c r="F37" s="218"/>
      <c r="G37" s="218">
        <f>975903+101355</f>
        <v>1077258</v>
      </c>
      <c r="H37" s="219">
        <f t="shared" si="5"/>
        <v>1077258</v>
      </c>
    </row>
    <row r="38" spans="1:9" ht="18" x14ac:dyDescent="0.2">
      <c r="A38" s="5">
        <v>20</v>
      </c>
      <c r="B38" s="198" t="s">
        <v>152</v>
      </c>
      <c r="C38" s="194" t="s">
        <v>143</v>
      </c>
      <c r="D38" s="217"/>
      <c r="E38" s="217"/>
      <c r="F38" s="218"/>
      <c r="G38" s="218">
        <v>6933</v>
      </c>
      <c r="H38" s="219">
        <f t="shared" si="5"/>
        <v>6933</v>
      </c>
    </row>
    <row r="39" spans="1:9" ht="18" x14ac:dyDescent="0.2">
      <c r="A39" s="5">
        <v>20</v>
      </c>
      <c r="B39" s="198" t="s">
        <v>31</v>
      </c>
      <c r="C39" s="194" t="s">
        <v>32</v>
      </c>
      <c r="D39" s="195"/>
      <c r="E39" s="195">
        <f>4*7500+19*12000+16*12000</f>
        <v>450000</v>
      </c>
      <c r="F39" s="196"/>
      <c r="G39" s="196">
        <v>45205</v>
      </c>
      <c r="H39" s="197">
        <f t="shared" si="5"/>
        <v>495205</v>
      </c>
    </row>
    <row r="40" spans="1:9" ht="18" x14ac:dyDescent="0.2">
      <c r="A40" s="5">
        <v>21</v>
      </c>
      <c r="B40" s="198" t="s">
        <v>77</v>
      </c>
      <c r="C40" s="194" t="s">
        <v>33</v>
      </c>
      <c r="D40" s="195"/>
      <c r="E40" s="195"/>
      <c r="F40" s="196"/>
      <c r="G40" s="196">
        <f>46288+354733</f>
        <v>401021</v>
      </c>
      <c r="H40" s="197">
        <f t="shared" si="5"/>
        <v>401021</v>
      </c>
    </row>
    <row r="41" spans="1:9" ht="18" x14ac:dyDescent="0.2">
      <c r="A41" s="8">
        <v>22</v>
      </c>
      <c r="B41" s="199" t="s">
        <v>78</v>
      </c>
      <c r="C41" s="200" t="s">
        <v>34</v>
      </c>
      <c r="D41" s="201">
        <f>SUM(D37:D40)</f>
        <v>0</v>
      </c>
      <c r="E41" s="201">
        <f>+E39</f>
        <v>450000</v>
      </c>
      <c r="F41" s="202">
        <f t="shared" ref="F41" si="10">SUM(F37:F40)</f>
        <v>0</v>
      </c>
      <c r="G41" s="202">
        <f>SUM(G37:G40)</f>
        <v>1530417</v>
      </c>
      <c r="H41" s="220">
        <f>D41+E41+F41+G41</f>
        <v>1980417</v>
      </c>
    </row>
    <row r="42" spans="1:9" ht="18.75" x14ac:dyDescent="0.2">
      <c r="A42" s="5">
        <v>23</v>
      </c>
      <c r="B42" s="198" t="s">
        <v>35</v>
      </c>
      <c r="C42" s="194" t="s">
        <v>36</v>
      </c>
      <c r="D42" s="209"/>
      <c r="E42" s="209"/>
      <c r="F42" s="210"/>
      <c r="G42" s="210">
        <v>0</v>
      </c>
      <c r="H42" s="211">
        <f t="shared" si="5"/>
        <v>0</v>
      </c>
    </row>
    <row r="43" spans="1:9" ht="36" x14ac:dyDescent="0.2">
      <c r="A43" s="8">
        <v>24</v>
      </c>
      <c r="B43" s="199" t="s">
        <v>79</v>
      </c>
      <c r="C43" s="200" t="s">
        <v>37</v>
      </c>
      <c r="D43" s="201">
        <f>SUM(D42)</f>
        <v>0</v>
      </c>
      <c r="E43" s="201"/>
      <c r="F43" s="202">
        <f t="shared" ref="F43:G43" si="11">SUM(F42)</f>
        <v>0</v>
      </c>
      <c r="G43" s="202">
        <f t="shared" si="11"/>
        <v>0</v>
      </c>
      <c r="H43" s="220">
        <f t="shared" si="5"/>
        <v>0</v>
      </c>
    </row>
    <row r="44" spans="1:9" ht="36" x14ac:dyDescent="0.2">
      <c r="A44" s="5">
        <v>25</v>
      </c>
      <c r="B44" s="198" t="s">
        <v>38</v>
      </c>
      <c r="C44" s="194" t="s">
        <v>39</v>
      </c>
      <c r="D44" s="195"/>
      <c r="E44" s="195"/>
      <c r="F44" s="196"/>
      <c r="G44" s="196">
        <f>588201+26108</f>
        <v>614309</v>
      </c>
      <c r="H44" s="197">
        <f t="shared" si="5"/>
        <v>614309</v>
      </c>
    </row>
    <row r="45" spans="1:9" ht="18.75" x14ac:dyDescent="0.2">
      <c r="A45" s="5">
        <v>26</v>
      </c>
      <c r="B45" s="198" t="s">
        <v>107</v>
      </c>
      <c r="C45" s="194" t="s">
        <v>41</v>
      </c>
      <c r="D45" s="209">
        <v>920</v>
      </c>
      <c r="E45" s="209"/>
      <c r="F45" s="210"/>
      <c r="G45" s="210">
        <f>756+47026</f>
        <v>47782</v>
      </c>
      <c r="H45" s="211">
        <f t="shared" si="5"/>
        <v>48702</v>
      </c>
    </row>
    <row r="46" spans="1:9" ht="18.75" x14ac:dyDescent="0.2">
      <c r="A46" s="5"/>
      <c r="B46" s="198" t="s">
        <v>154</v>
      </c>
      <c r="C46" s="194"/>
      <c r="D46" s="209"/>
      <c r="E46" s="209"/>
      <c r="F46" s="210"/>
      <c r="G46" s="250"/>
      <c r="H46" s="211">
        <f t="shared" si="5"/>
        <v>0</v>
      </c>
    </row>
    <row r="47" spans="1:9" ht="36" x14ac:dyDescent="0.2">
      <c r="A47" s="8">
        <v>27</v>
      </c>
      <c r="B47" s="199" t="s">
        <v>80</v>
      </c>
      <c r="C47" s="200" t="s">
        <v>42</v>
      </c>
      <c r="D47" s="201">
        <f>SUM(D44:D45)</f>
        <v>920</v>
      </c>
      <c r="E47" s="201"/>
      <c r="F47" s="202">
        <f t="shared" ref="F47" si="12">SUM(F44:F45)</f>
        <v>0</v>
      </c>
      <c r="G47" s="202">
        <f>SUM(G44:G46)</f>
        <v>662091</v>
      </c>
      <c r="H47" s="220">
        <f>D47+E47+F47+G47</f>
        <v>663011</v>
      </c>
    </row>
    <row r="48" spans="1:9" ht="18" x14ac:dyDescent="0.25">
      <c r="A48" s="8">
        <v>28</v>
      </c>
      <c r="B48" s="199" t="s">
        <v>81</v>
      </c>
      <c r="C48" s="200" t="s">
        <v>43</v>
      </c>
      <c r="D48" s="204">
        <f>SUM(D47,D43,D41,D36,D33)</f>
        <v>920</v>
      </c>
      <c r="E48" s="204">
        <f>+E41</f>
        <v>450000</v>
      </c>
      <c r="F48" s="205">
        <f t="shared" ref="F48" si="13">SUM(F47,F43,F41,F36,F33)</f>
        <v>0</v>
      </c>
      <c r="G48" s="205">
        <f>SUM(G47,G43,G41,G36,G33)</f>
        <v>3649433</v>
      </c>
      <c r="H48" s="206">
        <f t="shared" si="5"/>
        <v>4100353</v>
      </c>
      <c r="I48" s="27"/>
    </row>
    <row r="49" spans="1:8" ht="18" x14ac:dyDescent="0.2">
      <c r="A49" s="10">
        <v>29</v>
      </c>
      <c r="B49" s="212" t="s">
        <v>44</v>
      </c>
      <c r="C49" s="213" t="s">
        <v>89</v>
      </c>
      <c r="D49" s="214">
        <f>SUM(D48,D30)</f>
        <v>26547915.155000001</v>
      </c>
      <c r="E49" s="214">
        <f>+E48</f>
        <v>450000</v>
      </c>
      <c r="F49" s="215">
        <f t="shared" ref="F49" si="14">SUM(F48,F30)</f>
        <v>8412409.4900000002</v>
      </c>
      <c r="G49" s="215">
        <f>SUM(G48,G30)</f>
        <v>3649433</v>
      </c>
      <c r="H49" s="216">
        <f t="shared" si="5"/>
        <v>39059757.645000003</v>
      </c>
    </row>
    <row r="50" spans="1:8" ht="18" x14ac:dyDescent="0.2">
      <c r="A50" s="5">
        <v>30</v>
      </c>
      <c r="B50" s="251" t="s">
        <v>157</v>
      </c>
      <c r="C50" s="248" t="s">
        <v>46</v>
      </c>
      <c r="D50" s="195"/>
      <c r="E50" s="195"/>
      <c r="F50" s="196"/>
      <c r="G50" s="196">
        <v>177637</v>
      </c>
      <c r="H50" s="197">
        <f t="shared" si="5"/>
        <v>177637</v>
      </c>
    </row>
    <row r="51" spans="1:8" ht="36" x14ac:dyDescent="0.2">
      <c r="A51" s="5">
        <v>31</v>
      </c>
      <c r="B51" s="198" t="s">
        <v>47</v>
      </c>
      <c r="C51" s="248" t="s">
        <v>46</v>
      </c>
      <c r="D51" s="195"/>
      <c r="E51" s="195"/>
      <c r="F51" s="196"/>
      <c r="G51" s="196">
        <v>33038</v>
      </c>
      <c r="H51" s="197">
        <f t="shared" si="5"/>
        <v>33038</v>
      </c>
    </row>
    <row r="52" spans="1:8" ht="18" x14ac:dyDescent="0.2">
      <c r="A52" s="8">
        <v>32</v>
      </c>
      <c r="B52" s="224" t="s">
        <v>82</v>
      </c>
      <c r="C52" s="200" t="s">
        <v>49</v>
      </c>
      <c r="D52" s="204">
        <f>SUM(D50:D51)</f>
        <v>0</v>
      </c>
      <c r="E52" s="204"/>
      <c r="F52" s="205">
        <f t="shared" ref="F52:G52" si="15">SUM(F50:F51)</f>
        <v>0</v>
      </c>
      <c r="G52" s="205">
        <f t="shared" si="15"/>
        <v>210675</v>
      </c>
      <c r="H52" s="206">
        <f t="shared" si="5"/>
        <v>210675</v>
      </c>
    </row>
    <row r="53" spans="1:8" ht="18.75" thickBot="1" x14ac:dyDescent="0.25">
      <c r="A53" s="14">
        <v>33</v>
      </c>
      <c r="B53" s="225" t="s">
        <v>83</v>
      </c>
      <c r="C53" s="226" t="s">
        <v>50</v>
      </c>
      <c r="D53" s="184">
        <f>SUM(D49+D52)</f>
        <v>26547915.155000001</v>
      </c>
      <c r="E53" s="185">
        <f>E49</f>
        <v>450000</v>
      </c>
      <c r="F53" s="192">
        <f t="shared" ref="F53:G53" si="16">SUM(F49+F52)</f>
        <v>8412409.4900000002</v>
      </c>
      <c r="G53" s="192">
        <f t="shared" si="16"/>
        <v>3860108</v>
      </c>
      <c r="H53" s="187">
        <f t="shared" si="5"/>
        <v>39270432.645000003</v>
      </c>
    </row>
    <row r="54" spans="1:8" ht="18.75" thickBot="1" x14ac:dyDescent="0.25">
      <c r="A54" s="16">
        <v>34</v>
      </c>
      <c r="B54" s="17" t="s">
        <v>84</v>
      </c>
      <c r="C54" s="35" t="s">
        <v>51</v>
      </c>
      <c r="D54" s="43">
        <f>SUM(D53)</f>
        <v>26547915.155000001</v>
      </c>
      <c r="E54" s="42">
        <f>E53</f>
        <v>450000</v>
      </c>
      <c r="F54" s="47">
        <f t="shared" ref="F54" si="17">SUM(F53)</f>
        <v>8412409.4900000002</v>
      </c>
      <c r="G54" s="47">
        <f>SUM(G53)</f>
        <v>3860108</v>
      </c>
      <c r="H54" s="168">
        <f t="shared" si="5"/>
        <v>39270432.645000003</v>
      </c>
    </row>
    <row r="55" spans="1:8" x14ac:dyDescent="0.2">
      <c r="H55" s="90">
        <f>H15-H54</f>
        <v>0.35499999672174454</v>
      </c>
    </row>
    <row r="56" spans="1:8" x14ac:dyDescent="0.2">
      <c r="G56" s="28"/>
      <c r="H56" s="89"/>
    </row>
  </sheetData>
  <pageMargins left="0.70866141732283472" right="0.70866141732283472" top="0.15748031496062992" bottom="0.15748031496062992" header="0.31496062992125984" footer="0.31496062992125984"/>
  <pageSetup paperSize="8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zoomScale="90" zoomScaleNormal="90" workbookViewId="0">
      <selection activeCell="B44" sqref="B44"/>
    </sheetView>
  </sheetViews>
  <sheetFormatPr defaultRowHeight="12.75" x14ac:dyDescent="0.2"/>
  <cols>
    <col min="1" max="1" width="8.140625" customWidth="1"/>
    <col min="2" max="2" width="61.42578125" customWidth="1"/>
    <col min="3" max="3" width="9.85546875" customWidth="1"/>
    <col min="4" max="4" width="20" customWidth="1"/>
    <col min="5" max="5" width="25.42578125" bestFit="1" customWidth="1"/>
    <col min="6" max="7" width="19.85546875" customWidth="1"/>
    <col min="8" max="8" width="20.5703125" bestFit="1" customWidth="1"/>
    <col min="9" max="9" width="20.7109375" customWidth="1"/>
    <col min="10" max="10" width="11" bestFit="1" customWidth="1"/>
  </cols>
  <sheetData>
    <row r="1" spans="1:9" ht="20.25" x14ac:dyDescent="0.3">
      <c r="B1" s="1" t="s">
        <v>163</v>
      </c>
    </row>
    <row r="2" spans="1:9" ht="13.5" thickBot="1" x14ac:dyDescent="0.25"/>
    <row r="3" spans="1:9" ht="105.75" thickBot="1" x14ac:dyDescent="0.25">
      <c r="D3" s="95" t="s">
        <v>138</v>
      </c>
      <c r="E3" s="95" t="s">
        <v>93</v>
      </c>
      <c r="F3" s="95" t="s">
        <v>94</v>
      </c>
      <c r="G3" s="95" t="s">
        <v>141</v>
      </c>
      <c r="H3" s="96" t="s">
        <v>156</v>
      </c>
    </row>
    <row r="4" spans="1:9" ht="33" thickTop="1" thickBot="1" x14ac:dyDescent="0.25">
      <c r="A4" s="2" t="s">
        <v>0</v>
      </c>
      <c r="B4" s="3" t="s">
        <v>1</v>
      </c>
      <c r="C4" s="4" t="s">
        <v>2</v>
      </c>
      <c r="D4" s="94" t="s">
        <v>139</v>
      </c>
      <c r="E4" s="94" t="s">
        <v>92</v>
      </c>
      <c r="F4" s="94" t="s">
        <v>99</v>
      </c>
      <c r="G4" s="94" t="s">
        <v>128</v>
      </c>
      <c r="H4" s="169" t="s">
        <v>100</v>
      </c>
      <c r="I4" s="165" t="s">
        <v>151</v>
      </c>
    </row>
    <row r="5" spans="1:9" ht="18" x14ac:dyDescent="0.25">
      <c r="A5" s="5" t="s">
        <v>109</v>
      </c>
      <c r="B5" s="22" t="s">
        <v>96</v>
      </c>
      <c r="C5" s="23" t="s">
        <v>98</v>
      </c>
      <c r="D5" s="177"/>
      <c r="E5" s="178"/>
      <c r="F5" s="177">
        <f>45*(970/1.27)*237+703441</f>
        <v>8849149.6614173222</v>
      </c>
      <c r="G5" s="177">
        <f>734890+337500/1.27</f>
        <v>1000638.031496063</v>
      </c>
      <c r="H5" s="179"/>
      <c r="I5" s="180">
        <f t="shared" ref="I5:I13" si="0">D5+E5+F5+G5+H5</f>
        <v>9849787.6929133851</v>
      </c>
    </row>
    <row r="6" spans="1:9" ht="18" x14ac:dyDescent="0.25">
      <c r="A6" s="5" t="s">
        <v>108</v>
      </c>
      <c r="B6" s="22" t="s">
        <v>95</v>
      </c>
      <c r="C6" s="23" t="s">
        <v>97</v>
      </c>
      <c r="D6" s="178"/>
      <c r="E6" s="178">
        <f>2531748/1.27</f>
        <v>1993502.3622047245</v>
      </c>
      <c r="F6" s="181"/>
      <c r="G6" s="181"/>
      <c r="H6" s="182"/>
      <c r="I6" s="180">
        <f t="shared" si="0"/>
        <v>1993502.3622047245</v>
      </c>
    </row>
    <row r="7" spans="1:9" ht="18" x14ac:dyDescent="0.25">
      <c r="A7" s="5" t="s">
        <v>110</v>
      </c>
      <c r="B7" s="24" t="s">
        <v>101</v>
      </c>
      <c r="C7" s="25" t="s">
        <v>102</v>
      </c>
      <c r="D7" s="178"/>
      <c r="E7" s="183">
        <f>+E6*0.27</f>
        <v>538245.63779527566</v>
      </c>
      <c r="F7" s="178">
        <f>+F5*0.27</f>
        <v>2389270.4085826771</v>
      </c>
      <c r="G7" s="178">
        <f>G5*0.27</f>
        <v>270172.268503937</v>
      </c>
      <c r="H7" s="182"/>
      <c r="I7" s="180">
        <f t="shared" si="0"/>
        <v>3197688.3148818896</v>
      </c>
    </row>
    <row r="8" spans="1:9" ht="18" x14ac:dyDescent="0.2">
      <c r="A8" s="14" t="s">
        <v>111</v>
      </c>
      <c r="B8" s="15" t="s">
        <v>67</v>
      </c>
      <c r="C8" s="29" t="s">
        <v>55</v>
      </c>
      <c r="D8" s="184"/>
      <c r="E8" s="185">
        <f>SUM(E6:E7)</f>
        <v>2531748</v>
      </c>
      <c r="F8" s="184">
        <f>SUM(F5:F7)</f>
        <v>11238420.07</v>
      </c>
      <c r="G8" s="184">
        <f>SUM(G5:G7)</f>
        <v>1270810.3</v>
      </c>
      <c r="H8" s="186">
        <f>SUM(H6:H6)</f>
        <v>0</v>
      </c>
      <c r="I8" s="187">
        <f t="shared" si="0"/>
        <v>15040978.370000001</v>
      </c>
    </row>
    <row r="9" spans="1:9" ht="18" x14ac:dyDescent="0.25">
      <c r="A9" s="18" t="s">
        <v>112</v>
      </c>
      <c r="B9" s="11" t="s">
        <v>59</v>
      </c>
      <c r="C9" s="30" t="s">
        <v>60</v>
      </c>
      <c r="D9" s="178">
        <v>0</v>
      </c>
      <c r="E9" s="178">
        <f>8987000+9284099+E11</f>
        <v>18271099</v>
      </c>
      <c r="F9" s="178">
        <f>F11</f>
        <v>0</v>
      </c>
      <c r="G9" s="178"/>
      <c r="H9" s="182">
        <v>1067610</v>
      </c>
      <c r="I9" s="180">
        <f t="shared" si="0"/>
        <v>19338709</v>
      </c>
    </row>
    <row r="10" spans="1:9" ht="18" x14ac:dyDescent="0.25">
      <c r="A10" s="20" t="s">
        <v>113</v>
      </c>
      <c r="B10" s="26" t="s">
        <v>144</v>
      </c>
      <c r="C10" s="31" t="s">
        <v>61</v>
      </c>
      <c r="D10" s="188">
        <v>0</v>
      </c>
      <c r="E10" s="189">
        <f>8790000+9990155</f>
        <v>18780155</v>
      </c>
      <c r="F10" s="189">
        <f>SUM(F9:F9)</f>
        <v>0</v>
      </c>
      <c r="G10" s="189">
        <f t="shared" ref="G10" si="1">SUM(G9:G9)</f>
        <v>0</v>
      </c>
      <c r="H10" s="190">
        <f>+H9</f>
        <v>1067610</v>
      </c>
      <c r="I10" s="191">
        <f t="shared" si="0"/>
        <v>19847765</v>
      </c>
    </row>
    <row r="11" spans="1:9" s="176" customFormat="1" ht="18.75" x14ac:dyDescent="0.3">
      <c r="A11" s="266"/>
      <c r="B11" s="267" t="s">
        <v>168</v>
      </c>
      <c r="C11" s="268"/>
      <c r="D11" s="269">
        <v>2558000</v>
      </c>
      <c r="E11" s="270"/>
      <c r="F11" s="270"/>
      <c r="G11" s="270"/>
      <c r="H11" s="271"/>
      <c r="I11" s="241">
        <f t="shared" si="0"/>
        <v>2558000</v>
      </c>
    </row>
    <row r="12" spans="1:9" ht="18.75" thickBot="1" x14ac:dyDescent="0.25">
      <c r="A12" s="14" t="s">
        <v>114</v>
      </c>
      <c r="B12" s="15" t="s">
        <v>70</v>
      </c>
      <c r="C12" s="29" t="s">
        <v>62</v>
      </c>
      <c r="D12" s="185">
        <f>+D11</f>
        <v>2558000</v>
      </c>
      <c r="E12" s="185">
        <f>SUM(E10)</f>
        <v>18780155</v>
      </c>
      <c r="F12" s="185">
        <f>SUM(F10)</f>
        <v>0</v>
      </c>
      <c r="G12" s="185"/>
      <c r="H12" s="192">
        <f>SUM(H10)</f>
        <v>1067610</v>
      </c>
      <c r="I12" s="187">
        <f t="shared" si="0"/>
        <v>22405765</v>
      </c>
    </row>
    <row r="13" spans="1:9" ht="18.75" thickBot="1" x14ac:dyDescent="0.25">
      <c r="A13" s="38" t="s">
        <v>115</v>
      </c>
      <c r="B13" s="39" t="s">
        <v>71</v>
      </c>
      <c r="C13" s="51" t="s">
        <v>63</v>
      </c>
      <c r="D13" s="52">
        <f>D12</f>
        <v>2558000</v>
      </c>
      <c r="E13" s="52">
        <f>SUM(E12+E8)</f>
        <v>21311903</v>
      </c>
      <c r="F13" s="52">
        <f t="shared" ref="F13:G13" si="2">SUM(F12+F8)</f>
        <v>11238420.07</v>
      </c>
      <c r="G13" s="52">
        <f t="shared" si="2"/>
        <v>1270810.3</v>
      </c>
      <c r="H13" s="170">
        <f t="shared" ref="H13" si="3">SUM(H12)</f>
        <v>1067610</v>
      </c>
      <c r="I13" s="173">
        <f t="shared" si="0"/>
        <v>37446743.369999997</v>
      </c>
    </row>
    <row r="14" spans="1:9" ht="6" customHeight="1" x14ac:dyDescent="0.2">
      <c r="A14" s="36"/>
      <c r="B14" s="37"/>
      <c r="C14" s="49"/>
      <c r="D14" s="50"/>
      <c r="E14" s="50"/>
      <c r="F14" s="50"/>
      <c r="G14" s="50"/>
      <c r="H14" s="171"/>
      <c r="I14" s="174"/>
    </row>
    <row r="15" spans="1:9" ht="18" x14ac:dyDescent="0.25">
      <c r="A15" s="5">
        <v>1</v>
      </c>
      <c r="B15" s="193" t="s">
        <v>3</v>
      </c>
      <c r="C15" s="194" t="s">
        <v>4</v>
      </c>
      <c r="D15" s="195"/>
      <c r="E15" s="195">
        <f>10382900*0.65</f>
        <v>6748885</v>
      </c>
      <c r="F15" s="195">
        <f>10382900*0.3</f>
        <v>3114870</v>
      </c>
      <c r="G15" s="195">
        <f>10382900*0.05</f>
        <v>519145</v>
      </c>
      <c r="H15" s="196"/>
      <c r="I15" s="197">
        <f t="shared" ref="I15:I32" si="4">D15+E15+F15+G15+H15</f>
        <v>10382900</v>
      </c>
    </row>
    <row r="16" spans="1:9" ht="18" x14ac:dyDescent="0.2">
      <c r="A16" s="5"/>
      <c r="B16" s="198" t="s">
        <v>134</v>
      </c>
      <c r="C16" s="194" t="s">
        <v>135</v>
      </c>
      <c r="D16" s="195"/>
      <c r="E16" s="195">
        <f>390000*0.65</f>
        <v>253500</v>
      </c>
      <c r="F16" s="195">
        <f>390000*0.3</f>
        <v>117000</v>
      </c>
      <c r="G16" s="195">
        <f>390000*0.05</f>
        <v>19500</v>
      </c>
      <c r="H16" s="196"/>
      <c r="I16" s="197">
        <f t="shared" si="4"/>
        <v>390000</v>
      </c>
    </row>
    <row r="17" spans="1:9" ht="18" x14ac:dyDescent="0.2">
      <c r="A17" s="5">
        <v>2</v>
      </c>
      <c r="B17" s="198" t="s">
        <v>5</v>
      </c>
      <c r="C17" s="194" t="s">
        <v>6</v>
      </c>
      <c r="D17" s="195"/>
      <c r="E17" s="195">
        <f>506401*0.65</f>
        <v>329160.65000000002</v>
      </c>
      <c r="F17" s="195">
        <f>506401*0.3</f>
        <v>151920.29999999999</v>
      </c>
      <c r="G17" s="195">
        <f>506401*0.05</f>
        <v>25320.050000000003</v>
      </c>
      <c r="H17" s="196"/>
      <c r="I17" s="197">
        <f t="shared" si="4"/>
        <v>506401</v>
      </c>
    </row>
    <row r="18" spans="1:9" ht="18" x14ac:dyDescent="0.2">
      <c r="A18" s="5">
        <v>3</v>
      </c>
      <c r="B18" s="198" t="s">
        <v>7</v>
      </c>
      <c r="C18" s="194" t="s">
        <v>8</v>
      </c>
      <c r="D18" s="195"/>
      <c r="E18" s="195">
        <f>119988*0.65</f>
        <v>77992.2</v>
      </c>
      <c r="F18" s="195">
        <f>119988*0.3</f>
        <v>35996.400000000001</v>
      </c>
      <c r="G18" s="195">
        <f>119988*0.05</f>
        <v>5999.4000000000005</v>
      </c>
      <c r="H18" s="196"/>
      <c r="I18" s="197">
        <f>D18+E18+F18+G18+H18</f>
        <v>119988</v>
      </c>
    </row>
    <row r="19" spans="1:9" ht="18" x14ac:dyDescent="0.2">
      <c r="A19" s="5">
        <v>4</v>
      </c>
      <c r="B19" s="198" t="s">
        <v>9</v>
      </c>
      <c r="C19" s="194" t="s">
        <v>10</v>
      </c>
      <c r="D19" s="195"/>
      <c r="E19" s="195"/>
      <c r="F19" s="195"/>
      <c r="G19" s="195"/>
      <c r="H19" s="196"/>
      <c r="I19" s="197">
        <f t="shared" si="4"/>
        <v>0</v>
      </c>
    </row>
    <row r="20" spans="1:9" ht="18" x14ac:dyDescent="0.2">
      <c r="A20" s="8">
        <v>5</v>
      </c>
      <c r="B20" s="199" t="s">
        <v>72</v>
      </c>
      <c r="C20" s="200" t="s">
        <v>11</v>
      </c>
      <c r="D20" s="201"/>
      <c r="E20" s="201">
        <f t="shared" ref="E20:G20" si="5">SUM(E15:E19)</f>
        <v>7409537.8500000006</v>
      </c>
      <c r="F20" s="201">
        <f t="shared" si="5"/>
        <v>3419786.6999999997</v>
      </c>
      <c r="G20" s="201">
        <f t="shared" si="5"/>
        <v>569964.45000000007</v>
      </c>
      <c r="H20" s="202">
        <f t="shared" ref="H20" si="6">SUM(H15:H19)</f>
        <v>0</v>
      </c>
      <c r="I20" s="203">
        <f>D20+E20+F20+G20+H20</f>
        <v>11399289</v>
      </c>
    </row>
    <row r="21" spans="1:9" ht="18" x14ac:dyDescent="0.2">
      <c r="A21" s="5"/>
      <c r="B21" s="198" t="s">
        <v>158</v>
      </c>
      <c r="C21" s="194" t="s">
        <v>159</v>
      </c>
      <c r="D21" s="195"/>
      <c r="E21" s="195"/>
      <c r="F21" s="195"/>
      <c r="G21" s="195"/>
      <c r="H21" s="196"/>
      <c r="I21" s="197">
        <f>D21+E21+F21+G21+H21</f>
        <v>0</v>
      </c>
    </row>
    <row r="22" spans="1:9" ht="18" x14ac:dyDescent="0.2">
      <c r="A22" s="8"/>
      <c r="B22" s="199" t="s">
        <v>133</v>
      </c>
      <c r="C22" s="200" t="s">
        <v>159</v>
      </c>
      <c r="D22" s="201"/>
      <c r="E22" s="201">
        <f>E21</f>
        <v>0</v>
      </c>
      <c r="F22" s="201">
        <f t="shared" ref="F22:H22" si="7">F21</f>
        <v>0</v>
      </c>
      <c r="G22" s="201">
        <f t="shared" si="7"/>
        <v>0</v>
      </c>
      <c r="H22" s="201">
        <f t="shared" si="7"/>
        <v>0</v>
      </c>
      <c r="I22" s="203">
        <f t="shared" si="4"/>
        <v>0</v>
      </c>
    </row>
    <row r="23" spans="1:9" ht="18" x14ac:dyDescent="0.2">
      <c r="A23" s="8">
        <v>6</v>
      </c>
      <c r="B23" s="199" t="s">
        <v>73</v>
      </c>
      <c r="C23" s="200" t="s">
        <v>12</v>
      </c>
      <c r="D23" s="204"/>
      <c r="E23" s="204">
        <f>SUM(E20)</f>
        <v>7409537.8500000006</v>
      </c>
      <c r="F23" s="204">
        <f>+F20+F22</f>
        <v>3419786.6999999997</v>
      </c>
      <c r="G23" s="204">
        <f>SUM(G20)</f>
        <v>569964.45000000007</v>
      </c>
      <c r="H23" s="205">
        <f t="shared" ref="H23" si="8">SUM(H20)</f>
        <v>0</v>
      </c>
      <c r="I23" s="206">
        <f>D23+E23+F23+G23+H23</f>
        <v>11399289</v>
      </c>
    </row>
    <row r="24" spans="1:9" ht="36" x14ac:dyDescent="0.2">
      <c r="A24" s="8">
        <v>7</v>
      </c>
      <c r="B24" s="199" t="s">
        <v>74</v>
      </c>
      <c r="C24" s="200" t="s">
        <v>13</v>
      </c>
      <c r="D24" s="204"/>
      <c r="E24" s="204">
        <f>SUM(E25:E27)</f>
        <v>1479025.4992500001</v>
      </c>
      <c r="F24" s="204">
        <f>SUM(F25:F28)</f>
        <v>682627.15350000001</v>
      </c>
      <c r="G24" s="204">
        <f>SUM(G25:G27)</f>
        <v>113771.19225000002</v>
      </c>
      <c r="H24" s="205">
        <f>SUM(H25:H27)</f>
        <v>0</v>
      </c>
      <c r="I24" s="206">
        <f>D24+E24+F24+G24+H24</f>
        <v>2275423.8450000002</v>
      </c>
    </row>
    <row r="25" spans="1:9" ht="18.75" x14ac:dyDescent="0.2">
      <c r="A25" s="5">
        <v>8</v>
      </c>
      <c r="B25" s="207" t="s">
        <v>14</v>
      </c>
      <c r="C25" s="208" t="s">
        <v>13</v>
      </c>
      <c r="D25" s="209"/>
      <c r="E25" s="209">
        <f>+(E15+E17)*0.195+E16*0.195</f>
        <v>1429651.4017500002</v>
      </c>
      <c r="F25" s="209">
        <f t="shared" ref="F25:G25" si="9">+(F15+F17)*0.195+F16*0.195</f>
        <v>659839.10849999997</v>
      </c>
      <c r="G25" s="209">
        <f t="shared" si="9"/>
        <v>109973.18475000001</v>
      </c>
      <c r="H25" s="210"/>
      <c r="I25" s="211">
        <f t="shared" si="4"/>
        <v>2199463.6950000003</v>
      </c>
    </row>
    <row r="26" spans="1:9" ht="18.75" x14ac:dyDescent="0.2">
      <c r="A26" s="5">
        <v>10</v>
      </c>
      <c r="B26" s="207" t="s">
        <v>15</v>
      </c>
      <c r="C26" s="208" t="s">
        <v>13</v>
      </c>
      <c r="D26" s="209"/>
      <c r="E26" s="209"/>
      <c r="F26" s="209"/>
      <c r="G26" s="209"/>
      <c r="H26" s="210"/>
      <c r="I26" s="211">
        <f t="shared" si="4"/>
        <v>0</v>
      </c>
    </row>
    <row r="27" spans="1:9" ht="37.5" x14ac:dyDescent="0.2">
      <c r="A27" s="5">
        <v>11</v>
      </c>
      <c r="B27" s="207" t="s">
        <v>16</v>
      </c>
      <c r="C27" s="208" t="s">
        <v>13</v>
      </c>
      <c r="D27" s="209"/>
      <c r="E27" s="209">
        <f>+E17*0.15</f>
        <v>49374.097500000003</v>
      </c>
      <c r="F27" s="209">
        <f t="shared" ref="F27:G27" si="10">+F17*0.15</f>
        <v>22788.044999999998</v>
      </c>
      <c r="G27" s="209">
        <f t="shared" si="10"/>
        <v>3798.0075000000002</v>
      </c>
      <c r="H27" s="210"/>
      <c r="I27" s="211">
        <f t="shared" si="4"/>
        <v>75960.150000000009</v>
      </c>
    </row>
    <row r="28" spans="1:9" ht="37.5" x14ac:dyDescent="0.2">
      <c r="A28" s="5"/>
      <c r="B28" s="207" t="s">
        <v>160</v>
      </c>
      <c r="C28" s="208" t="s">
        <v>13</v>
      </c>
      <c r="D28" s="209"/>
      <c r="E28" s="209"/>
      <c r="F28" s="209"/>
      <c r="G28" s="209"/>
      <c r="H28" s="210"/>
      <c r="I28" s="211">
        <f t="shared" si="4"/>
        <v>0</v>
      </c>
    </row>
    <row r="29" spans="1:9" ht="18" x14ac:dyDescent="0.2">
      <c r="A29" s="10">
        <v>12</v>
      </c>
      <c r="B29" s="212" t="s">
        <v>17</v>
      </c>
      <c r="C29" s="213" t="s">
        <v>18</v>
      </c>
      <c r="D29" s="214"/>
      <c r="E29" s="214">
        <f>SUM(E23:E24)</f>
        <v>8888563.34925</v>
      </c>
      <c r="F29" s="214">
        <f>SUM(F23:F24)</f>
        <v>4102413.8534999997</v>
      </c>
      <c r="G29" s="214">
        <f>SUM(G23:G24)</f>
        <v>683735.64225000003</v>
      </c>
      <c r="H29" s="215">
        <f>SUM(H23:H24)</f>
        <v>0</v>
      </c>
      <c r="I29" s="216">
        <f t="shared" si="4"/>
        <v>13674712.844999999</v>
      </c>
    </row>
    <row r="30" spans="1:9" ht="18" x14ac:dyDescent="0.2">
      <c r="A30" s="5">
        <v>13</v>
      </c>
      <c r="B30" s="198" t="s">
        <v>21</v>
      </c>
      <c r="C30" s="194" t="s">
        <v>22</v>
      </c>
      <c r="D30" s="217"/>
      <c r="E30" s="217">
        <f>9172905+60374</f>
        <v>9233279</v>
      </c>
      <c r="F30" s="217">
        <f>344561+4908785+127998</f>
        <v>5381344</v>
      </c>
      <c r="G30" s="217">
        <f>9675+880898-627056/1.27</f>
        <v>396828.11811023625</v>
      </c>
      <c r="H30" s="218">
        <f>1067610/1.27</f>
        <v>840637.7952755905</v>
      </c>
      <c r="I30" s="219">
        <f>D30+E30+F30+G30+H30</f>
        <v>15852088.913385827</v>
      </c>
    </row>
    <row r="31" spans="1:9" ht="18" x14ac:dyDescent="0.2">
      <c r="A31" s="8">
        <v>14</v>
      </c>
      <c r="B31" s="199" t="s">
        <v>75</v>
      </c>
      <c r="C31" s="200" t="s">
        <v>23</v>
      </c>
      <c r="D31" s="201"/>
      <c r="E31" s="201">
        <f>SUM(E30)</f>
        <v>9233279</v>
      </c>
      <c r="F31" s="201">
        <f t="shared" ref="F31:H31" si="11">SUM(F30:F30)</f>
        <v>5381344</v>
      </c>
      <c r="G31" s="201">
        <f t="shared" si="11"/>
        <v>396828.11811023625</v>
      </c>
      <c r="H31" s="202">
        <f t="shared" si="11"/>
        <v>840637.7952755905</v>
      </c>
      <c r="I31" s="220">
        <f t="shared" si="4"/>
        <v>15852088.913385827</v>
      </c>
    </row>
    <row r="32" spans="1:9" ht="18" x14ac:dyDescent="0.2">
      <c r="A32" s="5">
        <v>15</v>
      </c>
      <c r="B32" s="198" t="s">
        <v>24</v>
      </c>
      <c r="C32" s="194" t="s">
        <v>25</v>
      </c>
      <c r="D32" s="217"/>
      <c r="E32" s="217">
        <v>42157</v>
      </c>
      <c r="F32" s="217">
        <v>22743</v>
      </c>
      <c r="G32" s="217">
        <v>612</v>
      </c>
      <c r="H32" s="218"/>
      <c r="I32" s="219">
        <f t="shared" si="4"/>
        <v>65512</v>
      </c>
    </row>
    <row r="33" spans="1:9" ht="18" x14ac:dyDescent="0.25">
      <c r="A33" s="5">
        <v>16</v>
      </c>
      <c r="B33" s="198" t="s">
        <v>26</v>
      </c>
      <c r="C33" s="194" t="s">
        <v>27</v>
      </c>
      <c r="D33" s="221"/>
      <c r="E33" s="222"/>
      <c r="F33" s="217"/>
      <c r="G33" s="217"/>
      <c r="H33" s="218"/>
      <c r="I33" s="219">
        <f>D33+E33+F33+G33+H33</f>
        <v>0</v>
      </c>
    </row>
    <row r="34" spans="1:9" ht="18" x14ac:dyDescent="0.2">
      <c r="A34" s="8">
        <v>17</v>
      </c>
      <c r="B34" s="199" t="s">
        <v>76</v>
      </c>
      <c r="C34" s="200" t="s">
        <v>28</v>
      </c>
      <c r="D34" s="201"/>
      <c r="E34" s="201">
        <f>SUM(E32:E33)</f>
        <v>42157</v>
      </c>
      <c r="F34" s="201">
        <f t="shared" ref="F34:H34" si="12">SUM(F32:F33)</f>
        <v>22743</v>
      </c>
      <c r="G34" s="201">
        <f t="shared" ref="G34" si="13">SUM(G32:G33)</f>
        <v>612</v>
      </c>
      <c r="H34" s="202">
        <f t="shared" si="12"/>
        <v>0</v>
      </c>
      <c r="I34" s="220">
        <f>D34+E34+F34+G34+H34</f>
        <v>65512</v>
      </c>
    </row>
    <row r="35" spans="1:9" ht="18" x14ac:dyDescent="0.2">
      <c r="A35" s="5">
        <v>18</v>
      </c>
      <c r="B35" s="198" t="s">
        <v>29</v>
      </c>
      <c r="C35" s="194" t="s">
        <v>30</v>
      </c>
      <c r="D35" s="217"/>
      <c r="E35" s="217">
        <v>749787</v>
      </c>
      <c r="F35" s="217">
        <v>442603</v>
      </c>
      <c r="G35" s="217">
        <v>82765</v>
      </c>
      <c r="H35" s="218"/>
      <c r="I35" s="219">
        <f>SUM(D35:H35)</f>
        <v>1275155</v>
      </c>
    </row>
    <row r="36" spans="1:9" ht="18" x14ac:dyDescent="0.2">
      <c r="A36" s="5">
        <v>19</v>
      </c>
      <c r="B36" s="198" t="s">
        <v>103</v>
      </c>
      <c r="C36" s="194" t="s">
        <v>105</v>
      </c>
      <c r="D36" s="217"/>
      <c r="E36" s="217">
        <v>5490</v>
      </c>
      <c r="F36" s="217">
        <v>2841</v>
      </c>
      <c r="G36" s="217">
        <v>82</v>
      </c>
      <c r="H36" s="218"/>
      <c r="I36" s="219">
        <f t="shared" ref="I36:I50" si="14">D36+E36+F36+G36+H36</f>
        <v>8413</v>
      </c>
    </row>
    <row r="37" spans="1:9" ht="18" x14ac:dyDescent="0.2">
      <c r="A37" s="5">
        <v>20</v>
      </c>
      <c r="B37" s="198" t="s">
        <v>104</v>
      </c>
      <c r="C37" s="194" t="s">
        <v>106</v>
      </c>
      <c r="D37" s="217"/>
      <c r="E37" s="217"/>
      <c r="F37" s="217"/>
      <c r="G37" s="217"/>
      <c r="H37" s="218"/>
      <c r="I37" s="219">
        <f t="shared" si="14"/>
        <v>0</v>
      </c>
    </row>
    <row r="38" spans="1:9" ht="18" x14ac:dyDescent="0.2">
      <c r="A38" s="5"/>
      <c r="B38" s="198" t="s">
        <v>127</v>
      </c>
      <c r="C38" s="194" t="s">
        <v>143</v>
      </c>
      <c r="D38" s="217"/>
      <c r="E38" s="217">
        <v>152435</v>
      </c>
      <c r="F38" s="217">
        <v>82884</v>
      </c>
      <c r="G38" s="217">
        <v>5091</v>
      </c>
      <c r="H38" s="218"/>
      <c r="I38" s="219">
        <f t="shared" ref="I38:I43" si="15">D38+E38+F38+G38+H38</f>
        <v>240410</v>
      </c>
    </row>
    <row r="39" spans="1:9" ht="18" x14ac:dyDescent="0.2">
      <c r="A39" s="5">
        <v>21</v>
      </c>
      <c r="B39" s="198" t="s">
        <v>31</v>
      </c>
      <c r="C39" s="194" t="s">
        <v>32</v>
      </c>
      <c r="D39" s="195"/>
      <c r="E39" s="195">
        <v>4346</v>
      </c>
      <c r="F39" s="195">
        <v>2378</v>
      </c>
      <c r="G39" s="195"/>
      <c r="H39" s="196"/>
      <c r="I39" s="197">
        <f t="shared" si="15"/>
        <v>6724</v>
      </c>
    </row>
    <row r="40" spans="1:9" ht="18" x14ac:dyDescent="0.2">
      <c r="A40" s="5">
        <v>22</v>
      </c>
      <c r="B40" s="198" t="s">
        <v>77</v>
      </c>
      <c r="C40" s="194" t="s">
        <v>33</v>
      </c>
      <c r="D40" s="195"/>
      <c r="E40" s="195">
        <v>84970</v>
      </c>
      <c r="F40" s="195">
        <v>55691</v>
      </c>
      <c r="G40" s="195">
        <v>31430</v>
      </c>
      <c r="H40" s="196"/>
      <c r="I40" s="197">
        <f t="shared" si="15"/>
        <v>172091</v>
      </c>
    </row>
    <row r="41" spans="1:9" ht="18" x14ac:dyDescent="0.2">
      <c r="A41" s="8">
        <v>23</v>
      </c>
      <c r="B41" s="199" t="s">
        <v>78</v>
      </c>
      <c r="C41" s="200" t="s">
        <v>34</v>
      </c>
      <c r="D41" s="201"/>
      <c r="E41" s="201">
        <f>SUM(E35:E40)</f>
        <v>997028</v>
      </c>
      <c r="F41" s="201">
        <f>SUM(F35:F40)</f>
        <v>586397</v>
      </c>
      <c r="G41" s="201">
        <f t="shared" ref="G41" si="16">SUM(G35:G40)</f>
        <v>119368</v>
      </c>
      <c r="H41" s="202">
        <f t="shared" ref="H41" si="17">SUM(H35:H40)</f>
        <v>0</v>
      </c>
      <c r="I41" s="220">
        <f t="shared" si="15"/>
        <v>1702793</v>
      </c>
    </row>
    <row r="42" spans="1:9" ht="36" x14ac:dyDescent="0.2">
      <c r="A42" s="5">
        <v>24</v>
      </c>
      <c r="B42" s="198" t="s">
        <v>38</v>
      </c>
      <c r="C42" s="194" t="s">
        <v>39</v>
      </c>
      <c r="D42" s="195"/>
      <c r="E42" s="195">
        <f>116924+36279+1847279</f>
        <v>2000482</v>
      </c>
      <c r="F42" s="195">
        <f>63641+1081881</f>
        <v>1145522</v>
      </c>
      <c r="G42" s="195">
        <f>1787+201791-627056/1.27*0.27</f>
        <v>70266.881889763783</v>
      </c>
      <c r="H42" s="196">
        <f>+H30*0.27</f>
        <v>226972.20472440944</v>
      </c>
      <c r="I42" s="197">
        <f t="shared" si="15"/>
        <v>3443243.0866141734</v>
      </c>
    </row>
    <row r="43" spans="1:9" ht="18" x14ac:dyDescent="0.2">
      <c r="A43" s="5"/>
      <c r="B43" s="198" t="s">
        <v>169</v>
      </c>
      <c r="C43" s="194" t="s">
        <v>137</v>
      </c>
      <c r="D43" s="195">
        <f>1279000*2</f>
        <v>2558000</v>
      </c>
      <c r="E43" s="195"/>
      <c r="F43" s="195"/>
      <c r="G43" s="195"/>
      <c r="H43" s="196"/>
      <c r="I43" s="197">
        <f t="shared" si="15"/>
        <v>2558000</v>
      </c>
    </row>
    <row r="44" spans="1:9" ht="18.75" x14ac:dyDescent="0.2">
      <c r="A44" s="5">
        <v>25</v>
      </c>
      <c r="B44" s="198" t="s">
        <v>40</v>
      </c>
      <c r="C44" s="194" t="s">
        <v>41</v>
      </c>
      <c r="D44" s="209"/>
      <c r="E44" s="209">
        <f>114+150280</f>
        <v>150394</v>
      </c>
      <c r="F44" s="209"/>
      <c r="G44" s="209"/>
      <c r="H44" s="210"/>
      <c r="I44" s="211">
        <f t="shared" si="14"/>
        <v>150394</v>
      </c>
    </row>
    <row r="45" spans="1:9" ht="36" x14ac:dyDescent="0.2">
      <c r="A45" s="8">
        <v>26</v>
      </c>
      <c r="B45" s="199" t="s">
        <v>80</v>
      </c>
      <c r="C45" s="200" t="s">
        <v>42</v>
      </c>
      <c r="D45" s="201">
        <f>D43</f>
        <v>2558000</v>
      </c>
      <c r="E45" s="201">
        <f>SUM(E42:E44)</f>
        <v>2150876</v>
      </c>
      <c r="F45" s="201">
        <f>SUM(F42:F44)</f>
        <v>1145522</v>
      </c>
      <c r="G45" s="201">
        <f t="shared" ref="G45" si="18">SUM(G42:G44)</f>
        <v>70266.881889763783</v>
      </c>
      <c r="H45" s="202">
        <f t="shared" ref="H45" si="19">SUM(H42:H44)</f>
        <v>226972.20472440944</v>
      </c>
      <c r="I45" s="220">
        <f>D45+E45+F45+G45+H45</f>
        <v>6151637.0866141738</v>
      </c>
    </row>
    <row r="46" spans="1:9" ht="18" x14ac:dyDescent="0.2">
      <c r="A46" s="8">
        <v>27</v>
      </c>
      <c r="B46" s="199" t="s">
        <v>81</v>
      </c>
      <c r="C46" s="200" t="s">
        <v>43</v>
      </c>
      <c r="D46" s="204">
        <f>D45</f>
        <v>2558000</v>
      </c>
      <c r="E46" s="204">
        <f>SUM(E31)+E34+E41+E45</f>
        <v>12423340</v>
      </c>
      <c r="F46" s="204">
        <f>SUM(F45,F41,F34,F31)</f>
        <v>7136006</v>
      </c>
      <c r="G46" s="204">
        <f t="shared" ref="G46" si="20">SUM(G45,G41,G34,G31)</f>
        <v>587075</v>
      </c>
      <c r="H46" s="205">
        <f t="shared" ref="H46" si="21">SUM(H45,H41,H34,H31)</f>
        <v>1067610</v>
      </c>
      <c r="I46" s="206">
        <f>D46+E46+F46+G46+H46</f>
        <v>23772031</v>
      </c>
    </row>
    <row r="47" spans="1:9" ht="18" x14ac:dyDescent="0.2">
      <c r="A47" s="10">
        <v>28</v>
      </c>
      <c r="B47" s="212" t="s">
        <v>44</v>
      </c>
      <c r="C47" s="213" t="s">
        <v>89</v>
      </c>
      <c r="D47" s="214">
        <f>D46</f>
        <v>2558000</v>
      </c>
      <c r="E47" s="214">
        <f>SUM(E46,E29)</f>
        <v>21311903.34925</v>
      </c>
      <c r="F47" s="214">
        <f t="shared" ref="F47:H47" si="22">SUM(F46,F29)</f>
        <v>11238419.853499999</v>
      </c>
      <c r="G47" s="214">
        <f t="shared" si="22"/>
        <v>1270810.64225</v>
      </c>
      <c r="H47" s="215">
        <f t="shared" si="22"/>
        <v>1067610</v>
      </c>
      <c r="I47" s="216">
        <f t="shared" si="14"/>
        <v>37446743.844999999</v>
      </c>
    </row>
    <row r="48" spans="1:9" ht="18" x14ac:dyDescent="0.2">
      <c r="A48" s="5">
        <v>29</v>
      </c>
      <c r="B48" s="223" t="s">
        <v>45</v>
      </c>
      <c r="C48" s="194" t="s">
        <v>46</v>
      </c>
      <c r="D48" s="195"/>
      <c r="E48" s="195"/>
      <c r="F48" s="195"/>
      <c r="G48" s="195"/>
      <c r="H48" s="196"/>
      <c r="I48" s="197">
        <f t="shared" si="14"/>
        <v>0</v>
      </c>
    </row>
    <row r="49" spans="1:9" ht="36" x14ac:dyDescent="0.2">
      <c r="A49" s="5">
        <v>30</v>
      </c>
      <c r="B49" s="198" t="s">
        <v>47</v>
      </c>
      <c r="C49" s="194" t="s">
        <v>48</v>
      </c>
      <c r="D49" s="195"/>
      <c r="E49" s="195"/>
      <c r="F49" s="195"/>
      <c r="G49" s="195"/>
      <c r="H49" s="196"/>
      <c r="I49" s="197">
        <f t="shared" si="14"/>
        <v>0</v>
      </c>
    </row>
    <row r="50" spans="1:9" ht="18" x14ac:dyDescent="0.2">
      <c r="A50" s="8">
        <v>31</v>
      </c>
      <c r="B50" s="224" t="s">
        <v>82</v>
      </c>
      <c r="C50" s="200" t="s">
        <v>49</v>
      </c>
      <c r="D50" s="204"/>
      <c r="E50" s="204">
        <f>SUM(E48:E49)</f>
        <v>0</v>
      </c>
      <c r="F50" s="204">
        <f t="shared" ref="F50:H50" si="23">SUM(F48:F49)</f>
        <v>0</v>
      </c>
      <c r="G50" s="204">
        <f t="shared" ref="G50" si="24">SUM(G48:G49)</f>
        <v>0</v>
      </c>
      <c r="H50" s="205">
        <f t="shared" si="23"/>
        <v>0</v>
      </c>
      <c r="I50" s="206">
        <f t="shared" si="14"/>
        <v>0</v>
      </c>
    </row>
    <row r="51" spans="1:9" ht="18.75" thickBot="1" x14ac:dyDescent="0.25">
      <c r="A51" s="14">
        <v>32</v>
      </c>
      <c r="B51" s="225" t="s">
        <v>83</v>
      </c>
      <c r="C51" s="226" t="s">
        <v>50</v>
      </c>
      <c r="D51" s="185"/>
      <c r="E51" s="185">
        <f>SUM(E47+E50)</f>
        <v>21311903.34925</v>
      </c>
      <c r="F51" s="185">
        <f t="shared" ref="F51:H51" si="25">SUM(F47+F50)</f>
        <v>11238419.853499999</v>
      </c>
      <c r="G51" s="185">
        <f t="shared" si="25"/>
        <v>1270810.64225</v>
      </c>
      <c r="H51" s="192">
        <f t="shared" si="25"/>
        <v>1067610</v>
      </c>
      <c r="I51" s="187">
        <f>D51+E51+F51+G51+H51</f>
        <v>34888743.844999999</v>
      </c>
    </row>
    <row r="52" spans="1:9" ht="18.75" thickBot="1" x14ac:dyDescent="0.25">
      <c r="A52" s="48">
        <v>33</v>
      </c>
      <c r="B52" s="16" t="s">
        <v>84</v>
      </c>
      <c r="C52" s="35" t="s">
        <v>51</v>
      </c>
      <c r="D52" s="42">
        <f>D47</f>
        <v>2558000</v>
      </c>
      <c r="E52" s="42">
        <f>SUM(E51)</f>
        <v>21311903.34925</v>
      </c>
      <c r="F52" s="42">
        <f>SUM(F51)</f>
        <v>11238419.853499999</v>
      </c>
      <c r="G52" s="42">
        <f>SUM(G51)</f>
        <v>1270810.64225</v>
      </c>
      <c r="H52" s="172">
        <f t="shared" ref="H52" si="26">SUM(H51)</f>
        <v>1067610</v>
      </c>
      <c r="I52" s="168">
        <f>D52+E52+F52+G52+H52</f>
        <v>37446743.844999999</v>
      </c>
    </row>
    <row r="53" spans="1:9" ht="15" x14ac:dyDescent="0.25">
      <c r="E53" s="93">
        <f>E13-E52</f>
        <v>-0.34924999997019768</v>
      </c>
      <c r="F53" s="86">
        <f>+F13-F52</f>
        <v>0.21650000102818012</v>
      </c>
      <c r="G53" s="27">
        <f>+G13-G52</f>
        <v>-0.34224999998696148</v>
      </c>
      <c r="H53" s="27">
        <f>+H13-H52</f>
        <v>0</v>
      </c>
      <c r="I53" s="92">
        <f>I13-I52</f>
        <v>-0.47500000149011612</v>
      </c>
    </row>
    <row r="54" spans="1:9" x14ac:dyDescent="0.2">
      <c r="E54" s="87"/>
      <c r="I54" s="87"/>
    </row>
    <row r="55" spans="1:9" x14ac:dyDescent="0.2">
      <c r="E55" s="88"/>
    </row>
  </sheetData>
  <pageMargins left="0.70866141732283472" right="0.70866141732283472" top="0.15748031496062992" bottom="0.15748031496062992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Óvoda</vt:lpstr>
      <vt:lpstr>Konyha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2019-03-06T13:59:32Z</cp:lastPrinted>
  <dcterms:created xsi:type="dcterms:W3CDTF">2016-10-11T06:22:12Z</dcterms:created>
  <dcterms:modified xsi:type="dcterms:W3CDTF">2019-03-29T08:32:31Z</dcterms:modified>
</cp:coreProperties>
</file>