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activeTab="1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1">'11.sz.mell.'!$A$1:$O$20</definedName>
    <definedName name="_xlnm.Print_Area" localSheetId="12">'12.sz.mell.'!$A$1:$D$16</definedName>
    <definedName name="_xlnm.Print_Area" localSheetId="14">'14.sz.mell.'!$A$1:$F$56</definedName>
    <definedName name="_xlnm.Print_Area" localSheetId="15">'15. sz.mell.'!$A$1:$AA$25</definedName>
    <definedName name="_xlnm.Print_Area" localSheetId="16">'16.sz.mell.'!$A$1:$E$31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'19.sz.m.'!$A$1:$F$28</definedName>
    <definedName name="_xlnm.Print_Area" localSheetId="1">'2.sz.mell.'!$A$1:$D$95</definedName>
    <definedName name="_xlnm.Print_Area" localSheetId="20">'20.sz.mell'!$A$1:$H$27</definedName>
    <definedName name="_xlnm.Print_Area" localSheetId="2">'3.sz.mell.'!$A$1:$F$47</definedName>
    <definedName name="_xlnm.Print_Area" localSheetId="3">'4.sz.mell.'!$A$1:$W$26</definedName>
    <definedName name="_xlnm.Print_Area" localSheetId="5">'5 b.sz.mell.'!$A$1:$Q$61</definedName>
    <definedName name="_xlnm.Print_Area" localSheetId="4">'5.a sz.mell.'!$A$1:$AA$66</definedName>
    <definedName name="_xlnm.Print_Area" localSheetId="6">'6.sz.mell.'!$A$1:$E$49</definedName>
    <definedName name="_xlnm.Print_Area" localSheetId="7">'7.sz.mell.'!$A$1:$D$20</definedName>
    <definedName name="_xlnm.Print_Area" localSheetId="8">'8.sz.mell.'!$A$1:$E$40</definedName>
    <definedName name="_xlnm.Print_Area" localSheetId="9">'9.sz.mell.'!$A$1:$G$27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5"/>
  <c r="D26"/>
  <c r="C10" i="22"/>
  <c r="D14"/>
  <c r="D16" s="1"/>
  <c r="D12"/>
  <c r="D10"/>
  <c r="C21" i="21"/>
  <c r="C12"/>
  <c r="C11"/>
  <c r="C10"/>
  <c r="C8"/>
  <c r="E21" i="14"/>
  <c r="Y18"/>
  <c r="W18"/>
  <c r="U18"/>
  <c r="S18"/>
  <c r="Q18"/>
  <c r="O18"/>
  <c r="M18"/>
  <c r="K18"/>
  <c r="I18"/>
  <c r="G18"/>
  <c r="E18"/>
  <c r="C18"/>
  <c r="Y16"/>
  <c r="W16"/>
  <c r="U16"/>
  <c r="S16"/>
  <c r="Q16"/>
  <c r="O16"/>
  <c r="M16"/>
  <c r="K16"/>
  <c r="I16"/>
  <c r="G16"/>
  <c r="G23" s="1"/>
  <c r="E16"/>
  <c r="C16"/>
  <c r="Y15"/>
  <c r="W15"/>
  <c r="U15"/>
  <c r="S15"/>
  <c r="Q15"/>
  <c r="O15"/>
  <c r="M15"/>
  <c r="K15"/>
  <c r="I15"/>
  <c r="G15"/>
  <c r="E15"/>
  <c r="C15"/>
  <c r="Y14"/>
  <c r="W14"/>
  <c r="U14"/>
  <c r="S14"/>
  <c r="Q14"/>
  <c r="O14"/>
  <c r="M14"/>
  <c r="K14"/>
  <c r="I14"/>
  <c r="G14"/>
  <c r="E14"/>
  <c r="C14"/>
  <c r="Y11"/>
  <c r="W11"/>
  <c r="U11"/>
  <c r="U12" s="1"/>
  <c r="S11"/>
  <c r="Q11"/>
  <c r="O11"/>
  <c r="M11"/>
  <c r="K11"/>
  <c r="I11"/>
  <c r="G11"/>
  <c r="E11"/>
  <c r="D11"/>
  <c r="C11"/>
  <c r="M9"/>
  <c r="K9"/>
  <c r="S22" s="1"/>
  <c r="S23" s="1"/>
  <c r="Y6"/>
  <c r="W6"/>
  <c r="U6"/>
  <c r="S6"/>
  <c r="Q6"/>
  <c r="O6"/>
  <c r="M6"/>
  <c r="K6"/>
  <c r="I6"/>
  <c r="G6"/>
  <c r="E6"/>
  <c r="C6"/>
  <c r="Y7"/>
  <c r="Y8"/>
  <c r="W7"/>
  <c r="U7"/>
  <c r="S7"/>
  <c r="Q7"/>
  <c r="O7"/>
  <c r="M7"/>
  <c r="K7"/>
  <c r="I7"/>
  <c r="G7"/>
  <c r="E7"/>
  <c r="C7"/>
  <c r="AF10"/>
  <c r="AG10" s="1"/>
  <c r="AF13"/>
  <c r="AE23"/>
  <c r="AE22"/>
  <c r="AE21"/>
  <c r="AE20"/>
  <c r="AF20" s="1"/>
  <c r="AG20" s="1"/>
  <c r="AE19"/>
  <c r="AE17"/>
  <c r="AF17" s="1"/>
  <c r="AG17" s="1"/>
  <c r="AE18"/>
  <c r="AE16"/>
  <c r="AE15"/>
  <c r="AE14"/>
  <c r="AE12"/>
  <c r="AE11"/>
  <c r="AE9"/>
  <c r="AE8"/>
  <c r="AF8" s="1"/>
  <c r="AG8" s="1"/>
  <c r="AE7"/>
  <c r="AE6"/>
  <c r="W23"/>
  <c r="W12"/>
  <c r="U23"/>
  <c r="S12"/>
  <c r="Q23"/>
  <c r="Q12"/>
  <c r="O23"/>
  <c r="O12"/>
  <c r="M23"/>
  <c r="K23"/>
  <c r="I23"/>
  <c r="G12"/>
  <c r="E23"/>
  <c r="E12"/>
  <c r="C6" i="11"/>
  <c r="L11" i="10"/>
  <c r="M8"/>
  <c r="O9"/>
  <c r="O8"/>
  <c r="C12"/>
  <c r="E12" s="1"/>
  <c r="C11"/>
  <c r="I11" s="1"/>
  <c r="C10"/>
  <c r="I10" s="1"/>
  <c r="G11"/>
  <c r="M11"/>
  <c r="E11"/>
  <c r="K10"/>
  <c r="E10" l="1"/>
  <c r="N10"/>
  <c r="O10" s="1"/>
  <c r="L12"/>
  <c r="Y23" i="14"/>
  <c r="E24"/>
  <c r="C23"/>
  <c r="W24"/>
  <c r="U24"/>
  <c r="Q24"/>
  <c r="O24"/>
  <c r="G24"/>
  <c r="M12"/>
  <c r="M24" s="1"/>
  <c r="K12"/>
  <c r="K24" s="1"/>
  <c r="I12"/>
  <c r="I24" s="1"/>
  <c r="Y12"/>
  <c r="Y24" s="1"/>
  <c r="S24"/>
  <c r="C12"/>
  <c r="I12" i="10"/>
  <c r="K12"/>
  <c r="M12"/>
  <c r="K11"/>
  <c r="G10"/>
  <c r="M10"/>
  <c r="G12"/>
  <c r="I10" i="8"/>
  <c r="G10"/>
  <c r="I7"/>
  <c r="G7"/>
  <c r="E23" i="6"/>
  <c r="E22"/>
  <c r="E20"/>
  <c r="E19"/>
  <c r="L24"/>
  <c r="K26"/>
  <c r="K19"/>
  <c r="V17" i="23"/>
  <c r="G19" i="6"/>
  <c r="F19"/>
  <c r="E36"/>
  <c r="E38"/>
  <c r="E37"/>
  <c r="E41"/>
  <c r="D41"/>
  <c r="D15" i="5"/>
  <c r="D14"/>
  <c r="D13"/>
  <c r="C15"/>
  <c r="D38" i="6" s="1"/>
  <c r="B15" i="5"/>
  <c r="B38" i="6" s="1"/>
  <c r="V27" i="3"/>
  <c r="T27"/>
  <c r="R27"/>
  <c r="R20"/>
  <c r="R25" s="1"/>
  <c r="P27"/>
  <c r="P24"/>
  <c r="P23"/>
  <c r="P22"/>
  <c r="P21"/>
  <c r="P20"/>
  <c r="P25" s="1"/>
  <c r="N27"/>
  <c r="N20"/>
  <c r="N25" s="1"/>
  <c r="L27"/>
  <c r="L20"/>
  <c r="L25" s="1"/>
  <c r="J27"/>
  <c r="J22"/>
  <c r="T22" s="1"/>
  <c r="V22" s="1"/>
  <c r="J21"/>
  <c r="T21" s="1"/>
  <c r="V21" s="1"/>
  <c r="J20"/>
  <c r="J25" s="1"/>
  <c r="H27"/>
  <c r="H24"/>
  <c r="H23"/>
  <c r="T23" s="1"/>
  <c r="V23" s="1"/>
  <c r="H22"/>
  <c r="H21"/>
  <c r="H20"/>
  <c r="F27"/>
  <c r="F24"/>
  <c r="T24" s="1"/>
  <c r="V24" s="1"/>
  <c r="F23"/>
  <c r="F22"/>
  <c r="F21"/>
  <c r="F20"/>
  <c r="F25" s="1"/>
  <c r="D27"/>
  <c r="D24"/>
  <c r="D23"/>
  <c r="D22"/>
  <c r="D21"/>
  <c r="D20"/>
  <c r="R15"/>
  <c r="P15"/>
  <c r="N15"/>
  <c r="N14"/>
  <c r="N11"/>
  <c r="N10"/>
  <c r="N9"/>
  <c r="N8"/>
  <c r="N7"/>
  <c r="L15"/>
  <c r="L11"/>
  <c r="L10"/>
  <c r="L9"/>
  <c r="L8"/>
  <c r="L7"/>
  <c r="J14"/>
  <c r="J12"/>
  <c r="H15"/>
  <c r="H11"/>
  <c r="H10"/>
  <c r="H9"/>
  <c r="H8"/>
  <c r="H7"/>
  <c r="F15"/>
  <c r="F14"/>
  <c r="F11"/>
  <c r="F10"/>
  <c r="F9"/>
  <c r="F8"/>
  <c r="F7"/>
  <c r="D15"/>
  <c r="D11"/>
  <c r="D10"/>
  <c r="D9"/>
  <c r="D8"/>
  <c r="D7"/>
  <c r="M7"/>
  <c r="F80" i="19"/>
  <c r="D18"/>
  <c r="D19"/>
  <c r="D17"/>
  <c r="D16"/>
  <c r="D15"/>
  <c r="F9"/>
  <c r="F66"/>
  <c r="F64"/>
  <c r="D63"/>
  <c r="C14" i="21" s="1"/>
  <c r="F63" i="19"/>
  <c r="F55"/>
  <c r="F43"/>
  <c r="E61" i="24"/>
  <c r="G61"/>
  <c r="H61"/>
  <c r="I61"/>
  <c r="J61"/>
  <c r="K61"/>
  <c r="L61"/>
  <c r="M61"/>
  <c r="N61"/>
  <c r="O61"/>
  <c r="E60"/>
  <c r="F60"/>
  <c r="G60"/>
  <c r="H60"/>
  <c r="I60"/>
  <c r="J60"/>
  <c r="K60"/>
  <c r="L60"/>
  <c r="M60"/>
  <c r="N60"/>
  <c r="O60"/>
  <c r="E38"/>
  <c r="G38"/>
  <c r="H38"/>
  <c r="I38"/>
  <c r="J38"/>
  <c r="K38"/>
  <c r="L38"/>
  <c r="M38"/>
  <c r="N38"/>
  <c r="O38"/>
  <c r="F36" i="19"/>
  <c r="AA58" i="23"/>
  <c r="AA11"/>
  <c r="P30" i="24"/>
  <c r="E50"/>
  <c r="F50"/>
  <c r="G50"/>
  <c r="H50"/>
  <c r="I50"/>
  <c r="J50"/>
  <c r="K50"/>
  <c r="L50"/>
  <c r="M50"/>
  <c r="N50"/>
  <c r="O50"/>
  <c r="E46"/>
  <c r="F46"/>
  <c r="G46"/>
  <c r="H46"/>
  <c r="I46"/>
  <c r="J46"/>
  <c r="K46"/>
  <c r="L46"/>
  <c r="M46"/>
  <c r="N46"/>
  <c r="O46"/>
  <c r="E43"/>
  <c r="F43"/>
  <c r="G43"/>
  <c r="H43"/>
  <c r="I43"/>
  <c r="J43"/>
  <c r="K43"/>
  <c r="L43"/>
  <c r="M43"/>
  <c r="N43"/>
  <c r="O43"/>
  <c r="M34" i="23"/>
  <c r="Y34" s="1"/>
  <c r="X24"/>
  <c r="Y24"/>
  <c r="I20"/>
  <c r="W34"/>
  <c r="X14"/>
  <c r="Y14"/>
  <c r="K26"/>
  <c r="D25" i="3" l="1"/>
  <c r="T20"/>
  <c r="V20" s="1"/>
  <c r="H25"/>
  <c r="T25" s="1"/>
  <c r="V25" s="1"/>
  <c r="C24" i="14"/>
  <c r="P8" i="3"/>
  <c r="R8" s="1"/>
  <c r="P9"/>
  <c r="R9" s="1"/>
  <c r="P7"/>
  <c r="P12" s="1"/>
  <c r="P11"/>
  <c r="R11" s="1"/>
  <c r="P10"/>
  <c r="R10" s="1"/>
  <c r="N12"/>
  <c r="D12"/>
  <c r="H12"/>
  <c r="L12"/>
  <c r="F12"/>
  <c r="X48" i="23"/>
  <c r="X49"/>
  <c r="X50"/>
  <c r="X51"/>
  <c r="X52"/>
  <c r="X53"/>
  <c r="X54"/>
  <c r="X55"/>
  <c r="X56"/>
  <c r="X57"/>
  <c r="X58"/>
  <c r="X59"/>
  <c r="X60"/>
  <c r="X61"/>
  <c r="X62"/>
  <c r="X63"/>
  <c r="X64"/>
  <c r="X65"/>
  <c r="X7"/>
  <c r="X8"/>
  <c r="X9"/>
  <c r="X10"/>
  <c r="X11"/>
  <c r="X12"/>
  <c r="X13"/>
  <c r="X15"/>
  <c r="X16"/>
  <c r="X17"/>
  <c r="X18"/>
  <c r="X19"/>
  <c r="X20"/>
  <c r="X21"/>
  <c r="X22"/>
  <c r="X23"/>
  <c r="X25"/>
  <c r="X26"/>
  <c r="X27"/>
  <c r="X28"/>
  <c r="X29"/>
  <c r="X30"/>
  <c r="X31"/>
  <c r="X32"/>
  <c r="X33"/>
  <c r="X35"/>
  <c r="X36"/>
  <c r="X37"/>
  <c r="X38"/>
  <c r="X39"/>
  <c r="X40"/>
  <c r="X41"/>
  <c r="X42"/>
  <c r="X44"/>
  <c r="X45"/>
  <c r="X46"/>
  <c r="X47"/>
  <c r="X6"/>
  <c r="Y61"/>
  <c r="M65"/>
  <c r="Y7"/>
  <c r="Y8"/>
  <c r="Y9"/>
  <c r="Y10"/>
  <c r="Y11"/>
  <c r="Y12"/>
  <c r="Y13"/>
  <c r="Y15"/>
  <c r="Y16"/>
  <c r="Y17"/>
  <c r="Y18"/>
  <c r="Y19"/>
  <c r="Y20"/>
  <c r="Y21"/>
  <c r="Y22"/>
  <c r="Y23"/>
  <c r="Y25"/>
  <c r="Y26"/>
  <c r="Y27"/>
  <c r="Y28"/>
  <c r="Y29"/>
  <c r="Y30"/>
  <c r="Y31"/>
  <c r="Y32"/>
  <c r="Y33"/>
  <c r="Y35"/>
  <c r="Y36"/>
  <c r="Y37"/>
  <c r="Y38"/>
  <c r="Y39"/>
  <c r="Y40"/>
  <c r="Y41"/>
  <c r="Y42"/>
  <c r="Y44"/>
  <c r="Y45"/>
  <c r="Y46"/>
  <c r="Y48"/>
  <c r="Y49"/>
  <c r="Y50"/>
  <c r="Y51"/>
  <c r="Y53"/>
  <c r="Y54"/>
  <c r="Y56"/>
  <c r="Y57"/>
  <c r="Y58"/>
  <c r="Y59"/>
  <c r="Y60"/>
  <c r="Y62"/>
  <c r="Y63"/>
  <c r="Y64"/>
  <c r="Y6"/>
  <c r="W65"/>
  <c r="W55"/>
  <c r="W52"/>
  <c r="W47"/>
  <c r="W42"/>
  <c r="W43"/>
  <c r="W66" s="1"/>
  <c r="W13"/>
  <c r="U58"/>
  <c r="U56"/>
  <c r="U65" s="1"/>
  <c r="U55"/>
  <c r="U52"/>
  <c r="U47"/>
  <c r="U42"/>
  <c r="U40"/>
  <c r="U33"/>
  <c r="U34"/>
  <c r="U43" s="1"/>
  <c r="S65"/>
  <c r="S55"/>
  <c r="S52"/>
  <c r="S47"/>
  <c r="S42"/>
  <c r="S34"/>
  <c r="S43" s="1"/>
  <c r="Q65"/>
  <c r="Q55"/>
  <c r="Q52"/>
  <c r="Q47"/>
  <c r="Q42"/>
  <c r="Q34"/>
  <c r="Q43" s="1"/>
  <c r="O65"/>
  <c r="O55"/>
  <c r="O52"/>
  <c r="O47"/>
  <c r="O42"/>
  <c r="O34"/>
  <c r="O43" s="1"/>
  <c r="M55"/>
  <c r="M52"/>
  <c r="M47"/>
  <c r="M42"/>
  <c r="M43"/>
  <c r="M66" s="1"/>
  <c r="M30"/>
  <c r="K65"/>
  <c r="K55"/>
  <c r="K52"/>
  <c r="K47"/>
  <c r="K42"/>
  <c r="K34"/>
  <c r="K43" s="1"/>
  <c r="K27"/>
  <c r="I64"/>
  <c r="I63"/>
  <c r="I62"/>
  <c r="I60"/>
  <c r="I59"/>
  <c r="I57"/>
  <c r="I56"/>
  <c r="I65" s="1"/>
  <c r="I55"/>
  <c r="I53"/>
  <c r="I50"/>
  <c r="I49"/>
  <c r="I52" s="1"/>
  <c r="I47"/>
  <c r="I42"/>
  <c r="I41"/>
  <c r="I40"/>
  <c r="I35"/>
  <c r="I31"/>
  <c r="I28"/>
  <c r="I25"/>
  <c r="I23"/>
  <c r="I13"/>
  <c r="I34"/>
  <c r="I43" s="1"/>
  <c r="I7"/>
  <c r="I6"/>
  <c r="G65"/>
  <c r="G55"/>
  <c r="G52"/>
  <c r="G47"/>
  <c r="G44"/>
  <c r="G42"/>
  <c r="G34"/>
  <c r="G43" s="1"/>
  <c r="E65"/>
  <c r="E55"/>
  <c r="E52"/>
  <c r="E47"/>
  <c r="E44"/>
  <c r="E42"/>
  <c r="E41"/>
  <c r="E40"/>
  <c r="E25"/>
  <c r="E34"/>
  <c r="E43" s="1"/>
  <c r="D25" i="16"/>
  <c r="D18"/>
  <c r="D20" s="1"/>
  <c r="D11"/>
  <c r="D12" s="1"/>
  <c r="D39" s="1"/>
  <c r="D8"/>
  <c r="D9" s="1"/>
  <c r="E31" i="15"/>
  <c r="AA24" i="14"/>
  <c r="AA23"/>
  <c r="AF23" s="1"/>
  <c r="AG23" s="1"/>
  <c r="AA22"/>
  <c r="AF22" s="1"/>
  <c r="AG22" s="1"/>
  <c r="AA21"/>
  <c r="AF21" s="1"/>
  <c r="AG21" s="1"/>
  <c r="AA20"/>
  <c r="AA19"/>
  <c r="AF19" s="1"/>
  <c r="AG19" s="1"/>
  <c r="AA18"/>
  <c r="AF18" s="1"/>
  <c r="AG18" s="1"/>
  <c r="AA17"/>
  <c r="AA16"/>
  <c r="AF16" s="1"/>
  <c r="AG16" s="1"/>
  <c r="AA15"/>
  <c r="AF15" s="1"/>
  <c r="AG15" s="1"/>
  <c r="AA14"/>
  <c r="AF14" s="1"/>
  <c r="AG14" s="1"/>
  <c r="AA12"/>
  <c r="AF12" s="1"/>
  <c r="AG12" s="1"/>
  <c r="AA11"/>
  <c r="AF11" s="1"/>
  <c r="AG11" s="1"/>
  <c r="AA10"/>
  <c r="AA9"/>
  <c r="AF9" s="1"/>
  <c r="AG9" s="1"/>
  <c r="AA8"/>
  <c r="AA7"/>
  <c r="AF7" s="1"/>
  <c r="AG7" s="1"/>
  <c r="AA6"/>
  <c r="AF6" s="1"/>
  <c r="AG6" s="1"/>
  <c r="R7" i="3" l="1"/>
  <c r="R12" s="1"/>
  <c r="Y43" i="23"/>
  <c r="Y55"/>
  <c r="Y52"/>
  <c r="U66"/>
  <c r="S66"/>
  <c r="Q66"/>
  <c r="O66"/>
  <c r="K66"/>
  <c r="Y65"/>
  <c r="G66"/>
  <c r="Y47"/>
  <c r="I66"/>
  <c r="E66"/>
  <c r="J17" i="11"/>
  <c r="J18"/>
  <c r="J19"/>
  <c r="J20"/>
  <c r="J16"/>
  <c r="D6"/>
  <c r="D9" s="1"/>
  <c r="C9"/>
  <c r="D15" i="12"/>
  <c r="D14"/>
  <c r="D13"/>
  <c r="D12"/>
  <c r="D11"/>
  <c r="D10"/>
  <c r="D9"/>
  <c r="G25" i="7"/>
  <c r="G24"/>
  <c r="G23"/>
  <c r="G22"/>
  <c r="G21"/>
  <c r="G19"/>
  <c r="G17"/>
  <c r="G18" s="1"/>
  <c r="G15"/>
  <c r="G16" s="1"/>
  <c r="G13"/>
  <c r="G12"/>
  <c r="G11"/>
  <c r="G10"/>
  <c r="G9"/>
  <c r="G8"/>
  <c r="E27" i="6"/>
  <c r="E26"/>
  <c r="E24"/>
  <c r="E15"/>
  <c r="E13"/>
  <c r="E12"/>
  <c r="E7"/>
  <c r="D17" i="5"/>
  <c r="D18" s="1"/>
  <c r="D9"/>
  <c r="E48" i="18"/>
  <c r="E45"/>
  <c r="E46" s="1"/>
  <c r="E33"/>
  <c r="E44" s="1"/>
  <c r="E32"/>
  <c r="E22"/>
  <c r="E21"/>
  <c r="E20"/>
  <c r="E19"/>
  <c r="E18"/>
  <c r="E17"/>
  <c r="E16"/>
  <c r="E15"/>
  <c r="E13"/>
  <c r="E11" i="6" l="1"/>
  <c r="E39" s="1"/>
  <c r="E45" s="1"/>
  <c r="E14" i="18"/>
  <c r="I14" i="8"/>
  <c r="G26" i="7"/>
  <c r="G14"/>
  <c r="G27" s="1"/>
  <c r="Y66" i="23"/>
  <c r="E23" i="18"/>
  <c r="F14" i="19"/>
  <c r="G16"/>
  <c r="D25"/>
  <c r="F43" i="2"/>
  <c r="F42"/>
  <c r="F39"/>
  <c r="F37"/>
  <c r="F36"/>
  <c r="F35"/>
  <c r="F33"/>
  <c r="F32"/>
  <c r="F31"/>
  <c r="D87" i="19"/>
  <c r="D86"/>
  <c r="D84"/>
  <c r="C26" i="21" s="1"/>
  <c r="D81" i="19"/>
  <c r="D79"/>
  <c r="D78"/>
  <c r="C24" i="21" s="1"/>
  <c r="D76" i="19"/>
  <c r="C22" i="21" s="1"/>
  <c r="D75" i="19"/>
  <c r="C20" i="21" s="1"/>
  <c r="D74" i="19"/>
  <c r="C19" i="21" s="1"/>
  <c r="D73" i="19"/>
  <c r="C18" i="21" s="1"/>
  <c r="D64" i="19"/>
  <c r="D65" s="1"/>
  <c r="C15" i="21" s="1"/>
  <c r="D57" i="19"/>
  <c r="D53"/>
  <c r="D50"/>
  <c r="D47"/>
  <c r="D45"/>
  <c r="D43"/>
  <c r="F9" i="2" s="1"/>
  <c r="D35" i="19"/>
  <c r="D34"/>
  <c r="D33"/>
  <c r="D32"/>
  <c r="D31"/>
  <c r="D30"/>
  <c r="D29"/>
  <c r="D28"/>
  <c r="D27"/>
  <c r="D26"/>
  <c r="F12" i="2" s="1"/>
  <c r="Q6" i="24"/>
  <c r="Q59"/>
  <c r="Q58"/>
  <c r="Q57"/>
  <c r="Q56"/>
  <c r="Q55"/>
  <c r="Q54"/>
  <c r="Q53"/>
  <c r="Q52"/>
  <c r="Q51"/>
  <c r="Q49"/>
  <c r="Q48"/>
  <c r="Q47"/>
  <c r="Q45"/>
  <c r="Q44"/>
  <c r="Q42"/>
  <c r="Q41"/>
  <c r="Q40"/>
  <c r="Q39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AA65" i="23"/>
  <c r="AA34"/>
  <c r="AA43" s="1"/>
  <c r="AA66" s="1"/>
  <c r="E51" i="18" l="1"/>
  <c r="E47"/>
  <c r="D80" i="19"/>
  <c r="F38" i="2"/>
  <c r="C25" i="21"/>
  <c r="F10" i="2"/>
  <c r="H25" i="19"/>
  <c r="D55"/>
  <c r="F20" i="2"/>
  <c r="F24" s="1"/>
  <c r="D21" i="5" s="1"/>
  <c r="D10"/>
  <c r="E49" i="18"/>
  <c r="E53" s="1"/>
  <c r="F13" i="2"/>
  <c r="D89" i="19"/>
  <c r="C27" i="21" s="1"/>
  <c r="F45" i="2"/>
  <c r="D85" i="19"/>
  <c r="D8" i="12"/>
  <c r="D16" s="1"/>
  <c r="D36" i="19"/>
  <c r="Q38" i="24"/>
  <c r="F40" i="2"/>
  <c r="D82" i="19"/>
  <c r="Q43" i="24"/>
  <c r="Q50"/>
  <c r="Q46"/>
  <c r="Q60"/>
  <c r="E10" i="16"/>
  <c r="C11" s="1"/>
  <c r="C26" i="22"/>
  <c r="D26" s="1"/>
  <c r="F27" i="21"/>
  <c r="E27"/>
  <c r="D27"/>
  <c r="G26" i="15" l="1"/>
  <c r="H26" s="1"/>
  <c r="C23" i="21"/>
  <c r="C28" s="1"/>
  <c r="F11" i="2"/>
  <c r="C9" i="21"/>
  <c r="C16" s="1"/>
  <c r="F41" i="2"/>
  <c r="F34"/>
  <c r="D16" i="5"/>
  <c r="D19" s="1"/>
  <c r="D66" i="19"/>
  <c r="F57"/>
  <c r="F8" i="2"/>
  <c r="F16"/>
  <c r="F25" s="1"/>
  <c r="Q61" i="24"/>
  <c r="F46" i="2"/>
  <c r="D90" i="19"/>
  <c r="D18" i="14"/>
  <c r="X16"/>
  <c r="X15"/>
  <c r="X14"/>
  <c r="X8"/>
  <c r="X7"/>
  <c r="X6"/>
  <c r="D10" i="13"/>
  <c r="E12"/>
  <c r="E10"/>
  <c r="D12"/>
  <c r="B13"/>
  <c r="B10"/>
  <c r="B12"/>
  <c r="C55"/>
  <c r="B6" i="11"/>
  <c r="I20"/>
  <c r="I19"/>
  <c r="L8" i="10"/>
  <c r="J8"/>
  <c r="H8"/>
  <c r="K9"/>
  <c r="M9"/>
  <c r="L9"/>
  <c r="H9"/>
  <c r="F9"/>
  <c r="F8"/>
  <c r="C14" i="12" l="1"/>
  <c r="C13"/>
  <c r="C12"/>
  <c r="C11"/>
  <c r="C10"/>
  <c r="C9"/>
  <c r="F13" i="7"/>
  <c r="D27" i="6"/>
  <c r="D26"/>
  <c r="D25"/>
  <c r="D24"/>
  <c r="D22"/>
  <c r="D19"/>
  <c r="D15"/>
  <c r="D13"/>
  <c r="D12"/>
  <c r="D33" i="18"/>
  <c r="D45"/>
  <c r="H13" i="2"/>
  <c r="C45"/>
  <c r="C34"/>
  <c r="C41" s="1"/>
  <c r="C46" s="1"/>
  <c r="C20"/>
  <c r="C24" s="1"/>
  <c r="C25" s="1"/>
  <c r="C16"/>
  <c r="C11"/>
  <c r="C10"/>
  <c r="C45" i="19"/>
  <c r="C47"/>
  <c r="C53"/>
  <c r="C50"/>
  <c r="C34"/>
  <c r="C29"/>
  <c r="D39" i="24"/>
  <c r="F44" i="23"/>
  <c r="D46"/>
  <c r="D45"/>
  <c r="D44"/>
  <c r="L51" i="24"/>
  <c r="D59"/>
  <c r="D56"/>
  <c r="D55"/>
  <c r="D58"/>
  <c r="T56" i="23"/>
  <c r="T58"/>
  <c r="H59"/>
  <c r="H64"/>
  <c r="H63"/>
  <c r="H62"/>
  <c r="H58"/>
  <c r="H60"/>
  <c r="H57"/>
  <c r="H56"/>
  <c r="F58"/>
  <c r="D60"/>
  <c r="D64"/>
  <c r="D58"/>
  <c r="D57"/>
  <c r="D56"/>
  <c r="H50" l="1"/>
  <c r="H49"/>
  <c r="H48"/>
  <c r="D50"/>
  <c r="H54"/>
  <c r="H53"/>
  <c r="H8" l="1"/>
  <c r="D18" i="24"/>
  <c r="D16"/>
  <c r="P16" s="1"/>
  <c r="D8"/>
  <c r="D21"/>
  <c r="C15" i="19"/>
  <c r="E14" s="1"/>
  <c r="T33" i="23"/>
  <c r="H28"/>
  <c r="D28"/>
  <c r="H41"/>
  <c r="D41"/>
  <c r="T40"/>
  <c r="H40"/>
  <c r="D40"/>
  <c r="H31"/>
  <c r="H25"/>
  <c r="D25"/>
  <c r="H23"/>
  <c r="D23"/>
  <c r="H35"/>
  <c r="H22"/>
  <c r="H21"/>
  <c r="D21"/>
  <c r="H20"/>
  <c r="H19"/>
  <c r="H18"/>
  <c r="P17" i="24"/>
  <c r="T17" i="23"/>
  <c r="H17"/>
  <c r="V13"/>
  <c r="H13"/>
  <c r="J27"/>
  <c r="V8"/>
  <c r="H7"/>
  <c r="H6"/>
  <c r="D34" l="1"/>
  <c r="D38" i="24"/>
  <c r="H26" i="22"/>
  <c r="G26"/>
  <c r="F26"/>
  <c r="E26"/>
  <c r="H14"/>
  <c r="G14"/>
  <c r="F14"/>
  <c r="E14"/>
  <c r="C14"/>
  <c r="C12"/>
  <c r="F13" i="17"/>
  <c r="F12"/>
  <c r="C8" i="16"/>
  <c r="C9" s="1"/>
  <c r="C25"/>
  <c r="C18"/>
  <c r="Z20" i="14"/>
  <c r="D11" i="13"/>
  <c r="C10"/>
  <c r="C11" s="1"/>
  <c r="B11"/>
  <c r="C12"/>
  <c r="B19" i="11"/>
  <c r="N9"/>
  <c r="H19"/>
  <c r="C15" i="12"/>
  <c r="I9" i="10"/>
  <c r="I8"/>
  <c r="G9"/>
  <c r="G8"/>
  <c r="F17" i="7"/>
  <c r="F15"/>
  <c r="F16" s="1"/>
  <c r="F12"/>
  <c r="F11"/>
  <c r="F10"/>
  <c r="F9"/>
  <c r="F8"/>
  <c r="D11" i="6"/>
  <c r="F14" i="7" l="1"/>
  <c r="D13" i="13"/>
  <c r="F23" i="22" s="1"/>
  <c r="C23"/>
  <c r="D23" s="1"/>
  <c r="D27" s="1"/>
  <c r="F10" i="13"/>
  <c r="F12"/>
  <c r="E11"/>
  <c r="F11" s="1"/>
  <c r="E13" l="1"/>
  <c r="G23" i="22" s="1"/>
  <c r="K8" i="10"/>
  <c r="C17" i="5"/>
  <c r="C14"/>
  <c r="D37" i="6" s="1"/>
  <c r="C13" i="5"/>
  <c r="D36" i="6" s="1"/>
  <c r="C9" i="5"/>
  <c r="B14"/>
  <c r="B37" i="6" s="1"/>
  <c r="B13" i="5"/>
  <c r="B36" i="6" s="1"/>
  <c r="B10" i="5"/>
  <c r="B9"/>
  <c r="D44" i="18"/>
  <c r="D22"/>
  <c r="D21"/>
  <c r="D20"/>
  <c r="D19"/>
  <c r="D18"/>
  <c r="D17"/>
  <c r="D16"/>
  <c r="D15"/>
  <c r="D13"/>
  <c r="D14" l="1"/>
  <c r="C81" i="19"/>
  <c r="C35"/>
  <c r="D47" i="18" l="1"/>
  <c r="E8" i="3" l="1"/>
  <c r="D43" i="24"/>
  <c r="C59" i="19" l="1"/>
  <c r="C63" s="1"/>
  <c r="F42" i="23"/>
  <c r="J42"/>
  <c r="L42"/>
  <c r="N42"/>
  <c r="P42"/>
  <c r="R42"/>
  <c r="T42"/>
  <c r="V42"/>
  <c r="D42"/>
  <c r="D43" s="1"/>
  <c r="C10" i="5" l="1"/>
  <c r="C16" s="1"/>
  <c r="H47" i="23"/>
  <c r="J47"/>
  <c r="L47"/>
  <c r="N47"/>
  <c r="P47"/>
  <c r="R47"/>
  <c r="T47"/>
  <c r="V47"/>
  <c r="F47"/>
  <c r="D47"/>
  <c r="Z65"/>
  <c r="V65"/>
  <c r="T65"/>
  <c r="R65"/>
  <c r="P65"/>
  <c r="N65"/>
  <c r="L65"/>
  <c r="J65"/>
  <c r="H65"/>
  <c r="F65"/>
  <c r="D65"/>
  <c r="V55"/>
  <c r="T55"/>
  <c r="R55"/>
  <c r="P55"/>
  <c r="N55"/>
  <c r="L55"/>
  <c r="J55"/>
  <c r="F55"/>
  <c r="E23" i="3" s="1"/>
  <c r="D55" i="23"/>
  <c r="V52"/>
  <c r="T52"/>
  <c r="R52"/>
  <c r="P52"/>
  <c r="N52"/>
  <c r="L52"/>
  <c r="J52"/>
  <c r="F52"/>
  <c r="D52"/>
  <c r="H42"/>
  <c r="L30"/>
  <c r="Z34" l="1"/>
  <c r="Z43" s="1"/>
  <c r="Z66" s="1"/>
  <c r="G14" i="8"/>
  <c r="H55" i="23"/>
  <c r="H52" l="1"/>
  <c r="D16" i="2" l="1"/>
  <c r="D24"/>
  <c r="D25" l="1"/>
  <c r="F20" i="21"/>
  <c r="E20"/>
  <c r="D20"/>
  <c r="B21" l="1"/>
  <c r="E28"/>
  <c r="F28"/>
  <c r="D28"/>
  <c r="D16"/>
  <c r="E16"/>
  <c r="F16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E23" i="22" s="1"/>
  <c r="I12" i="3"/>
  <c r="E36" i="2"/>
  <c r="F13" i="13" l="1"/>
  <c r="E56"/>
  <c r="C55" i="19"/>
  <c r="C43"/>
  <c r="O24" i="3" l="1"/>
  <c r="O23"/>
  <c r="O22"/>
  <c r="O21"/>
  <c r="Z9" i="14" l="1"/>
  <c r="F25" i="7"/>
  <c r="F24"/>
  <c r="F23"/>
  <c r="F22"/>
  <c r="F21"/>
  <c r="F19"/>
  <c r="F18"/>
  <c r="C18" i="5"/>
  <c r="D48" i="18"/>
  <c r="D46"/>
  <c r="D32"/>
  <c r="D23"/>
  <c r="C25" i="19"/>
  <c r="D51" i="18" s="1"/>
  <c r="C57" i="19"/>
  <c r="B12" i="21" s="1"/>
  <c r="B10"/>
  <c r="D60" i="24"/>
  <c r="C11" i="3" s="1"/>
  <c r="G11"/>
  <c r="E11"/>
  <c r="D50" i="24"/>
  <c r="C10" i="3" s="1"/>
  <c r="G10"/>
  <c r="M10"/>
  <c r="E10"/>
  <c r="D46" i="24"/>
  <c r="C9" i="3" s="1"/>
  <c r="G9"/>
  <c r="M9"/>
  <c r="E9"/>
  <c r="C8"/>
  <c r="G8"/>
  <c r="M8"/>
  <c r="K7"/>
  <c r="E7"/>
  <c r="C23"/>
  <c r="G23"/>
  <c r="K10"/>
  <c r="K11"/>
  <c r="K9"/>
  <c r="M11" l="1"/>
  <c r="O11" s="1"/>
  <c r="C64" i="19"/>
  <c r="E13" i="2" s="1"/>
  <c r="D49" i="18"/>
  <c r="D52" s="1"/>
  <c r="B8" i="21"/>
  <c r="F36" i="24"/>
  <c r="F38" s="1"/>
  <c r="F61" s="1"/>
  <c r="P47"/>
  <c r="AB9" i="14"/>
  <c r="M15" i="3"/>
  <c r="K20"/>
  <c r="O10"/>
  <c r="S23"/>
  <c r="O9"/>
  <c r="E10" i="2"/>
  <c r="E9"/>
  <c r="K8" i="3"/>
  <c r="O8" s="1"/>
  <c r="D61" i="24"/>
  <c r="C7" i="3"/>
  <c r="C19" i="5"/>
  <c r="D7" i="6"/>
  <c r="D39" s="1"/>
  <c r="F26" i="7"/>
  <c r="F27" s="1"/>
  <c r="C33" i="19"/>
  <c r="C32"/>
  <c r="C31"/>
  <c r="C30"/>
  <c r="C28"/>
  <c r="C27"/>
  <c r="C26"/>
  <c r="P53" i="24"/>
  <c r="P54"/>
  <c r="P55"/>
  <c r="P56"/>
  <c r="P57"/>
  <c r="P58"/>
  <c r="P59"/>
  <c r="P52"/>
  <c r="P51"/>
  <c r="P48"/>
  <c r="P49"/>
  <c r="P45"/>
  <c r="P44"/>
  <c r="P40"/>
  <c r="P41"/>
  <c r="P42"/>
  <c r="P39"/>
  <c r="P7"/>
  <c r="P8"/>
  <c r="P9"/>
  <c r="P10"/>
  <c r="P11"/>
  <c r="P12"/>
  <c r="P13"/>
  <c r="P14"/>
  <c r="P15"/>
  <c r="P18"/>
  <c r="P19"/>
  <c r="P20"/>
  <c r="P21"/>
  <c r="P22"/>
  <c r="P23"/>
  <c r="P24"/>
  <c r="P25"/>
  <c r="P26"/>
  <c r="P27"/>
  <c r="P28"/>
  <c r="P29"/>
  <c r="P31"/>
  <c r="P32"/>
  <c r="P33"/>
  <c r="P34"/>
  <c r="P35"/>
  <c r="P37"/>
  <c r="AC9" i="14" l="1"/>
  <c r="AD9"/>
  <c r="C15" i="3"/>
  <c r="E55" i="19"/>
  <c r="K27" i="3"/>
  <c r="K15"/>
  <c r="E43" i="19"/>
  <c r="E15" i="3"/>
  <c r="C36" i="19"/>
  <c r="P36" i="24"/>
  <c r="E12" i="2"/>
  <c r="P43" i="24"/>
  <c r="P50"/>
  <c r="E16" i="5"/>
  <c r="E63" i="19"/>
  <c r="G63" s="1"/>
  <c r="P60" i="24"/>
  <c r="E14" i="3"/>
  <c r="AB8" i="14"/>
  <c r="AD8" s="1"/>
  <c r="AB7"/>
  <c r="AD7" s="1"/>
  <c r="I14" i="3"/>
  <c r="AB11" i="14"/>
  <c r="AD11" s="1"/>
  <c r="B11" i="21"/>
  <c r="E8" i="2"/>
  <c r="E20"/>
  <c r="B14" i="21"/>
  <c r="E64" i="19"/>
  <c r="P46" i="24"/>
  <c r="B9" i="21" l="1"/>
  <c r="E11" i="2"/>
  <c r="B23" i="14" l="1"/>
  <c r="D23"/>
  <c r="F23"/>
  <c r="H23"/>
  <c r="N23"/>
  <c r="P23"/>
  <c r="R23"/>
  <c r="T23"/>
  <c r="V23"/>
  <c r="Z22" l="1"/>
  <c r="L23"/>
  <c r="J23"/>
  <c r="Z18"/>
  <c r="X23"/>
  <c r="Z15"/>
  <c r="Z16"/>
  <c r="Z19"/>
  <c r="Z21"/>
  <c r="Z14"/>
  <c r="B12"/>
  <c r="B24" s="1"/>
  <c r="D12"/>
  <c r="D24" s="1"/>
  <c r="F12"/>
  <c r="F24" s="1"/>
  <c r="H12"/>
  <c r="H24" s="1"/>
  <c r="J12"/>
  <c r="L12"/>
  <c r="N12"/>
  <c r="N24" s="1"/>
  <c r="P12"/>
  <c r="P24" s="1"/>
  <c r="T12"/>
  <c r="T24" s="1"/>
  <c r="V12"/>
  <c r="V24" s="1"/>
  <c r="X12"/>
  <c r="Z10"/>
  <c r="AC10" s="1"/>
  <c r="R12"/>
  <c r="R24" s="1"/>
  <c r="Z7"/>
  <c r="AC7" s="1"/>
  <c r="Z8"/>
  <c r="AC8" s="1"/>
  <c r="Z6"/>
  <c r="D31" i="15"/>
  <c r="X24" i="14" l="1"/>
  <c r="Z23"/>
  <c r="L24"/>
  <c r="Z11"/>
  <c r="AC11" s="1"/>
  <c r="Z17"/>
  <c r="J24"/>
  <c r="Z12"/>
  <c r="M12" i="3"/>
  <c r="E16" i="2"/>
  <c r="E39"/>
  <c r="U23" i="3"/>
  <c r="K25"/>
  <c r="Z24" i="14" l="1"/>
  <c r="Q8" i="3"/>
  <c r="Q9"/>
  <c r="Q10"/>
  <c r="Q11"/>
  <c r="C12"/>
  <c r="E12"/>
  <c r="K12"/>
  <c r="E24" i="2"/>
  <c r="C21" i="5" s="1"/>
  <c r="C65" i="19"/>
  <c r="E21" i="3"/>
  <c r="C21"/>
  <c r="G21"/>
  <c r="I21"/>
  <c r="C24"/>
  <c r="E24"/>
  <c r="G24"/>
  <c r="C22"/>
  <c r="E22"/>
  <c r="G22"/>
  <c r="I22"/>
  <c r="S24" l="1"/>
  <c r="U24" s="1"/>
  <c r="S22"/>
  <c r="U22" s="1"/>
  <c r="S21"/>
  <c r="U21" s="1"/>
  <c r="C66" i="19"/>
  <c r="B15" i="21"/>
  <c r="B16" s="1"/>
  <c r="E57" i="19"/>
  <c r="E25" i="2"/>
  <c r="C20" i="16" l="1"/>
  <c r="D41" i="2"/>
  <c r="F22" i="17"/>
  <c r="E9" i="10"/>
  <c r="E8"/>
  <c r="E27" i="22"/>
  <c r="F27"/>
  <c r="G27"/>
  <c r="H27"/>
  <c r="C27"/>
  <c r="E16"/>
  <c r="F16"/>
  <c r="G16"/>
  <c r="H16"/>
  <c r="C16"/>
  <c r="D45" i="2"/>
  <c r="F16" i="17"/>
  <c r="F18" s="1"/>
  <c r="C12" i="16"/>
  <c r="C39" s="1"/>
  <c r="G19" i="11"/>
  <c r="F19"/>
  <c r="E19"/>
  <c r="D19"/>
  <c r="C19"/>
  <c r="M9"/>
  <c r="L9"/>
  <c r="K9"/>
  <c r="J9"/>
  <c r="I9"/>
  <c r="H9"/>
  <c r="G9"/>
  <c r="F9"/>
  <c r="E9"/>
  <c r="B9"/>
  <c r="D46" i="2" l="1"/>
  <c r="C20" i="3" l="1"/>
  <c r="C25" s="1"/>
  <c r="D66" i="23" l="1"/>
  <c r="C27" i="3" l="1"/>
  <c r="E31" i="2"/>
  <c r="AB14" i="14"/>
  <c r="C73" i="19"/>
  <c r="B18" i="21" s="1"/>
  <c r="F34" i="23"/>
  <c r="F43" l="1"/>
  <c r="AC14" i="14"/>
  <c r="AD14"/>
  <c r="E20" i="3"/>
  <c r="E25" s="1"/>
  <c r="F66" i="23" l="1"/>
  <c r="H34"/>
  <c r="H43" l="1"/>
  <c r="C74" i="19"/>
  <c r="B19" i="21" s="1"/>
  <c r="E32" i="2"/>
  <c r="E27" i="3"/>
  <c r="AB15" i="14"/>
  <c r="G20" i="3"/>
  <c r="G25" s="1"/>
  <c r="H66" i="23"/>
  <c r="AC15" i="14" l="1"/>
  <c r="AD15"/>
  <c r="G27" i="3"/>
  <c r="AB16" i="14"/>
  <c r="E33" i="2"/>
  <c r="C75" i="19"/>
  <c r="AC16" i="14" l="1"/>
  <c r="AD16"/>
  <c r="B20" i="21"/>
  <c r="J34" i="23"/>
  <c r="J43" l="1"/>
  <c r="J66"/>
  <c r="I20" i="3"/>
  <c r="I25" s="1"/>
  <c r="E80" i="19" l="1"/>
  <c r="AB18" i="14"/>
  <c r="AC18" s="1"/>
  <c r="I27" i="3"/>
  <c r="L34" i="23"/>
  <c r="E34" i="2" l="1"/>
  <c r="C80" i="19"/>
  <c r="F26" i="15" s="1"/>
  <c r="G27" s="1"/>
  <c r="B23" i="21"/>
  <c r="L43" i="23"/>
  <c r="AD18" i="14"/>
  <c r="L66" i="23" l="1"/>
  <c r="N34"/>
  <c r="N43" l="1"/>
  <c r="M27" i="3"/>
  <c r="M20"/>
  <c r="M25" s="1"/>
  <c r="E35" i="2"/>
  <c r="AB17" i="14"/>
  <c r="C76" i="19"/>
  <c r="B22" i="21" s="1"/>
  <c r="N66" i="23" l="1"/>
  <c r="AD17" i="14"/>
  <c r="AC17"/>
  <c r="P34" i="23"/>
  <c r="P43" l="1"/>
  <c r="C18" i="12"/>
  <c r="C84" i="19"/>
  <c r="AB21" i="14"/>
  <c r="AC21" s="1"/>
  <c r="P66" i="23" l="1"/>
  <c r="C8" i="12"/>
  <c r="C16" s="1"/>
  <c r="B26" i="21"/>
  <c r="C85" i="19"/>
  <c r="E40" i="2"/>
  <c r="R34" i="23"/>
  <c r="AB20" i="14" l="1"/>
  <c r="AC20" s="1"/>
  <c r="AD20" s="1"/>
  <c r="E37" i="2"/>
  <c r="C78" i="19"/>
  <c r="B24" i="21" s="1"/>
  <c r="Q27" i="3"/>
  <c r="AB19" i="14"/>
  <c r="AC19" s="1"/>
  <c r="Q20" i="3"/>
  <c r="R43" i="23"/>
  <c r="R66"/>
  <c r="Q25" i="3" l="1"/>
  <c r="S20"/>
  <c r="O20"/>
  <c r="O27"/>
  <c r="C79" i="19"/>
  <c r="U20" i="3" l="1"/>
  <c r="O25"/>
  <c r="S25" s="1"/>
  <c r="U25" s="1"/>
  <c r="E38" i="2"/>
  <c r="E41" s="1"/>
  <c r="B25" i="21"/>
  <c r="C82" i="19"/>
  <c r="T34" i="23"/>
  <c r="T43" l="1"/>
  <c r="D43" i="6"/>
  <c r="V34" i="23"/>
  <c r="V43" s="1"/>
  <c r="V66" s="1"/>
  <c r="X34" l="1"/>
  <c r="T66"/>
  <c r="AB22" i="14" s="1"/>
  <c r="AC22" s="1"/>
  <c r="X43" i="23"/>
  <c r="E42" i="2"/>
  <c r="C87" i="19"/>
  <c r="X66" i="23" l="1"/>
  <c r="S27" i="3" s="1"/>
  <c r="C86" i="19"/>
  <c r="C89" s="1"/>
  <c r="E43" i="2"/>
  <c r="E45" s="1"/>
  <c r="E46" s="1"/>
  <c r="P6" i="24"/>
  <c r="P38" s="1"/>
  <c r="B27" i="21" l="1"/>
  <c r="B28" s="1"/>
  <c r="E43" i="6"/>
  <c r="C90" i="19"/>
  <c r="C92" s="1"/>
  <c r="E90"/>
  <c r="AB23" i="14"/>
  <c r="AC23" s="1"/>
  <c r="U27" i="3"/>
  <c r="P61" i="24"/>
  <c r="R39"/>
  <c r="G7" i="3"/>
  <c r="G15" l="1"/>
  <c r="E36" i="19"/>
  <c r="O15" i="3"/>
  <c r="J63" i="24"/>
  <c r="J65" s="1"/>
  <c r="V14" i="3"/>
  <c r="E66" i="19"/>
  <c r="C67" s="1"/>
  <c r="AB12" i="14"/>
  <c r="AC12" s="1"/>
  <c r="T14" i="3"/>
  <c r="G12"/>
  <c r="O7"/>
  <c r="AB6" i="14"/>
  <c r="M14" i="3"/>
  <c r="AD6" i="14" l="1"/>
  <c r="AC6"/>
  <c r="O12" i="3"/>
  <c r="Q15"/>
  <c r="Q7"/>
  <c r="Q12" s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EV mérés anyag 400 e
REKi tanker 6.054.803+1634797 áfa 
EV mérés díja 550 e + jav 400 e + 300 e áfa 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EV mérés anyag 400 e
REKi tanker 6.054.803+1634797 áfa 
EV mérés díja 550 e + jav 400 e + 300 e áfa 
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önk bérlakás 8.266.429
letéti 78.000
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önk bérlakás 8.266.429
letéti 78.000
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2.400.000 Ft körmeni utca
1.000.000 Ft ipari park
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2.400.000 Ft körmeni utca
1.000.000 Ft ipari park
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 ház álmennyezet
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 ház álmennyezet
</t>
        </r>
      </text>
    </comment>
    <comment ref="V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körmendi u. padka Radák 1.520.000 + 410.400 áfa
pipacs u. járda 4.500.000 tám + 1.215.000 Ft áfa önerő
</t>
        </r>
      </text>
    </comment>
    <comment ref="W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körmendi u. padka Radák 1.520.000 + 410.400 áfa
pipacs u. járda 4.500.000 tám + 1.215.000 Ft áfa önerő
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
 díj számla
céltartalék
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
 díj számla
céltartalék
</t>
        </r>
      </text>
    </comment>
    <comment ref="V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Ady E. u árok 12.000.000 + 3.240.000 áfa
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Ady E. u árok 12.000.000 + 3.240.000 áfa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Kaposi Máté magyar falu
</t>
        </r>
      </text>
    </comment>
    <comment ref="E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Kaposi Máté magyar falu
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Művház magyar falu
</t>
        </r>
      </text>
    </comment>
    <comment ref="I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Művház magyar falu
</t>
        </r>
      </text>
    </comment>
    <comment ref="T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 orvosi eszköz
</t>
        </r>
      </text>
    </comment>
    <comment ref="U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 orvosi eszköz
</t>
        </r>
      </text>
    </comment>
    <comment ref="V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Pipacs u. járda 4.999.736 támogatás + 1.350.000 Ft önerő 
Művház magyar falu 11.811.022. + 3.188.976
Magyar falu temető 66.869 + 18055 áfa
</t>
        </r>
      </text>
    </comment>
    <comment ref="W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Pipacs u. járda 4.999.736 támogatás + 1.350.000 Ft önerő 
Művház magyar falu 11.811.022. + 3.188.976
Magyar falu temető 66.869 + 18055 áfa
</t>
        </r>
      </text>
    </comment>
    <comment ref="N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szla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szla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 szla
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 szla
</t>
        </r>
      </text>
    </comment>
    <comment ref="T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focipálya kerítés
</t>
        </r>
      </text>
    </comment>
    <comment ref="U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focipálya kerítés
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1.080.098 minibölcsi visszafizetés
116.450 fogászati ügyelet
siketek 10.000, 
vakok 20.000, 
TÖOSZ 64250,
polgárőrök 200.000,
 kisosz 20.000, 
Zselici lámpások 180.000,
légimentők 20.000, 
Sportkör támogatás 3 M, 
Tűzoltóság 3 M
alapítvány létrehozása 1 M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1.080.098 minibölcsi visszafizetés
116.450 fogászati ügyelet
siketek 10.000, 
vakok 20.000, 
TÖOSZ 64250,
polgárőrök 200.000,
 kisosz 20.000, 
Zselici lámpások 180.000,
légimentők 20.000, 
Sportkör támogatás 3 M, 
Tűzoltóság 3 M
alapítvány létrehozása 1 M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N2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T3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 növelő
2019. évi 1.835.000 + 1.100.000 önerő
2020. évi 700.000 önerő
</t>
        </r>
      </text>
    </comment>
    <comment ref="U3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 növelő
2019. évi 1.835.000 + 1.100.000 önerő
2020. évi 700.000 önerő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
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8.266.429
letéti számla-óvadék
78.000
SZASZK REKI 4.000.000
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J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"közfogi" maradvány
</t>
        </r>
      </text>
    </comment>
    <comment ref="J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VKT </t>
        </r>
        <r>
          <rPr>
            <sz val="9"/>
            <color indexed="81"/>
            <rFont val="Tahoma"/>
            <family val="2"/>
            <charset val="238"/>
          </rPr>
          <t xml:space="preserve">számla maradványa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
* járda 4.999.736
* temető 84.924
* orvosi eszköz 2.999.999
* művház felőjítás 14.999.998
* művház műk 4.909.997
művház bér 2.108.925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számla 
maradvány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környezetvdelmi alap
</t>
        </r>
      </text>
    </comment>
    <comment ref="J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4.279.265 szoc tüzifa
8.481.000 garantált bérkieg
5.306.100 közfogi bértám
22.307.818 költségvetési szla egyenleg
335.840 pénztár
10.751.039 2020 megelőlegezés
4.498.478 nettó fin
478.455 tb , cst támog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3-9-2 efop: 3.275.011
1-5-3 efop: 1.821.018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</t>
        </r>
      </text>
    </comment>
    <comment ref="J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2019
 évi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<sst xmlns="http://schemas.openxmlformats.org/spreadsheetml/2006/main" count="1036" uniqueCount="675">
  <si>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</si>
  <si>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</si>
  <si>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</si>
  <si>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</si>
  <si>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</si>
  <si>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</si>
  <si>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</si>
  <si>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</si>
  <si>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</si>
  <si>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</si>
  <si>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</si>
  <si>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</si>
  <si>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</si>
  <si>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</si>
  <si>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</si>
  <si>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</si>
  <si>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</si>
  <si>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</si>
  <si>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</si>
  <si>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</si>
  <si>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</si>
  <si>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</si>
  <si>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</si>
  <si>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</si>
  <si>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</si>
  <si>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</si>
  <si>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</si>
  <si>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</si>
  <si>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</si>
  <si>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</si>
  <si>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</si>
  <si>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</si>
  <si>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</si>
  <si>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</si>
  <si>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</si>
  <si>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</si>
  <si>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</si>
  <si>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</si>
  <si>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</si>
  <si>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</si>
  <si>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</si>
  <si>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</si>
  <si>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</si>
  <si>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</si>
  <si>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</si>
  <si>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</si>
  <si>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</si>
  <si>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</si>
  <si>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</si>
  <si>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</si>
  <si>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</si>
  <si>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</si>
  <si>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</si>
  <si>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</si>
  <si>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</si>
  <si>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</si>
  <si>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</si>
  <si>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</si>
  <si>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</si>
  <si>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</si>
  <si>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</si>
  <si>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</si>
  <si>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</si>
  <si>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</si>
  <si>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</si>
  <si>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</si>
  <si>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</si>
  <si>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</si>
  <si>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</si>
  <si>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</si>
  <si>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</si>
  <si>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</si>
  <si>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</si>
  <si>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</si>
  <si>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</si>
  <si>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</si>
  <si>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</si>
  <si>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</si>
  <si>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</si>
  <si>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</si>
  <si>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</si>
  <si>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</si>
  <si>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</si>
  <si>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</si>
  <si>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</si>
  <si>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</si>
  <si>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</si>
  <si>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</si>
  <si>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</si>
  <si>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</si>
  <si>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</si>
  <si>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</si>
  <si>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</si>
  <si>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</si>
  <si>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</si>
  <si>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</si>
  <si>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</si>
  <si>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</si>
  <si>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</si>
  <si>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</si>
  <si>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</si>
  <si>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</si>
  <si>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</si>
  <si>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</si>
  <si>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</si>
  <si>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</si>
  <si>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</si>
  <si>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</si>
  <si>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</si>
  <si>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</si>
  <si>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</si>
  <si>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</si>
  <si>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</si>
  <si>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</si>
  <si>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</si>
  <si>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</si>
  <si>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</si>
  <si>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</si>
  <si>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</si>
  <si>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</si>
  <si>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</si>
  <si>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</si>
  <si>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</si>
  <si>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</si>
  <si>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</si>
  <si>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</si>
  <si>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</si>
  <si>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</si>
  <si>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</si>
  <si>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</si>
  <si>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</si>
  <si>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</si>
  <si>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</si>
  <si>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</si>
  <si>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</si>
  <si>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</si>
  <si>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</si>
  <si>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</si>
  <si>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</si>
  <si>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</si>
  <si>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</si>
  <si>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</si>
  <si>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</si>
  <si>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</si>
  <si>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</si>
  <si>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</si>
  <si>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</si>
  <si>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</si>
  <si>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</si>
  <si>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</si>
  <si>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</si>
  <si>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</si>
  <si>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</si>
  <si>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</si>
  <si>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</si>
  <si>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</si>
  <si>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</si>
  <si>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</si>
  <si>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</si>
  <si>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</si>
  <si>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</si>
  <si>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</si>
  <si>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</si>
  <si>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</si>
  <si>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</si>
  <si>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</si>
  <si>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</si>
  <si>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</si>
  <si>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</si>
  <si>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</si>
  <si>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</si>
  <si>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</si>
  <si>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</si>
  <si>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</si>
  <si>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</si>
  <si>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</si>
  <si>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</si>
  <si>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</si>
  <si>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</si>
  <si>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</si>
  <si>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</si>
  <si>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</si>
  <si>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</si>
  <si>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</si>
  <si>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</si>
  <si>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</si>
  <si>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</si>
  <si>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</si>
  <si>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</si>
  <si>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</si>
  <si>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</si>
  <si>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</si>
  <si>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</si>
  <si>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</si>
  <si>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</si>
  <si>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</si>
  <si>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</si>
  <si>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</si>
  <si>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</si>
  <si>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</si>
  <si>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</si>
  <si>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</si>
  <si>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</si>
  <si>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</si>
  <si>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</si>
  <si>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</si>
  <si>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</si>
  <si>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</si>
  <si>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</si>
  <si>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</si>
  <si>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</si>
  <si>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</si>
  <si>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</si>
  <si>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</si>
  <si>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</si>
  <si>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</si>
  <si>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</si>
  <si>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</si>
  <si>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</si>
  <si>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</si>
  <si>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</si>
  <si>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</si>
  <si>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</si>
  <si>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</si>
  <si>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</si>
  <si>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</si>
  <si>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</si>
  <si>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</si>
  <si>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</si>
  <si>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</si>
  <si>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</si>
  <si>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</si>
  <si>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</si>
  <si>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</si>
  <si>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</si>
  <si>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</si>
  <si>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</si>
  <si>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</si>
  <si>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</si>
  <si>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</si>
  <si>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</si>
  <si>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</si>
  <si>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</si>
  <si>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</si>
  <si>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</si>
  <si>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</si>
  <si>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</si>
  <si>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</si>
  <si>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</si>
  <si>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</si>
  <si>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</si>
  <si>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</si>
  <si>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</si>
  <si>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</si>
  <si>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</si>
  <si>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</si>
  <si>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</si>
  <si>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</si>
  <si>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</si>
  <si>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</si>
  <si>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</si>
  <si>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</si>
  <si>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</si>
  <si>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</si>
  <si>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</si>
  <si>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</si>
  <si>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</si>
  <si>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</si>
  <si>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</si>
  <si>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</si>
  <si>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</si>
  <si>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</si>
  <si>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</si>
  <si>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</si>
  <si>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</si>
  <si>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</si>
  <si>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</si>
  <si>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</si>
  <si>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</si>
  <si>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</si>
  <si>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</si>
  <si>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</si>
  <si>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</si>
  <si>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</si>
  <si>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</si>
  <si>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</si>
  <si>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</si>
  <si>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</si>
  <si>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</si>
  <si>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</si>
  <si>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</si>
  <si>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</si>
  <si>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</si>
  <si>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</si>
  <si>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</si>
  <si>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</si>
  <si>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</si>
  <si>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</si>
  <si>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</si>
  <si>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</si>
  <si>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</si>
  <si>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</si>
  <si>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</si>
  <si>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</si>
  <si>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</si>
  <si>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</si>
  <si>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</si>
  <si>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</si>
  <si>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</si>
  <si>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</si>
  <si>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</si>
  <si>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</si>
  <si>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</si>
  <si>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</si>
  <si>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</si>
  <si>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</si>
  <si>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</si>
  <si>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</si>
  <si>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</si>
  <si>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</si>
  <si>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</si>
  <si>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</si>
  <si>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</si>
  <si>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</si>
  <si>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</si>
  <si>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</si>
  <si>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</si>
  <si>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</si>
  <si>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</si>
  <si>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</si>
  <si>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</si>
  <si>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</si>
  <si>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</si>
  <si>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</si>
  <si>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</si>
  <si>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</si>
  <si>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</si>
  <si>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</si>
  <si>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</si>
  <si>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</si>
  <si>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</si>
  <si>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</si>
  <si>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</si>
  <si>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</si>
  <si>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</si>
  <si>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</si>
  <si>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</si>
  <si>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</si>
  <si>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</si>
  <si>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</si>
  <si>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</si>
  <si>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</si>
  <si>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</si>
  <si>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</si>
  <si>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</si>
  <si>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</si>
  <si>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</si>
  <si>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</si>
  <si>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</si>
  <si>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</si>
  <si>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</si>
  <si>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</si>
  <si>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</si>
  <si>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</si>
  <si>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</si>
  <si>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</si>
  <si>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2/2 oldal</t>
  </si>
  <si>
    <t>041236</t>
  </si>
  <si>
    <t>Országos közfoglakoztatási program</t>
  </si>
  <si>
    <t>ÖSSZESEN
EREDETI EI</t>
  </si>
  <si>
    <t>EREDETI EI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</si>
  <si>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</si>
  <si>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</si>
  <si>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</si>
  <si>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</si>
  <si>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</si>
  <si>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</si>
  <si>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</si>
  <si>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</si>
  <si>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</si>
  <si>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</si>
  <si>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</si>
  <si>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</si>
  <si>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</si>
  <si>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</si>
  <si>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</si>
  <si>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</si>
  <si>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</si>
  <si>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</si>
  <si>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</si>
  <si>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</si>
  <si>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</si>
  <si>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</si>
  <si>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</si>
  <si>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</si>
  <si>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</si>
  <si>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</si>
  <si>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</si>
  <si>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</si>
  <si>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</si>
  <si>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</si>
  <si>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</si>
  <si>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</si>
  <si>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</si>
  <si>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</si>
  <si>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</si>
  <si>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</si>
  <si>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</si>
  <si>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</si>
  <si>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</si>
  <si>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</si>
  <si>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</si>
  <si>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</si>
  <si>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</si>
  <si>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</si>
  <si>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</si>
  <si>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</si>
  <si>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</si>
  <si>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</si>
  <si>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</si>
  <si>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</si>
  <si>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</si>
  <si>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</si>
  <si>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</si>
  <si>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</si>
  <si>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</si>
  <si>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</si>
  <si>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</si>
  <si>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</si>
  <si>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</si>
  <si>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</si>
  <si>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Működési célú önkormányzati támogatás  (B115)</t>
  </si>
  <si>
    <t>Felhalmozási célú bevételek összesen: (B21,B23, B25)</t>
  </si>
  <si>
    <t>Elszámolásból származó bevételek (B116)</t>
  </si>
  <si>
    <t>Beruházás (K61,K62, K63, K64, K67)</t>
  </si>
  <si>
    <t>EREDETI EI
Összeg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</si>
  <si>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</si>
  <si>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</si>
  <si>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</si>
  <si>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</si>
  <si>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</si>
  <si>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</si>
  <si>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</si>
  <si>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</si>
  <si>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</si>
  <si>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</si>
  <si>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</si>
  <si>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</si>
  <si>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</si>
  <si>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</si>
  <si>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</si>
  <si>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</si>
  <si>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</si>
  <si>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</si>
  <si>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</si>
  <si>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</si>
  <si>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</si>
  <si>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</si>
  <si>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</si>
  <si>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</si>
  <si>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</si>
  <si>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</si>
  <si>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</si>
  <si>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</si>
  <si>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</si>
  <si>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</si>
  <si>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</si>
  <si>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</si>
  <si>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</si>
  <si>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</si>
  <si>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</si>
  <si>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</si>
  <si>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</si>
  <si>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</si>
  <si>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</si>
  <si>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</si>
  <si>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</si>
  <si>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</si>
  <si>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</si>
  <si>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</si>
  <si>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</si>
  <si>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tartaléka</t>
  </si>
  <si>
    <t>Kadarkút Város Önkormányzatának előirányzat felhasználási és likviditási ütemterve 2019. évben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</si>
  <si>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</si>
  <si>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</si>
  <si>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</si>
  <si>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</si>
  <si>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</si>
  <si>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</si>
  <si>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</si>
  <si>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</si>
  <si>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</si>
  <si>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</si>
  <si>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</si>
  <si>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</si>
  <si>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</si>
  <si>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Bölcsődei dajkák, középfokú végzettségű kisgyermek nevelők</t>
  </si>
  <si>
    <t>Bölcsődei üzemeltetés támogatása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</si>
  <si>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</si>
  <si>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</si>
  <si>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</si>
  <si>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</si>
  <si>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Traktor beszerzés támogatás (ÁHT-n belül) (B25)</t>
  </si>
  <si>
    <t>Működési célú önkormányzati támogatás (REKI)</t>
  </si>
  <si>
    <t>+ int finansz</t>
  </si>
  <si>
    <t>Óvodapedagógusok 8 havi támogatása 10,3 fő</t>
  </si>
  <si>
    <t>Óvodapedagógusok 4 havi támogatása 10,5 fő</t>
  </si>
  <si>
    <t>Óvodaműködtetési támogatás - 8 hónap 105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</si>
  <si>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</si>
  <si>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</si>
  <si>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</si>
  <si>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</si>
  <si>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Bölcsődei elismert szakmai létszáma 2,5 fő</t>
  </si>
  <si>
    <t>Bölcsőde üzemeltetési támogatása</t>
  </si>
  <si>
    <t>-melyből EFOP 3-9-2 program támogatása</t>
  </si>
  <si>
    <t>-melyből EFOP 1-5-3 program támogatása</t>
  </si>
  <si>
    <t>ÖSSZEG
EREDETI Ei.</t>
  </si>
  <si>
    <t>EFOP-3-9-2 óvoda vizesblok és rekortánpálya világítása</t>
  </si>
  <si>
    <t>Orvosi rendelő építés új építési terv készítés</t>
  </si>
  <si>
    <t>2019. évi engedélyezett létszám ( fő)
EREDETI EI</t>
  </si>
  <si>
    <t>EREDETI</t>
  </si>
  <si>
    <t>Beruházás teljes  költsége
 (2018-2020)</t>
  </si>
  <si>
    <t>2018. évi tény kiadás összege
Eredeti Ei</t>
  </si>
  <si>
    <t>2019. évi támogatási előleg</t>
  </si>
  <si>
    <t>Megszűnt viziközmű társulattól átvett pénzeszköz számla (2018.12.31. napi egyenleg csökkentve a 2019. évi beruházások összegével)</t>
  </si>
  <si>
    <t>2038.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</si>
  <si>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</si>
  <si>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</si>
  <si>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</si>
  <si>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</si>
  <si>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1. melléklet az …../2020.(………...) önkormányzati rendelethez</t>
  </si>
  <si>
    <t>8. melléklet az .../2020.(…………..) önkormányzati rendelethez önkormányzati rendelethez</t>
  </si>
  <si>
    <t>11. melléklet az .../2020.(…………..) önkormányzati rendelethez önkormányzati rendelethez</t>
  </si>
  <si>
    <t>12. melléklet az .../2020.(…………..) önkormányzati rendelethez önkormányzati rendelethez</t>
  </si>
  <si>
    <t>13. melléklet az .../2020.(…………..) önkormányzati rendelethez önkormányzati rendelethez</t>
  </si>
  <si>
    <t>14. melléklet az .../2020.(…………..) önkormányzati rendelethez) önkormányzati rendelethez</t>
  </si>
  <si>
    <t>15. melléklet az .../2020.(…………..) önkormányzati rendelethez önkormányzati rendelethez</t>
  </si>
  <si>
    <t>17. melléklet az .../2020.(…………..) önkormányzati rendelethez önkormányzati rendelethez</t>
  </si>
  <si>
    <t>18. melléklet az .../2020.(…………..) önkormányzati rendelethez önkormányzati rendelethez</t>
  </si>
  <si>
    <t>20. melléklet az .../2020.(…………..) önkormányzati rendelethez önkormányzati rendelethez</t>
  </si>
  <si>
    <t>Kadarkút Város Önkormányzat 2020. évi kiadásai kormányzati funkciók szerinti bontásban</t>
  </si>
  <si>
    <t>062020</t>
  </si>
  <si>
    <t>Településfejlesztési projektek és támogatásuk</t>
  </si>
  <si>
    <t>szoc támogatás</t>
  </si>
  <si>
    <t>Szolgáltatások bevétele, tárgyi eszköz bérbeadásából származó bevétel (B402)</t>
  </si>
  <si>
    <t>2019. évi
 eredeti előirányzat</t>
  </si>
  <si>
    <t>Kadarkút Város Önkormányzatának 
összevont mérlege  2018., 2019., 2020 években</t>
  </si>
  <si>
    <t>Kadarkút Város Önkormányzatának működési bevételei és kiadásai 2020. évben</t>
  </si>
  <si>
    <t>A helyi önkormányzatok központilag szabályzott bevételei 2020. évben</t>
  </si>
  <si>
    <t>Lakos 2019. jan.1.</t>
  </si>
  <si>
    <t>Szociális étkeztetés 85 fő</t>
  </si>
  <si>
    <t>Házi segítségnyújtás-személyi gondozás 18 fő</t>
  </si>
  <si>
    <t>A finanszirozás szemp.elismert dolgozók bértámogatása 9,27 fő</t>
  </si>
  <si>
    <t>A rászoruló gyermekek  szünidei étkeztetésének támogatása 1636 adaG</t>
  </si>
  <si>
    <t>eredeti Ei.</t>
  </si>
  <si>
    <t xml:space="preserve">          Kadarkút Város Önkormányzatának 2020. évi felhalmozási bevételei</t>
  </si>
  <si>
    <t>Kadarkút Város Önkormányzatának 
2020. évi felhalmozási kiadásai</t>
  </si>
  <si>
    <t xml:space="preserve">Focipálya kerítés építés </t>
  </si>
  <si>
    <t xml:space="preserve">Orvosi eszköz beszerzés - Magyar Falu </t>
  </si>
  <si>
    <t>EFOP-3-9-2 informatikai eszköz beszerzés</t>
  </si>
  <si>
    <t xml:space="preserve">2019. Közművelődési érdekeltség növelő pályázat , melyből
- támogatás 1835.000 Ft 
- önerő 1.100.000 Ft </t>
  </si>
  <si>
    <t>2020. Közművelődési érdekeltség növelő pályázat  önerő</t>
  </si>
  <si>
    <t xml:space="preserve">Körmendi utcai ingatlan visszavásárlása </t>
  </si>
  <si>
    <t>Ipari park létesítése</t>
  </si>
  <si>
    <t>Temető kerítés felújítás- Magyar Falu program</t>
  </si>
  <si>
    <t>Művelődési Ház álmennyezet felújítása</t>
  </si>
  <si>
    <t>Körmendi utca padka javítás</t>
  </si>
  <si>
    <t>Ady Endre utca árok felújítás</t>
  </si>
  <si>
    <t>Közös Hivatal légkondi beszerzés</t>
  </si>
  <si>
    <t>Könyvtár molnárkocsi beszerzás</t>
  </si>
  <si>
    <t xml:space="preserve">SZASZK kerékpár beszerzés (4 db) </t>
  </si>
  <si>
    <t>SZASZK laptop + nyomtató beszerzés</t>
  </si>
  <si>
    <t>SZASZK autó pénzügyi lízing kiadása</t>
  </si>
  <si>
    <t>Biztos Kezdet gyerekház bejárati ajtó beszerzés</t>
  </si>
  <si>
    <t>Szociális bérlakás felújítás</t>
  </si>
  <si>
    <t>Kadarkút Város Önkormányzat 2020. évi létszámkerete kormányzati funkció szerinti bontásban</t>
  </si>
  <si>
    <t>Kadarkút Város Önkormányzat 2020. évi közfoglalkoztatási létszámkerete</t>
  </si>
  <si>
    <t>Kadarkút Város Önkormányzat 2020. évi tartaléka</t>
  </si>
  <si>
    <t>Környezetvédelmi alap számla 2019.12.31. napi egyelege</t>
  </si>
  <si>
    <t>Szociális bérlakás számla (2019.12.31. napi egyenleg csökkentve a 2020. évi beruházások összegével)</t>
  </si>
  <si>
    <t>Önkormányzati bérlakás számla (2019.12.31. napi egyenleg csökkentve a 2020. évi beruházások összegével) + Letéti számla kaució összege</t>
  </si>
  <si>
    <t>Közfoglalkoztatási program számla (2019.12.31. napi egyenleg csökkentve a 2020. évi kiadások összegével)</t>
  </si>
  <si>
    <t>Kadarkút Város Önkormányzat által biztosított közvetlen támogatások 2020. évben</t>
  </si>
  <si>
    <t>Siketek támogatása</t>
  </si>
  <si>
    <t xml:space="preserve">Légimentők támogatása </t>
  </si>
  <si>
    <t xml:space="preserve">Alapítvány létrehozása </t>
  </si>
  <si>
    <t>Jóga oktatás támogatása</t>
  </si>
  <si>
    <t>Minibölcsőde normatív támogatás visszafizetés</t>
  </si>
  <si>
    <t>Kadarkút Város Önkormányzata által nyújtott közvetett támogatásokról 2020.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</si>
  <si>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2020.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</si>
  <si>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2019. évi tény kiadás összege</t>
  </si>
  <si>
    <t>2020. évi TERV kiadás összege</t>
  </si>
  <si>
    <t>2039.</t>
  </si>
  <si>
    <t>Kadarkút Város Önkormányzat 2020. évi bevételei kormányzati funkciók szerinti bontásban</t>
  </si>
  <si>
    <t>Kadarkút Város Önkormányzat 2020 . évi bevételei és kiadásai alakulásáról</t>
  </si>
  <si>
    <t>Kadarkút Város Önkormányzat 2020. évi bevételei és kiadásai alakulásáról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</si>
  <si>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</si>
  <si>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</si>
  <si>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</si>
  <si>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</si>
  <si>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</si>
  <si>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</si>
  <si>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</si>
  <si>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</si>
  <si>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</t>
  </si>
  <si>
    <t xml:space="preserve">
057.
FELÚJÍTÁS
MÓDOSÍTOTT EI</t>
  </si>
  <si>
    <t>ÖSSZESEN MÓDOSÍTOTT EI</t>
  </si>
  <si>
    <t xml:space="preserve">LÉTSZÁM
EREDETI
 (FŐ)
</t>
  </si>
  <si>
    <t xml:space="preserve">LÉTSZÁM
MÓDOSÍTOTT
 (FŐ)
</t>
  </si>
  <si>
    <t>Működési bevételek
(094)
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</si>
  <si>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</si>
  <si>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</si>
  <si>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</si>
  <si>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</si>
  <si>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</si>
  <si>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</si>
  <si>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2020. évi eredeti ei</t>
  </si>
  <si>
    <t>2020. évi módosított ei</t>
  </si>
  <si>
    <t>2020. évi
 eredeti ei</t>
  </si>
  <si>
    <t>2020. évi
 módosított ei</t>
  </si>
  <si>
    <t>2020. évi
módosított ei</t>
  </si>
  <si>
    <t xml:space="preserve"> köv mód 5 sor + 2873435</t>
  </si>
  <si>
    <t>Eredeti</t>
  </si>
  <si>
    <t>módosított</t>
  </si>
  <si>
    <t>MÓDOSÍTOTT EI
Összeg</t>
  </si>
  <si>
    <t>Módosított Ei.</t>
  </si>
  <si>
    <t>ÖSSZEG
MÓDOSÍTOTT Ei.</t>
  </si>
  <si>
    <t>2019. évi engedélyezett létszám ( fő)
MÓDOSÍTOTT EI</t>
  </si>
  <si>
    <t>MÓDOSÍTOTT</t>
  </si>
  <si>
    <t>MÓDOSÍTOTT EI</t>
  </si>
  <si>
    <t>2020. MÓDOSÍTOTT</t>
  </si>
  <si>
    <t>2020. EREDETI</t>
  </si>
  <si>
    <t>104035</t>
  </si>
  <si>
    <t>Gyermekétkeztetés bölcsődében</t>
  </si>
  <si>
    <t>047410</t>
  </si>
  <si>
    <t>Ár- és belvízvédelemmel összefüggő tevékenységek</t>
  </si>
  <si>
    <t>074040</t>
  </si>
  <si>
    <t>Fertőző megbetegedések megelőzése, járványügyi ellátás</t>
  </si>
  <si>
    <t>alíz, Hováth Mihály, Horváth Krisztián, Péterfi Róbert</t>
  </si>
  <si>
    <t>Orvosi rendelő építés pályázati támogatás (B25)</t>
  </si>
  <si>
    <t>Kamerarendszer kiépítésének támogatása (B25)</t>
  </si>
  <si>
    <t>Rákóczi utca vízelvezetés támogatása (B25)</t>
  </si>
  <si>
    <t>018010 cofog 091 rovat</t>
  </si>
  <si>
    <t>Módosított ei.</t>
  </si>
  <si>
    <t>Rendkívüli önkormányzati támogatás + Kisasszond hozzájárulás</t>
  </si>
  <si>
    <t>előző évi elszámolás bevét</t>
  </si>
  <si>
    <t>Művelődési Ház villámvédelem kivitelezési munkái</t>
  </si>
  <si>
    <t xml:space="preserve">Orvosi rendelő telefonközpont kiépítés </t>
  </si>
  <si>
    <t xml:space="preserve">Pipacs u. járda 4.999.736 támogatás + 1.350.000 Ft önerő </t>
  </si>
  <si>
    <t>Művház magyar falu 11.811.022. + 3.188.976</t>
  </si>
  <si>
    <t>Magyar falu temető 66.869 + 18055 áfa</t>
  </si>
  <si>
    <r>
      <t xml:space="preserve">Pipacs utca járda felújítás , </t>
    </r>
    <r>
      <rPr>
        <sz val="12"/>
        <rFont val="Times New Roman"/>
        <family val="1"/>
        <charset val="238"/>
      </rPr>
      <t xml:space="preserve">
- munkadíj 4.500.000 Ft + 1.215.000 Ft áfa </t>
    </r>
  </si>
  <si>
    <t>Művelődési Ház felújítás Magyar Falu program felújítás</t>
  </si>
  <si>
    <t>Művelődési Ház felújítás Magyar Falu program eszköz beszerzés</t>
  </si>
  <si>
    <t xml:space="preserve">Pipacs utca járda felújítás , 
- pályázati  támogatás 4.999.736 Ft 
- önerő (anyag áfa) 1.350.000 Ft 
</t>
  </si>
  <si>
    <t>Orvosi rendelő építése - TOP-4.1.1.</t>
  </si>
  <si>
    <t>Rákóczi u. vízelvezetés támogatása</t>
  </si>
  <si>
    <t xml:space="preserve">Kamera rendszer építése </t>
  </si>
  <si>
    <t>2021. évi TERV kiadás összege</t>
  </si>
  <si>
    <t>Módosított</t>
  </si>
  <si>
    <t>Helyi adóból származó bevételek (komm. Adó, hipa)</t>
  </si>
  <si>
    <t>Rezsicsökkentés fel nem használt támogatás visszafizetés</t>
  </si>
  <si>
    <t>Minibölcsőde normatív támogatás kamat visszafizetés</t>
  </si>
  <si>
    <t>1/2 oldal</t>
  </si>
  <si>
    <t>2. melléklet .../2020.(…………..) önkormányzati rendelethez</t>
  </si>
  <si>
    <t>3. melléklet az .../2020.(…………..) önkormányzati rendelethez önkormányzati rendelethez</t>
  </si>
  <si>
    <t>4.a  melléklet az .../2020.(…………..) önkormányzati rendelethez önkormányzati rendelethez</t>
  </si>
  <si>
    <t>4.b  melléklet az .../2020.(…………..) önkormányzati rendelethez önkormányzati rendelethez</t>
  </si>
  <si>
    <t>5. melléklet az .../2020.(…………..) önkormányzati rendelethez önkormányzati rendelethez</t>
  </si>
  <si>
    <t>6.  melléklet az .../2020.(…………..) önkormányzati rendelethez önkormányzati rendelethez</t>
  </si>
  <si>
    <t>7. melléklet az .../2020.(…………..) önkormányzati rendelethez önkormányzati rendelethez</t>
  </si>
  <si>
    <t>9.  melléklet az .../2020.(…………..) önkormányzati rendelethezönkormányzati rendelethez</t>
  </si>
  <si>
    <t>10. melléklet az .../2020.(…………..) önkormányzati rendelethez önkormányzati rendelethez</t>
  </si>
  <si>
    <t>14. melléklet az .../2020.(…………..) önkormányzati rendelethez önkormányzati rendelethez</t>
  </si>
  <si>
    <t>Foglalkoztatás támogatása- TOP pályázat  (B16)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</si>
</sst>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5" fillId="0" borderId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6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0" fontId="16" fillId="0" borderId="0" xfId="2" applyFont="1"/>
    <xf numFmtId="0" fontId="32" fillId="0" borderId="0" xfId="2" applyFont="1" applyAlignment="1">
      <alignment horizontal="right"/>
    </xf>
    <xf numFmtId="0" fontId="34" fillId="0" borderId="0" xfId="2" applyFont="1"/>
    <xf numFmtId="0" fontId="35" fillId="0" borderId="0" xfId="2" applyFont="1" applyAlignment="1">
      <alignment horizontal="right"/>
    </xf>
    <xf numFmtId="0" fontId="33" fillId="0" borderId="12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9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9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2" fillId="0" borderId="0" xfId="2" applyFont="1" applyAlignment="1">
      <alignment wrapText="1"/>
    </xf>
    <xf numFmtId="0" fontId="42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" fillId="0" borderId="0" xfId="2" applyNumberFormat="1"/>
    <xf numFmtId="0" fontId="23" fillId="0" borderId="0" xfId="2" applyFont="1" applyAlignment="1">
      <alignment horizontal="center"/>
    </xf>
    <xf numFmtId="0" fontId="47" fillId="0" borderId="0" xfId="2" applyFont="1" applyAlignment="1">
      <alignment vertical="center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51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4" fillId="0" borderId="0" xfId="2" applyFont="1"/>
    <xf numFmtId="0" fontId="24" fillId="0" borderId="0" xfId="2" applyFont="1" applyBorder="1" applyAlignment="1">
      <alignment vertical="center" wrapText="1"/>
    </xf>
    <xf numFmtId="0" fontId="55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4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3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1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9" fillId="0" borderId="0" xfId="2" applyFont="1" applyAlignment="1">
      <alignment vertical="center"/>
    </xf>
    <xf numFmtId="0" fontId="20" fillId="0" borderId="20" xfId="2" applyFont="1" applyBorder="1" applyAlignment="1">
      <alignment horizontal="left" vertical="center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2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7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67" fillId="0" borderId="42" xfId="2" applyFont="1" applyBorder="1" applyAlignment="1">
      <alignment horizontal="center"/>
    </xf>
    <xf numFmtId="0" fontId="67" fillId="0" borderId="44" xfId="2" applyFont="1" applyBorder="1" applyAlignment="1">
      <alignment horizontal="center"/>
    </xf>
    <xf numFmtId="166" fontId="34" fillId="0" borderId="45" xfId="1" applyNumberFormat="1" applyFont="1" applyBorder="1" applyAlignment="1">
      <alignment horizontal="right" vertical="center" wrapText="1"/>
    </xf>
    <xf numFmtId="166" fontId="67" fillId="0" borderId="12" xfId="1" applyNumberFormat="1" applyFont="1" applyBorder="1" applyAlignment="1">
      <alignment horizontal="right" vertical="center"/>
    </xf>
    <xf numFmtId="166" fontId="34" fillId="0" borderId="9" xfId="1" applyNumberFormat="1" applyFont="1" applyBorder="1" applyAlignment="1">
      <alignment horizontal="right" vertical="center"/>
    </xf>
    <xf numFmtId="166" fontId="34" fillId="0" borderId="46" xfId="1" applyNumberFormat="1" applyFont="1" applyBorder="1" applyAlignment="1">
      <alignment horizontal="right" vertical="center"/>
    </xf>
    <xf numFmtId="166" fontId="67" fillId="0" borderId="47" xfId="1" applyNumberFormat="1" applyFont="1" applyBorder="1" applyAlignment="1">
      <alignment horizontal="right" vertical="center"/>
    </xf>
    <xf numFmtId="166" fontId="67" fillId="0" borderId="48" xfId="1" applyNumberFormat="1" applyFont="1" applyBorder="1" applyAlignment="1">
      <alignment horizontal="right" vertical="center"/>
    </xf>
    <xf numFmtId="3" fontId="77" fillId="0" borderId="18" xfId="3" applyNumberFormat="1" applyFont="1" applyFill="1" applyBorder="1" applyAlignment="1">
      <alignment horizontal="right" vertical="center" indent="1"/>
    </xf>
    <xf numFmtId="3" fontId="76" fillId="0" borderId="9" xfId="2" applyNumberFormat="1" applyFont="1" applyBorder="1" applyAlignment="1">
      <alignment horizontal="right"/>
    </xf>
    <xf numFmtId="3" fontId="75" fillId="0" borderId="9" xfId="2" applyNumberFormat="1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8" fillId="2" borderId="9" xfId="2" applyFont="1" applyFill="1" applyBorder="1" applyAlignment="1">
      <alignment horizontal="right"/>
    </xf>
    <xf numFmtId="3" fontId="75" fillId="2" borderId="9" xfId="2" applyNumberFormat="1" applyFont="1" applyFill="1" applyBorder="1" applyAlignment="1">
      <alignment horizontal="right"/>
    </xf>
    <xf numFmtId="0" fontId="74" fillId="0" borderId="0" xfId="0" applyFont="1"/>
    <xf numFmtId="0" fontId="74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8" fillId="3" borderId="25" xfId="2" applyFont="1" applyFill="1" applyBorder="1" applyAlignment="1">
      <alignment vertical="center" wrapText="1"/>
    </xf>
    <xf numFmtId="0" fontId="68" fillId="3" borderId="9" xfId="2" applyFont="1" applyFill="1" applyBorder="1" applyAlignment="1">
      <alignment vertical="center" wrapText="1"/>
    </xf>
    <xf numFmtId="0" fontId="42" fillId="3" borderId="25" xfId="2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2" fillId="3" borderId="25" xfId="1" applyNumberFormat="1" applyFont="1" applyFill="1" applyBorder="1" applyAlignment="1">
      <alignment horizontal="center" vertical="center"/>
    </xf>
    <xf numFmtId="9" fontId="42" fillId="3" borderId="25" xfId="4" applyFont="1" applyFill="1" applyBorder="1" applyAlignment="1">
      <alignment horizontal="center" vertical="center"/>
    </xf>
    <xf numFmtId="9" fontId="42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2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9" fillId="0" borderId="9" xfId="1" applyNumberFormat="1" applyFont="1" applyBorder="1"/>
    <xf numFmtId="164" fontId="69" fillId="0" borderId="44" xfId="1" applyNumberFormat="1" applyFont="1" applyBorder="1"/>
    <xf numFmtId="164" fontId="69" fillId="0" borderId="48" xfId="1" applyNumberFormat="1" applyFont="1" applyBorder="1"/>
    <xf numFmtId="164" fontId="69" fillId="0" borderId="36" xfId="1" applyNumberFormat="1" applyFont="1" applyBorder="1"/>
    <xf numFmtId="164" fontId="69" fillId="0" borderId="38" xfId="1" applyNumberFormat="1" applyFont="1" applyBorder="1"/>
    <xf numFmtId="164" fontId="69" fillId="0" borderId="51" xfId="1" applyNumberFormat="1" applyFont="1" applyBorder="1" applyAlignment="1">
      <alignment horizontal="right"/>
    </xf>
    <xf numFmtId="164" fontId="69" fillId="0" borderId="9" xfId="1" applyNumberFormat="1" applyFont="1" applyBorder="1" applyAlignment="1">
      <alignment horizontal="right"/>
    </xf>
    <xf numFmtId="164" fontId="69" fillId="0" borderId="44" xfId="1" applyNumberFormat="1" applyFont="1" applyBorder="1" applyAlignment="1">
      <alignment horizontal="right"/>
    </xf>
    <xf numFmtId="164" fontId="69" fillId="0" borderId="48" xfId="1" applyNumberFormat="1" applyFont="1" applyBorder="1" applyAlignment="1">
      <alignment horizontal="right"/>
    </xf>
    <xf numFmtId="164" fontId="0" fillId="0" borderId="0" xfId="0" applyNumberFormat="1"/>
    <xf numFmtId="164" fontId="69" fillId="0" borderId="51" xfId="1" applyNumberFormat="1" applyFont="1" applyBorder="1" applyAlignment="1">
      <alignment horizontal="left"/>
    </xf>
    <xf numFmtId="164" fontId="69" fillId="0" borderId="51" xfId="1" applyNumberFormat="1" applyFont="1" applyBorder="1" applyAlignment="1">
      <alignment horizontal="left" indent="1"/>
    </xf>
    <xf numFmtId="164" fontId="69" fillId="0" borderId="19" xfId="1" applyNumberFormat="1" applyFont="1" applyBorder="1" applyAlignment="1">
      <alignment horizontal="left" indent="1"/>
    </xf>
    <xf numFmtId="164" fontId="69" fillId="0" borderId="9" xfId="1" applyNumberFormat="1" applyFont="1" applyBorder="1" applyAlignment="1">
      <alignment horizontal="left"/>
    </xf>
    <xf numFmtId="164" fontId="69" fillId="0" borderId="9" xfId="1" applyNumberFormat="1" applyFont="1" applyBorder="1" applyAlignment="1">
      <alignment horizontal="left" indent="1"/>
    </xf>
    <xf numFmtId="164" fontId="69" fillId="0" borderId="36" xfId="1" applyNumberFormat="1" applyFont="1" applyBorder="1" applyAlignment="1">
      <alignment horizontal="left" indent="1"/>
    </xf>
    <xf numFmtId="164" fontId="69" fillId="0" borderId="44" xfId="1" applyNumberFormat="1" applyFont="1" applyBorder="1" applyAlignment="1">
      <alignment horizontal="left"/>
    </xf>
    <xf numFmtId="164" fontId="69" fillId="0" borderId="44" xfId="1" applyNumberFormat="1" applyFont="1" applyBorder="1" applyAlignment="1">
      <alignment horizontal="left" indent="1"/>
    </xf>
    <xf numFmtId="164" fontId="69" fillId="0" borderId="38" xfId="1" applyNumberFormat="1" applyFont="1" applyBorder="1" applyAlignment="1">
      <alignment horizontal="left" indent="1"/>
    </xf>
    <xf numFmtId="164" fontId="69" fillId="0" borderId="48" xfId="1" applyNumberFormat="1" applyFont="1" applyBorder="1" applyAlignment="1">
      <alignment horizontal="left"/>
    </xf>
    <xf numFmtId="0" fontId="70" fillId="0" borderId="9" xfId="0" applyFont="1" applyBorder="1" applyAlignment="1">
      <alignment horizontal="center"/>
    </xf>
    <xf numFmtId="3" fontId="79" fillId="0" borderId="9" xfId="0" applyNumberFormat="1" applyFont="1" applyBorder="1"/>
    <xf numFmtId="3" fontId="79" fillId="0" borderId="9" xfId="0" applyNumberFormat="1" applyFont="1" applyBorder="1" applyAlignment="1">
      <alignment vertical="center"/>
    </xf>
    <xf numFmtId="0" fontId="79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71" fillId="0" borderId="0" xfId="2" applyFont="1"/>
    <xf numFmtId="0" fontId="72" fillId="0" borderId="0" xfId="2" applyFont="1"/>
    <xf numFmtId="0" fontId="68" fillId="0" borderId="0" xfId="2" applyFont="1"/>
    <xf numFmtId="0" fontId="68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3" fontId="42" fillId="3" borderId="0" xfId="2" applyNumberFormat="1" applyFont="1" applyFill="1" applyAlignment="1">
      <alignment horizontal="center"/>
    </xf>
    <xf numFmtId="3" fontId="42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2" fillId="3" borderId="0" xfId="2" applyFont="1" applyFill="1"/>
    <xf numFmtId="3" fontId="42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2" fillId="3" borderId="0" xfId="2" applyFont="1" applyFill="1" applyAlignment="1">
      <alignment horizontal="center"/>
    </xf>
    <xf numFmtId="3" fontId="42" fillId="3" borderId="0" xfId="2" applyNumberFormat="1" applyFont="1" applyFill="1"/>
    <xf numFmtId="3" fontId="71" fillId="0" borderId="0" xfId="2" applyNumberFormat="1" applyFont="1"/>
    <xf numFmtId="0" fontId="73" fillId="0" borderId="0" xfId="2" applyFont="1" applyAlignment="1">
      <alignment horizontal="justify"/>
    </xf>
    <xf numFmtId="3" fontId="42" fillId="0" borderId="0" xfId="2" applyNumberFormat="1" applyFont="1" applyAlignment="1">
      <alignment horizontal="right"/>
    </xf>
    <xf numFmtId="0" fontId="73" fillId="0" borderId="0" xfId="2" applyFont="1" applyAlignment="1">
      <alignment horizontal="left"/>
    </xf>
    <xf numFmtId="0" fontId="43" fillId="0" borderId="0" xfId="2" applyFont="1" applyAlignment="1">
      <alignment vertical="center" wrapText="1"/>
    </xf>
    <xf numFmtId="3" fontId="12" fillId="4" borderId="38" xfId="2" applyNumberFormat="1" applyFont="1" applyFill="1" applyBorder="1" applyAlignment="1">
      <alignment horizontal="right" vertical="center" indent="5"/>
    </xf>
    <xf numFmtId="3" fontId="10" fillId="4" borderId="9" xfId="2" applyNumberFormat="1" applyFont="1" applyFill="1" applyBorder="1" applyAlignment="1">
      <alignment horizontal="right" indent="2"/>
    </xf>
    <xf numFmtId="0" fontId="40" fillId="0" borderId="9" xfId="2" applyFont="1" applyBorder="1"/>
    <xf numFmtId="3" fontId="40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0" fontId="20" fillId="4" borderId="0" xfId="2" applyFont="1" applyFill="1" applyBorder="1" applyAlignment="1">
      <alignment horizontal="right" vertical="center"/>
    </xf>
    <xf numFmtId="0" fontId="54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1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0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4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5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5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1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4" fillId="0" borderId="0" xfId="2" applyNumberFormat="1" applyFont="1" applyFill="1" applyAlignment="1">
      <alignment horizontal="right" vertical="center"/>
    </xf>
    <xf numFmtId="3" fontId="17" fillId="0" borderId="26" xfId="2" applyNumberFormat="1" applyFont="1" applyFill="1" applyBorder="1" applyAlignment="1">
      <alignment horizontal="center" vertical="center" wrapText="1"/>
    </xf>
    <xf numFmtId="0" fontId="1" fillId="0" borderId="0" xfId="2" applyFill="1" applyAlignment="1">
      <alignment vertical="center"/>
    </xf>
    <xf numFmtId="3" fontId="15" fillId="0" borderId="42" xfId="2" applyNumberFormat="1" applyFont="1" applyFill="1" applyBorder="1" applyAlignment="1">
      <alignment horizontal="center" vertical="center"/>
    </xf>
    <xf numFmtId="3" fontId="19" fillId="0" borderId="9" xfId="2" applyNumberFormat="1" applyFont="1" applyFill="1" applyBorder="1" applyAlignment="1">
      <alignment horizontal="center" vertical="center" wrapText="1"/>
    </xf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83" fillId="0" borderId="9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/>
    </xf>
    <xf numFmtId="0" fontId="83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4" fillId="0" borderId="9" xfId="0" applyFont="1" applyBorder="1" applyAlignment="1">
      <alignment horizontal="center" vertical="center"/>
    </xf>
    <xf numFmtId="167" fontId="84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82" fillId="0" borderId="9" xfId="0" applyNumberFormat="1" applyFont="1" applyBorder="1" applyAlignment="1">
      <alignment vertical="center"/>
    </xf>
    <xf numFmtId="164" fontId="69" fillId="0" borderId="49" xfId="1" applyNumberFormat="1" applyFont="1" applyBorder="1"/>
    <xf numFmtId="0" fontId="70" fillId="0" borderId="9" xfId="0" applyFont="1" applyBorder="1" applyAlignment="1">
      <alignment horizontal="center" vertical="center"/>
    </xf>
    <xf numFmtId="164" fontId="69" fillId="0" borderId="25" xfId="1" applyNumberFormat="1" applyFont="1" applyBorder="1"/>
    <xf numFmtId="164" fontId="69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3" fillId="0" borderId="0" xfId="0" applyFont="1" applyAlignment="1"/>
    <xf numFmtId="0" fontId="24" fillId="0" borderId="0" xfId="2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/>
    </xf>
    <xf numFmtId="3" fontId="19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49" fontId="14" fillId="0" borderId="26" xfId="2" applyNumberFormat="1" applyFont="1" applyBorder="1" applyAlignment="1">
      <alignment vertical="center"/>
    </xf>
    <xf numFmtId="0" fontId="14" fillId="0" borderId="29" xfId="2" applyFont="1" applyBorder="1" applyAlignment="1">
      <alignment vertical="center" wrapText="1"/>
    </xf>
    <xf numFmtId="0" fontId="19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9" fillId="0" borderId="26" xfId="2" applyNumberFormat="1" applyFont="1" applyBorder="1" applyAlignment="1">
      <alignment horizontal="left" vertical="center"/>
    </xf>
    <xf numFmtId="49" fontId="19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3" fontId="75" fillId="0" borderId="16" xfId="2" applyNumberFormat="1" applyFont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5" fillId="0" borderId="16" xfId="2" applyNumberFormat="1" applyFont="1" applyBorder="1" applyAlignment="1">
      <alignment horizontal="right" vertical="center" indent="2"/>
    </xf>
    <xf numFmtId="3" fontId="75" fillId="4" borderId="16" xfId="2" applyNumberFormat="1" applyFont="1" applyFill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2"/>
    </xf>
    <xf numFmtId="3" fontId="17" fillId="0" borderId="55" xfId="2" applyNumberFormat="1" applyFont="1" applyBorder="1" applyAlignment="1">
      <alignment horizontal="center" vertical="center" wrapText="1"/>
    </xf>
    <xf numFmtId="3" fontId="16" fillId="0" borderId="55" xfId="2" applyNumberFormat="1" applyFont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2" fillId="0" borderId="16" xfId="2" applyFont="1" applyFill="1" applyBorder="1" applyAlignment="1">
      <alignment horizontal="center" vertical="center"/>
    </xf>
    <xf numFmtId="0" fontId="42" fillId="0" borderId="0" xfId="2" applyFont="1" applyFill="1"/>
    <xf numFmtId="0" fontId="42" fillId="0" borderId="9" xfId="2" applyFont="1" applyFill="1" applyBorder="1" applyAlignment="1">
      <alignment horizontal="left"/>
    </xf>
    <xf numFmtId="3" fontId="42" fillId="0" borderId="25" xfId="2" applyNumberFormat="1" applyFont="1" applyFill="1" applyBorder="1" applyAlignment="1">
      <alignment horizontal="right" indent="1"/>
    </xf>
    <xf numFmtId="3" fontId="42" fillId="0" borderId="9" xfId="2" applyNumberFormat="1" applyFont="1" applyFill="1" applyBorder="1" applyAlignment="1">
      <alignment horizontal="right" indent="1"/>
    </xf>
    <xf numFmtId="0" fontId="21" fillId="2" borderId="9" xfId="2" applyFont="1" applyFill="1" applyBorder="1" applyAlignment="1">
      <alignment horizontal="left"/>
    </xf>
    <xf numFmtId="3" fontId="21" fillId="2" borderId="9" xfId="2" applyNumberFormat="1" applyFont="1" applyFill="1" applyBorder="1" applyAlignment="1">
      <alignment horizontal="right" indent="1"/>
    </xf>
    <xf numFmtId="0" fontId="21" fillId="0" borderId="0" xfId="2" applyFont="1" applyFill="1"/>
    <xf numFmtId="3" fontId="21" fillId="0" borderId="0" xfId="2" applyNumberFormat="1" applyFont="1" applyFill="1"/>
    <xf numFmtId="0" fontId="21" fillId="2" borderId="9" xfId="2" applyFont="1" applyFill="1" applyBorder="1"/>
    <xf numFmtId="3" fontId="42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2" fillId="0" borderId="9" xfId="2" applyFont="1" applyFill="1" applyBorder="1" applyAlignment="1">
      <alignment horizontal="lef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0" fontId="21" fillId="0" borderId="0" xfId="2" applyFont="1" applyFill="1" applyAlignment="1">
      <alignment vertical="center" wrapText="1"/>
    </xf>
    <xf numFmtId="3" fontId="21" fillId="0" borderId="0" xfId="2" applyNumberFormat="1" applyFont="1" applyFill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wrapText="1"/>
    </xf>
    <xf numFmtId="0" fontId="19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9" fillId="0" borderId="43" xfId="2" applyFont="1" applyBorder="1"/>
    <xf numFmtId="0" fontId="1" fillId="0" borderId="8" xfId="2" applyBorder="1"/>
    <xf numFmtId="0" fontId="21" fillId="0" borderId="0" xfId="2" applyFont="1" applyBorder="1" applyAlignment="1">
      <alignment horizontal="center" vertical="center" wrapText="1"/>
    </xf>
    <xf numFmtId="0" fontId="19" fillId="0" borderId="53" xfId="2" applyFont="1" applyBorder="1"/>
    <xf numFmtId="0" fontId="19" fillId="0" borderId="0" xfId="2" applyFont="1" applyBorder="1"/>
    <xf numFmtId="0" fontId="19" fillId="0" borderId="0" xfId="2" applyFont="1" applyBorder="1" applyAlignment="1">
      <alignment horizontal="center"/>
    </xf>
    <xf numFmtId="0" fontId="72" fillId="0" borderId="0" xfId="2" applyFont="1" applyBorder="1"/>
    <xf numFmtId="0" fontId="68" fillId="0" borderId="0" xfId="2" applyFont="1" applyBorder="1"/>
    <xf numFmtId="0" fontId="68" fillId="0" borderId="0" xfId="2" applyFont="1" applyBorder="1" applyAlignment="1">
      <alignment horizontal="center"/>
    </xf>
    <xf numFmtId="3" fontId="68" fillId="0" borderId="0" xfId="2" applyNumberFormat="1" applyFont="1" applyBorder="1"/>
    <xf numFmtId="0" fontId="1" fillId="0" borderId="55" xfId="2" applyBorder="1"/>
    <xf numFmtId="0" fontId="72" fillId="0" borderId="52" xfId="2" applyFont="1" applyBorder="1"/>
    <xf numFmtId="0" fontId="68" fillId="0" borderId="52" xfId="2" applyFont="1" applyBorder="1"/>
    <xf numFmtId="0" fontId="68" fillId="0" borderId="52" xfId="2" applyFont="1" applyBorder="1" applyAlignment="1">
      <alignment horizontal="center"/>
    </xf>
    <xf numFmtId="3" fontId="68" fillId="0" borderId="52" xfId="2" applyNumberFormat="1" applyFont="1" applyBorder="1"/>
    <xf numFmtId="0" fontId="82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4" fillId="0" borderId="0" xfId="0" applyNumberFormat="1" applyFont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70" fillId="0" borderId="10" xfId="0" applyFont="1" applyBorder="1" applyAlignment="1"/>
    <xf numFmtId="0" fontId="21" fillId="0" borderId="9" xfId="2" applyFont="1" applyFill="1" applyBorder="1" applyAlignment="1">
      <alignment horizontal="center" vertical="center" wrapText="1"/>
    </xf>
    <xf numFmtId="3" fontId="1" fillId="0" borderId="0" xfId="2" applyNumberFormat="1" applyFont="1"/>
    <xf numFmtId="0" fontId="1" fillId="0" borderId="0" xfId="2" applyFont="1"/>
    <xf numFmtId="49" fontId="19" fillId="0" borderId="28" xfId="2" applyNumberFormat="1" applyFont="1" applyBorder="1" applyAlignment="1">
      <alignment vertical="center"/>
    </xf>
    <xf numFmtId="49" fontId="19" fillId="0" borderId="56" xfId="2" applyNumberFormat="1" applyFont="1" applyBorder="1" applyAlignment="1">
      <alignment vertical="center"/>
    </xf>
    <xf numFmtId="0" fontId="19" fillId="0" borderId="16" xfId="2" applyFont="1" applyFill="1" applyBorder="1" applyAlignment="1">
      <alignment vertical="center"/>
    </xf>
    <xf numFmtId="49" fontId="19" fillId="0" borderId="16" xfId="2" applyNumberFormat="1" applyFont="1" applyFill="1" applyBorder="1" applyAlignment="1">
      <alignment vertical="center"/>
    </xf>
    <xf numFmtId="0" fontId="19" fillId="0" borderId="16" xfId="2" applyFont="1" applyFill="1" applyBorder="1" applyAlignment="1">
      <alignment vertical="center" wrapText="1"/>
    </xf>
    <xf numFmtId="3" fontId="19" fillId="0" borderId="16" xfId="2" applyNumberFormat="1" applyFont="1" applyFill="1" applyBorder="1" applyAlignment="1">
      <alignment horizontal="right" vertical="center" indent="2"/>
    </xf>
    <xf numFmtId="43" fontId="1" fillId="0" borderId="0" xfId="1" applyFont="1"/>
    <xf numFmtId="43" fontId="1" fillId="0" borderId="0" xfId="2" applyNumberFormat="1"/>
    <xf numFmtId="3" fontId="6" fillId="0" borderId="0" xfId="2" applyNumberFormat="1" applyFont="1" applyFill="1" applyBorder="1" applyAlignment="1">
      <alignment horizontal="right" vertical="center" indent="2"/>
    </xf>
    <xf numFmtId="3" fontId="19" fillId="0" borderId="9" xfId="2" applyNumberFormat="1" applyFont="1" applyFill="1" applyBorder="1"/>
    <xf numFmtId="0" fontId="19" fillId="0" borderId="10" xfId="2" quotePrefix="1" applyFont="1" applyBorder="1" applyAlignment="1">
      <alignment horizontal="center"/>
    </xf>
    <xf numFmtId="3" fontId="21" fillId="2" borderId="9" xfId="2" applyNumberFormat="1" applyFont="1" applyFill="1" applyBorder="1" applyAlignment="1">
      <alignment horizontal="center" vertical="center"/>
    </xf>
    <xf numFmtId="167" fontId="0" fillId="0" borderId="0" xfId="0" applyNumberFormat="1" applyFill="1" applyBorder="1"/>
    <xf numFmtId="0" fontId="0" fillId="0" borderId="0" xfId="0" applyFill="1"/>
    <xf numFmtId="3" fontId="19" fillId="0" borderId="9" xfId="2" applyNumberFormat="1" applyFont="1" applyFill="1" applyBorder="1" applyAlignment="1">
      <alignment horizontal="right"/>
    </xf>
    <xf numFmtId="0" fontId="66" fillId="0" borderId="0" xfId="2" applyFont="1" applyAlignment="1">
      <alignment vertical="center"/>
    </xf>
    <xf numFmtId="0" fontId="62" fillId="0" borderId="0" xfId="0" applyFont="1" applyAlignment="1">
      <alignment wrapText="1"/>
    </xf>
    <xf numFmtId="3" fontId="15" fillId="0" borderId="42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3" fontId="16" fillId="2" borderId="27" xfId="2" applyNumberFormat="1" applyFont="1" applyFill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0" fontId="1" fillId="0" borderId="16" xfId="2" applyBorder="1"/>
    <xf numFmtId="164" fontId="16" fillId="6" borderId="0" xfId="1" applyNumberFormat="1" applyFont="1" applyFill="1" applyBorder="1" applyAlignment="1">
      <alignment horizontal="center" vertical="center" wrapText="1"/>
    </xf>
    <xf numFmtId="3" fontId="1" fillId="6" borderId="0" xfId="2" applyNumberFormat="1" applyFill="1"/>
    <xf numFmtId="0" fontId="21" fillId="0" borderId="9" xfId="2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vertical="center"/>
    </xf>
    <xf numFmtId="3" fontId="19" fillId="0" borderId="9" xfId="2" applyNumberFormat="1" applyFont="1" applyBorder="1" applyAlignment="1">
      <alignment horizontal="center" vertical="center"/>
    </xf>
    <xf numFmtId="0" fontId="10" fillId="2" borderId="9" xfId="2" applyFont="1" applyFill="1" applyBorder="1" applyAlignment="1">
      <alignment horizontal="center" wrapText="1"/>
    </xf>
    <xf numFmtId="3" fontId="1" fillId="0" borderId="0" xfId="2" quotePrefix="1" applyNumberFormat="1"/>
    <xf numFmtId="3" fontId="19" fillId="0" borderId="9" xfId="2" applyNumberFormat="1" applyFont="1" applyFill="1" applyBorder="1" applyAlignment="1">
      <alignment horizontal="right" indent="1"/>
    </xf>
    <xf numFmtId="0" fontId="10" fillId="0" borderId="0" xfId="3" applyFont="1" applyFill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3" fontId="1" fillId="7" borderId="8" xfId="2" applyNumberForma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3" fontId="64" fillId="0" borderId="26" xfId="2" applyNumberFormat="1" applyFont="1" applyFill="1" applyBorder="1" applyAlignment="1">
      <alignment horizontal="center" vertical="center" wrapText="1"/>
    </xf>
    <xf numFmtId="3" fontId="64" fillId="0" borderId="29" xfId="2" applyNumberFormat="1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0" fontId="66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3" fontId="15" fillId="0" borderId="42" xfId="2" applyNumberFormat="1" applyFont="1" applyBorder="1" applyAlignment="1">
      <alignment horizontal="center" vertical="center"/>
    </xf>
    <xf numFmtId="3" fontId="16" fillId="8" borderId="15" xfId="2" applyNumberFormat="1" applyFont="1" applyFill="1" applyBorder="1" applyAlignment="1">
      <alignment horizontal="center" vertical="center" wrapText="1"/>
    </xf>
    <xf numFmtId="3" fontId="16" fillId="8" borderId="28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3" fontId="17" fillId="0" borderId="26" xfId="2" applyNumberFormat="1" applyFont="1" applyBorder="1" applyAlignment="1">
      <alignment horizontal="center" vertical="center" wrapText="1"/>
    </xf>
    <xf numFmtId="3" fontId="17" fillId="0" borderId="35" xfId="2" applyNumberFormat="1" applyFont="1" applyBorder="1" applyAlignment="1">
      <alignment horizontal="center" vertical="center" wrapText="1"/>
    </xf>
    <xf numFmtId="3" fontId="17" fillId="0" borderId="29" xfId="2" applyNumberFormat="1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1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54" xfId="2" applyFont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59" xfId="2" applyFont="1" applyFill="1" applyBorder="1" applyAlignment="1">
      <alignment horizontal="center" vertical="center" wrapText="1"/>
    </xf>
    <xf numFmtId="0" fontId="21" fillId="0" borderId="60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67" fillId="0" borderId="15" xfId="2" applyFont="1" applyBorder="1" applyAlignment="1">
      <alignment horizontal="center" vertical="center"/>
    </xf>
    <xf numFmtId="0" fontId="67" fillId="0" borderId="28" xfId="2" applyFont="1" applyBorder="1" applyAlignment="1">
      <alignment horizontal="center" vertical="center"/>
    </xf>
    <xf numFmtId="0" fontId="57" fillId="0" borderId="0" xfId="2" applyFont="1" applyAlignment="1">
      <alignment horizontal="center" wrapText="1"/>
    </xf>
    <xf numFmtId="0" fontId="83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" fillId="0" borderId="8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0" fillId="0" borderId="40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view="pageBreakPreview" zoomScale="60" zoomScaleNormal="130" workbookViewId="0">
      <selection activeCell="K22" sqref="K22"/>
    </sheetView>
  </sheetViews>
  <sheetFormatPr defaultRowHeight="15.75"/>
  <cols>
    <col min="1" max="1" width="7.85546875" style="86" customWidth="1"/>
    <col min="2" max="2" width="8.42578125" style="78" customWidth="1"/>
    <col min="3" max="3" width="42.42578125" style="103" bestFit="1" customWidth="1"/>
    <col min="4" max="4" width="12.140625" style="86" customWidth="1"/>
    <col min="5" max="5" width="9.140625" style="86"/>
    <col min="6" max="6" width="12.7109375" style="87" customWidth="1"/>
    <col min="7" max="16384" width="9.140625" style="87"/>
  </cols>
  <sheetData>
    <row r="1" spans="1:10" ht="23.25" customHeight="1">
      <c r="A1" s="632" t="s">
        <v>530</v>
      </c>
      <c r="B1" s="632"/>
      <c r="C1" s="632"/>
      <c r="D1" s="632"/>
      <c r="E1" s="632"/>
      <c r="J1" s="92"/>
    </row>
    <row r="2" spans="1:10" ht="23.25" customHeight="1">
      <c r="A2" s="35"/>
      <c r="B2" s="35"/>
      <c r="C2" s="35"/>
      <c r="D2" s="35"/>
      <c r="E2" s="35"/>
      <c r="F2" s="196"/>
      <c r="J2" s="92"/>
    </row>
    <row r="3" spans="1:10" ht="31.5" customHeight="1">
      <c r="A3" s="633" t="s">
        <v>189</v>
      </c>
      <c r="B3" s="633"/>
      <c r="C3" s="633"/>
      <c r="D3" s="633"/>
      <c r="E3" s="633"/>
      <c r="F3" s="143"/>
      <c r="G3" s="143"/>
    </row>
    <row r="4" spans="1:10">
      <c r="B4" s="197"/>
      <c r="C4" s="198"/>
      <c r="D4" s="170"/>
      <c r="E4" s="170"/>
    </row>
    <row r="5" spans="1:10" ht="27.75" customHeight="1" thickBot="1">
      <c r="B5" s="197"/>
      <c r="C5" s="198"/>
      <c r="D5" s="170"/>
      <c r="E5" s="170"/>
    </row>
    <row r="6" spans="1:10" ht="72" customHeight="1" thickBot="1">
      <c r="B6" s="235" t="s">
        <v>213</v>
      </c>
      <c r="C6" s="634" t="s">
        <v>214</v>
      </c>
      <c r="D6" s="634"/>
      <c r="E6" s="170"/>
    </row>
    <row r="7" spans="1:10" ht="30" customHeight="1">
      <c r="B7" s="236" t="s">
        <v>38</v>
      </c>
      <c r="C7" s="635" t="s">
        <v>190</v>
      </c>
      <c r="D7" s="636"/>
      <c r="E7" s="199"/>
    </row>
    <row r="8" spans="1:10" ht="30" customHeight="1">
      <c r="B8" s="237" t="s">
        <v>39</v>
      </c>
      <c r="C8" s="637" t="s">
        <v>236</v>
      </c>
      <c r="D8" s="638"/>
      <c r="E8" s="199"/>
    </row>
    <row r="9" spans="1:10" ht="30" customHeight="1">
      <c r="B9" s="237" t="s">
        <v>41</v>
      </c>
      <c r="C9" s="639" t="s">
        <v>237</v>
      </c>
      <c r="D9" s="640"/>
      <c r="E9" s="74"/>
    </row>
    <row r="10" spans="1:10" ht="30" customHeight="1">
      <c r="B10" s="237" t="s">
        <v>43</v>
      </c>
      <c r="C10" s="628" t="s">
        <v>216</v>
      </c>
      <c r="D10" s="629"/>
      <c r="E10" s="200"/>
    </row>
    <row r="11" spans="1:10" ht="30" customHeight="1" thickBot="1">
      <c r="B11" s="238" t="s">
        <v>211</v>
      </c>
      <c r="C11" s="630" t="s">
        <v>220</v>
      </c>
      <c r="D11" s="631"/>
      <c r="E11" s="199"/>
    </row>
    <row r="12" spans="1:10" ht="30" customHeight="1">
      <c r="B12" s="197"/>
      <c r="C12" s="201"/>
      <c r="D12" s="199"/>
      <c r="E12" s="199"/>
    </row>
    <row r="13" spans="1:10" ht="30" customHeight="1">
      <c r="B13" s="170"/>
      <c r="C13" s="170"/>
      <c r="D13" s="87"/>
      <c r="E13" s="87"/>
    </row>
    <row r="14" spans="1:10" ht="30" customHeight="1">
      <c r="B14" s="170"/>
      <c r="C14" s="170"/>
      <c r="D14" s="87"/>
      <c r="E14" s="87"/>
    </row>
    <row r="15" spans="1:10" ht="30" customHeight="1">
      <c r="B15" s="170"/>
      <c r="C15" s="170"/>
      <c r="D15" s="87"/>
      <c r="E15" s="87"/>
    </row>
    <row r="16" spans="1:10" ht="30" customHeight="1">
      <c r="B16" s="170"/>
      <c r="C16" s="170"/>
      <c r="D16" s="87"/>
      <c r="E16" s="87"/>
    </row>
    <row r="17" spans="2:5" ht="30" customHeight="1">
      <c r="B17" s="170"/>
      <c r="C17" s="170"/>
      <c r="D17" s="87"/>
      <c r="E17" s="87"/>
    </row>
    <row r="18" spans="2:5" ht="30" customHeight="1">
      <c r="B18" s="170"/>
      <c r="C18" s="170"/>
      <c r="D18" s="87"/>
      <c r="E18" s="87"/>
    </row>
    <row r="19" spans="2:5" ht="30" customHeight="1">
      <c r="B19" s="170"/>
      <c r="C19" s="170"/>
      <c r="D19" s="87"/>
      <c r="E19" s="87"/>
    </row>
    <row r="20" spans="2:5" ht="30" customHeight="1">
      <c r="B20" s="170"/>
      <c r="C20" s="170"/>
      <c r="D20" s="87"/>
      <c r="E20" s="87"/>
    </row>
    <row r="21" spans="2:5" ht="30" customHeight="1">
      <c r="B21" s="170"/>
      <c r="C21" s="170"/>
      <c r="D21" s="87"/>
      <c r="E21" s="87"/>
    </row>
    <row r="22" spans="2:5" ht="30" customHeight="1">
      <c r="B22" s="170"/>
      <c r="C22" s="170"/>
      <c r="D22" s="87"/>
      <c r="E22" s="87"/>
    </row>
    <row r="23" spans="2:5" ht="30" customHeight="1">
      <c r="B23" s="197"/>
      <c r="C23" s="198"/>
      <c r="D23" s="170"/>
      <c r="E23" s="170"/>
    </row>
    <row r="24" spans="2:5" ht="30" customHeight="1">
      <c r="B24" s="197"/>
      <c r="C24" s="163"/>
      <c r="D24" s="170"/>
      <c r="E24" s="170"/>
    </row>
    <row r="25" spans="2:5">
      <c r="B25" s="197"/>
      <c r="C25" s="198"/>
      <c r="D25" s="170"/>
      <c r="E25" s="170"/>
    </row>
    <row r="26" spans="2:5">
      <c r="B26" s="197"/>
      <c r="C26" s="198"/>
      <c r="D26" s="170"/>
      <c r="E26" s="170"/>
    </row>
    <row r="27" spans="2:5">
      <c r="B27" s="197"/>
      <c r="C27" s="198"/>
      <c r="D27" s="170"/>
      <c r="E27" s="170"/>
    </row>
    <row r="28" spans="2:5">
      <c r="B28" s="197"/>
      <c r="C28" s="198"/>
      <c r="D28" s="170"/>
      <c r="E28" s="170"/>
    </row>
    <row r="29" spans="2:5">
      <c r="B29" s="197"/>
      <c r="C29" s="198"/>
      <c r="D29" s="170"/>
      <c r="E29" s="170"/>
    </row>
    <row r="30" spans="2:5">
      <c r="B30" s="197"/>
      <c r="C30" s="198"/>
      <c r="D30" s="170"/>
      <c r="E30" s="170"/>
    </row>
    <row r="31" spans="2:5">
      <c r="B31" s="197"/>
      <c r="C31" s="198"/>
      <c r="D31" s="170"/>
      <c r="E31" s="170"/>
    </row>
    <row r="32" spans="2:5">
      <c r="B32" s="197"/>
      <c r="C32" s="198"/>
      <c r="D32" s="170"/>
      <c r="E32" s="170"/>
    </row>
    <row r="33" spans="2:5">
      <c r="B33" s="197"/>
      <c r="C33" s="198"/>
      <c r="D33" s="170"/>
      <c r="E33" s="170"/>
    </row>
    <row r="34" spans="2:5">
      <c r="B34" s="197"/>
      <c r="C34" s="198"/>
      <c r="D34" s="170"/>
      <c r="E34" s="170"/>
    </row>
    <row r="35" spans="2:5">
      <c r="B35" s="197"/>
      <c r="C35" s="198"/>
      <c r="D35" s="170"/>
      <c r="E35" s="170"/>
    </row>
    <row r="36" spans="2:5">
      <c r="B36" s="197"/>
      <c r="C36" s="198"/>
      <c r="D36" s="170"/>
      <c r="E36" s="170"/>
    </row>
    <row r="37" spans="2:5">
      <c r="B37" s="197"/>
      <c r="C37" s="198"/>
      <c r="D37" s="170"/>
      <c r="E37" s="170"/>
    </row>
    <row r="38" spans="2:5">
      <c r="B38" s="197"/>
      <c r="C38" s="198"/>
      <c r="D38" s="170"/>
      <c r="E38" s="170"/>
    </row>
    <row r="39" spans="2:5">
      <c r="B39" s="197"/>
      <c r="C39" s="198"/>
      <c r="D39" s="170"/>
      <c r="E39" s="170"/>
    </row>
    <row r="40" spans="2:5">
      <c r="B40" s="197"/>
      <c r="C40" s="198"/>
      <c r="D40" s="170"/>
      <c r="E40" s="170"/>
    </row>
    <row r="41" spans="2:5">
      <c r="B41" s="197"/>
      <c r="C41" s="198"/>
      <c r="D41" s="170"/>
      <c r="E41" s="170"/>
    </row>
    <row r="42" spans="2:5">
      <c r="B42" s="197"/>
      <c r="C42" s="198"/>
      <c r="D42" s="170"/>
      <c r="E42" s="170"/>
    </row>
    <row r="43" spans="2:5">
      <c r="B43" s="197"/>
      <c r="C43" s="198"/>
      <c r="D43" s="170"/>
      <c r="E43" s="170"/>
    </row>
    <row r="44" spans="2:5">
      <c r="B44" s="197"/>
      <c r="C44" s="198"/>
      <c r="D44" s="170"/>
      <c r="E44" s="170"/>
    </row>
    <row r="45" spans="2:5">
      <c r="B45" s="197"/>
      <c r="C45" s="198"/>
      <c r="D45" s="170"/>
      <c r="E45" s="170"/>
    </row>
    <row r="46" spans="2:5">
      <c r="B46" s="197"/>
      <c r="C46" s="198"/>
      <c r="D46" s="170"/>
      <c r="E46" s="170"/>
    </row>
    <row r="47" spans="2:5">
      <c r="B47" s="197"/>
      <c r="C47" s="198"/>
      <c r="D47" s="170"/>
      <c r="E47" s="170"/>
    </row>
    <row r="48" spans="2:5">
      <c r="B48" s="197"/>
      <c r="C48" s="198"/>
      <c r="D48" s="170"/>
      <c r="E48" s="170"/>
    </row>
    <row r="49" spans="2:5">
      <c r="B49" s="197"/>
      <c r="C49" s="198"/>
      <c r="D49" s="170"/>
      <c r="E49" s="170"/>
    </row>
    <row r="50" spans="2:5">
      <c r="B50" s="197"/>
      <c r="C50" s="198"/>
      <c r="D50" s="170"/>
      <c r="E50" s="170"/>
    </row>
    <row r="51" spans="2:5">
      <c r="B51" s="197"/>
      <c r="C51" s="198"/>
      <c r="D51" s="170"/>
      <c r="E51" s="170"/>
    </row>
    <row r="52" spans="2:5">
      <c r="B52" s="197"/>
      <c r="C52" s="198"/>
      <c r="D52" s="170"/>
      <c r="E52" s="170"/>
    </row>
    <row r="53" spans="2:5">
      <c r="B53" s="197"/>
      <c r="C53" s="198"/>
      <c r="D53" s="170"/>
      <c r="E53" s="170"/>
    </row>
    <row r="54" spans="2:5">
      <c r="B54" s="197"/>
      <c r="C54" s="198"/>
      <c r="D54" s="170"/>
      <c r="E54" s="170"/>
    </row>
    <row r="55" spans="2:5">
      <c r="B55" s="197"/>
      <c r="C55" s="198"/>
      <c r="D55" s="170"/>
      <c r="E55" s="170"/>
    </row>
    <row r="56" spans="2:5">
      <c r="B56" s="197"/>
      <c r="C56" s="198"/>
      <c r="D56" s="170"/>
      <c r="E56" s="170"/>
    </row>
    <row r="57" spans="2:5">
      <c r="B57" s="197"/>
      <c r="C57" s="198"/>
      <c r="D57" s="170"/>
      <c r="E57" s="170"/>
    </row>
    <row r="58" spans="2:5">
      <c r="B58" s="197"/>
      <c r="C58" s="198"/>
      <c r="D58" s="170"/>
      <c r="E58" s="170"/>
    </row>
    <row r="59" spans="2:5">
      <c r="B59" s="197"/>
      <c r="C59" s="198"/>
      <c r="D59" s="170"/>
      <c r="E59" s="170"/>
    </row>
    <row r="60" spans="2:5">
      <c r="B60" s="197"/>
      <c r="C60" s="198"/>
      <c r="D60" s="170"/>
      <c r="E60" s="170"/>
    </row>
    <row r="61" spans="2:5">
      <c r="B61" s="197"/>
      <c r="C61" s="198"/>
      <c r="D61" s="170"/>
      <c r="E61" s="170"/>
    </row>
    <row r="62" spans="2:5">
      <c r="B62" s="197"/>
      <c r="C62" s="198"/>
      <c r="D62" s="170"/>
      <c r="E62" s="170"/>
    </row>
    <row r="63" spans="2:5">
      <c r="B63" s="197"/>
      <c r="C63" s="198"/>
      <c r="D63" s="170"/>
      <c r="E63" s="170"/>
    </row>
    <row r="64" spans="2:5">
      <c r="B64" s="197"/>
      <c r="C64" s="198"/>
      <c r="D64" s="170"/>
      <c r="E64" s="170"/>
    </row>
    <row r="65" spans="2:5">
      <c r="B65" s="197"/>
      <c r="C65" s="198"/>
      <c r="D65" s="170"/>
      <c r="E65" s="170"/>
    </row>
    <row r="66" spans="2:5">
      <c r="B66" s="197"/>
      <c r="C66" s="198"/>
      <c r="D66" s="170"/>
      <c r="E66" s="170"/>
    </row>
    <row r="67" spans="2:5">
      <c r="B67" s="197"/>
      <c r="C67" s="198"/>
      <c r="D67" s="170"/>
      <c r="E67" s="170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L27"/>
  <sheetViews>
    <sheetView view="pageBreakPreview" topLeftCell="A4" zoomScale="60" zoomScaleNormal="100" workbookViewId="0">
      <selection activeCell="B32" sqref="B32"/>
    </sheetView>
  </sheetViews>
  <sheetFormatPr defaultColWidth="8.85546875" defaultRowHeight="15.75"/>
  <cols>
    <col min="1" max="2" width="5.28515625" style="37" customWidth="1"/>
    <col min="3" max="3" width="3.85546875" style="68" bestFit="1" customWidth="1"/>
    <col min="4" max="4" width="12.140625" style="69" bestFit="1" customWidth="1"/>
    <col min="5" max="5" width="43.42578125" style="73" customWidth="1"/>
    <col min="6" max="6" width="18.7109375" style="73" customWidth="1"/>
    <col min="7" max="7" width="21.28515625" style="73" customWidth="1"/>
    <col min="8" max="8" width="9.7109375" style="73" customWidth="1"/>
    <col min="9" max="12" width="8.85546875" style="73"/>
    <col min="13" max="16384" width="8.85546875" style="37"/>
  </cols>
  <sheetData>
    <row r="1" spans="1:12" s="84" customFormat="1">
      <c r="A1" s="701" t="s">
        <v>531</v>
      </c>
      <c r="B1" s="701"/>
      <c r="C1" s="701"/>
      <c r="D1" s="701"/>
      <c r="E1" s="701"/>
      <c r="F1" s="701"/>
      <c r="G1" s="701"/>
      <c r="H1" s="701"/>
      <c r="I1" s="701"/>
      <c r="J1" s="69"/>
      <c r="K1" s="69"/>
      <c r="L1" s="69"/>
    </row>
    <row r="2" spans="1:12">
      <c r="E2" s="70"/>
      <c r="F2" s="70"/>
      <c r="G2" s="72"/>
    </row>
    <row r="3" spans="1:12">
      <c r="E3" s="70"/>
      <c r="F3" s="71"/>
      <c r="G3" s="72"/>
    </row>
    <row r="4" spans="1:12" ht="27.75" customHeight="1">
      <c r="A4" s="705" t="s">
        <v>63</v>
      </c>
      <c r="B4" s="705"/>
      <c r="C4" s="705"/>
      <c r="D4" s="705"/>
      <c r="E4" s="705"/>
      <c r="F4" s="705"/>
      <c r="G4" s="705"/>
      <c r="H4" s="705"/>
      <c r="I4" s="74"/>
      <c r="J4" s="74"/>
      <c r="K4" s="74"/>
      <c r="L4" s="74"/>
    </row>
    <row r="5" spans="1:12" ht="39" customHeight="1">
      <c r="A5" s="705" t="s">
        <v>575</v>
      </c>
      <c r="B5" s="705"/>
      <c r="C5" s="705"/>
      <c r="D5" s="705"/>
      <c r="E5" s="705"/>
      <c r="F5" s="705"/>
      <c r="G5" s="705"/>
      <c r="H5" s="304"/>
      <c r="I5" s="74"/>
      <c r="J5" s="74"/>
      <c r="K5" s="74"/>
      <c r="L5" s="74"/>
    </row>
    <row r="6" spans="1:12" ht="16.5" customHeight="1">
      <c r="D6" s="75"/>
      <c r="E6" s="75"/>
      <c r="F6" s="75"/>
      <c r="G6" s="75"/>
      <c r="H6" s="75"/>
      <c r="I6" s="75"/>
      <c r="J6" s="75"/>
      <c r="K6" s="74"/>
      <c r="L6" s="74"/>
    </row>
    <row r="7" spans="1:12" s="76" customFormat="1" ht="96" customHeight="1">
      <c r="C7" s="249" t="s">
        <v>213</v>
      </c>
      <c r="D7" s="77" t="s">
        <v>64</v>
      </c>
      <c r="E7" s="77" t="s">
        <v>65</v>
      </c>
      <c r="F7" s="240" t="s">
        <v>519</v>
      </c>
      <c r="G7" s="240" t="s">
        <v>627</v>
      </c>
      <c r="H7" s="78"/>
      <c r="I7" s="78"/>
    </row>
    <row r="8" spans="1:12" s="76" customFormat="1">
      <c r="C8" s="246"/>
      <c r="D8" s="243" t="s">
        <v>221</v>
      </c>
      <c r="E8" s="79" t="s">
        <v>66</v>
      </c>
      <c r="F8" s="490">
        <f>+'5.a sz.mell.'!Z6</f>
        <v>1</v>
      </c>
      <c r="G8" s="490">
        <f>+'5.a sz.mell.'!AA6</f>
        <v>1</v>
      </c>
      <c r="H8" s="78"/>
      <c r="I8" s="78"/>
    </row>
    <row r="9" spans="1:12" s="76" customFormat="1">
      <c r="C9" s="241"/>
      <c r="D9" s="243" t="s">
        <v>223</v>
      </c>
      <c r="E9" s="79" t="s">
        <v>222</v>
      </c>
      <c r="F9" s="490">
        <f>+'5.a sz.mell.'!Z20</f>
        <v>1</v>
      </c>
      <c r="G9" s="490">
        <f>+'5.a sz.mell.'!AA20</f>
        <v>1</v>
      </c>
      <c r="H9" s="78"/>
      <c r="I9" s="78"/>
    </row>
    <row r="10" spans="1:12" s="76" customFormat="1">
      <c r="C10" s="241"/>
      <c r="D10" s="244" t="s">
        <v>224</v>
      </c>
      <c r="E10" s="79" t="s">
        <v>225</v>
      </c>
      <c r="F10" s="490">
        <f>+'5.a sz.mell.'!Z21</f>
        <v>11</v>
      </c>
      <c r="G10" s="490">
        <f>+'5.a sz.mell.'!AA21</f>
        <v>11</v>
      </c>
      <c r="H10" s="78"/>
      <c r="I10" s="78"/>
    </row>
    <row r="11" spans="1:12" s="76" customFormat="1">
      <c r="C11" s="241"/>
      <c r="D11" s="244" t="s">
        <v>226</v>
      </c>
      <c r="E11" s="79" t="s">
        <v>49</v>
      </c>
      <c r="F11" s="490">
        <f>+'5.a sz.mell.'!Z23</f>
        <v>3</v>
      </c>
      <c r="G11" s="490">
        <f>+'5.a sz.mell.'!AA23</f>
        <v>3</v>
      </c>
      <c r="H11" s="78"/>
      <c r="I11" s="78"/>
    </row>
    <row r="12" spans="1:12" s="76" customFormat="1">
      <c r="C12" s="242"/>
      <c r="D12" s="80">
        <v>104044</v>
      </c>
      <c r="E12" s="79" t="s">
        <v>228</v>
      </c>
      <c r="F12" s="490">
        <f>+'5.a sz.mell.'!Z28</f>
        <v>2</v>
      </c>
      <c r="G12" s="490">
        <f>+'5.a sz.mell.'!AA28</f>
        <v>2</v>
      </c>
      <c r="H12" s="78"/>
      <c r="I12" s="78"/>
    </row>
    <row r="13" spans="1:12" s="76" customFormat="1">
      <c r="C13" s="241"/>
      <c r="D13" s="606" t="s">
        <v>258</v>
      </c>
      <c r="E13" s="79" t="s">
        <v>275</v>
      </c>
      <c r="F13" s="490">
        <f>+'5.a sz.mell.'!Z25</f>
        <v>1</v>
      </c>
      <c r="G13" s="490">
        <f>+'5.a sz.mell.'!AA25</f>
        <v>1</v>
      </c>
      <c r="H13" s="78"/>
      <c r="I13" s="78"/>
    </row>
    <row r="14" spans="1:12" s="76" customFormat="1">
      <c r="C14" s="220" t="s">
        <v>38</v>
      </c>
      <c r="D14" s="82" t="s">
        <v>232</v>
      </c>
      <c r="E14" s="278"/>
      <c r="F14" s="570">
        <f>SUM(F8:F13)</f>
        <v>19</v>
      </c>
      <c r="G14" s="570">
        <f>SUM(G8:G13)</f>
        <v>19</v>
      </c>
      <c r="H14" s="78"/>
      <c r="I14" s="78"/>
    </row>
    <row r="15" spans="1:12" s="76" customFormat="1" ht="19.5" customHeight="1">
      <c r="C15" s="220"/>
      <c r="D15" s="245" t="s">
        <v>221</v>
      </c>
      <c r="E15" s="81" t="s">
        <v>236</v>
      </c>
      <c r="F15" s="495">
        <f>+'5.a sz.mell.'!Z47</f>
        <v>17</v>
      </c>
      <c r="G15" s="495">
        <f>+'5.a sz.mell.'!AA47</f>
        <v>17</v>
      </c>
      <c r="H15" s="78"/>
      <c r="I15" s="78"/>
    </row>
    <row r="16" spans="1:12">
      <c r="C16" s="247" t="s">
        <v>39</v>
      </c>
      <c r="D16" s="82" t="s">
        <v>231</v>
      </c>
      <c r="E16" s="83"/>
      <c r="F16" s="571">
        <f>F15</f>
        <v>17</v>
      </c>
      <c r="G16" s="571">
        <f>G15</f>
        <v>17</v>
      </c>
      <c r="J16" s="37"/>
      <c r="K16" s="37"/>
      <c r="L16" s="37"/>
    </row>
    <row r="17" spans="3:12">
      <c r="C17" s="241"/>
      <c r="D17" s="243" t="s">
        <v>285</v>
      </c>
      <c r="E17" s="79" t="s">
        <v>312</v>
      </c>
      <c r="F17" s="490">
        <f>+'5.a sz.mell.'!Z48</f>
        <v>3</v>
      </c>
      <c r="G17" s="490">
        <f>+'5.a sz.mell.'!AA48</f>
        <v>3</v>
      </c>
      <c r="J17" s="37"/>
      <c r="K17" s="37"/>
      <c r="L17" s="37"/>
    </row>
    <row r="18" spans="3:12" ht="18" customHeight="1">
      <c r="C18" s="248" t="s">
        <v>41</v>
      </c>
      <c r="D18" s="82" t="s">
        <v>229</v>
      </c>
      <c r="E18" s="83"/>
      <c r="F18" s="401">
        <f>SUM(F17)</f>
        <v>3</v>
      </c>
      <c r="G18" s="401">
        <f>SUM(G17)</f>
        <v>3</v>
      </c>
      <c r="J18" s="37"/>
      <c r="K18" s="37"/>
      <c r="L18" s="37"/>
    </row>
    <row r="19" spans="3:12">
      <c r="C19" s="241"/>
      <c r="D19" s="243" t="s">
        <v>290</v>
      </c>
      <c r="E19" s="79" t="s">
        <v>216</v>
      </c>
      <c r="F19" s="490">
        <f>+'5.a sz.mell.'!Z55</f>
        <v>1</v>
      </c>
      <c r="G19" s="490">
        <f>+'5.a sz.mell.'!AA55</f>
        <v>1</v>
      </c>
      <c r="J19" s="37"/>
      <c r="K19" s="37"/>
      <c r="L19" s="37"/>
    </row>
    <row r="20" spans="3:12">
      <c r="C20" s="248" t="s">
        <v>43</v>
      </c>
      <c r="D20" s="82" t="s">
        <v>230</v>
      </c>
      <c r="E20" s="83"/>
      <c r="F20" s="401">
        <v>1</v>
      </c>
      <c r="G20" s="401">
        <v>1</v>
      </c>
      <c r="J20" s="37"/>
      <c r="K20" s="37"/>
      <c r="L20" s="37"/>
    </row>
    <row r="21" spans="3:12">
      <c r="C21" s="241"/>
      <c r="D21" s="80">
        <v>107052</v>
      </c>
      <c r="E21" s="79" t="s">
        <v>281</v>
      </c>
      <c r="F21" s="490">
        <f>+'5.a sz.mell.'!Z56</f>
        <v>4</v>
      </c>
      <c r="G21" s="490">
        <f>+'5.a sz.mell.'!AA56</f>
        <v>4</v>
      </c>
      <c r="J21" s="37"/>
      <c r="K21" s="37"/>
      <c r="L21" s="37"/>
    </row>
    <row r="22" spans="3:12">
      <c r="C22" s="241"/>
      <c r="D22" s="80">
        <v>104042</v>
      </c>
      <c r="E22" s="79" t="s">
        <v>282</v>
      </c>
      <c r="F22" s="490">
        <f>+'5.a sz.mell.'!Z57</f>
        <v>2</v>
      </c>
      <c r="G22" s="490">
        <f>+'5.a sz.mell.'!AA57</f>
        <v>2</v>
      </c>
      <c r="J22" s="37"/>
      <c r="K22" s="37"/>
      <c r="L22" s="37"/>
    </row>
    <row r="23" spans="3:12">
      <c r="C23" s="241"/>
      <c r="D23" s="80">
        <v>102031</v>
      </c>
      <c r="E23" s="79" t="s">
        <v>283</v>
      </c>
      <c r="F23" s="490">
        <f>+'5.a sz.mell.'!Z58</f>
        <v>2</v>
      </c>
      <c r="G23" s="490">
        <f>+'5.a sz.mell.'!AA58</f>
        <v>6</v>
      </c>
      <c r="J23" s="37"/>
      <c r="K23" s="37"/>
      <c r="L23" s="37"/>
    </row>
    <row r="24" spans="3:12">
      <c r="C24" s="241"/>
      <c r="D24" s="80">
        <v>107051</v>
      </c>
      <c r="E24" s="79" t="s">
        <v>284</v>
      </c>
      <c r="F24" s="490">
        <f>+'5.a sz.mell.'!Z60</f>
        <v>1</v>
      </c>
      <c r="G24" s="490">
        <f>+'5.a sz.mell.'!AA60</f>
        <v>1</v>
      </c>
      <c r="J24" s="37"/>
      <c r="K24" s="37"/>
      <c r="L24" s="37"/>
    </row>
    <row r="25" spans="3:12">
      <c r="C25" s="241"/>
      <c r="D25" s="244" t="s">
        <v>227</v>
      </c>
      <c r="E25" s="79" t="s">
        <v>67</v>
      </c>
      <c r="F25" s="490">
        <f>+'5.a sz.mell.'!Z64</f>
        <v>9</v>
      </c>
      <c r="G25" s="490">
        <f>+'5.a sz.mell.'!AA64</f>
        <v>9</v>
      </c>
      <c r="J25" s="37"/>
      <c r="K25" s="37"/>
      <c r="L25" s="37"/>
    </row>
    <row r="26" spans="3:12" ht="19.5" customHeight="1">
      <c r="C26" s="248" t="s">
        <v>211</v>
      </c>
      <c r="D26" s="82" t="s">
        <v>313</v>
      </c>
      <c r="E26" s="83"/>
      <c r="F26" s="401">
        <f>SUM(F21:F25)</f>
        <v>18</v>
      </c>
      <c r="G26" s="401">
        <f>SUM(G21:G25)</f>
        <v>22</v>
      </c>
      <c r="J26" s="37"/>
      <c r="K26" s="37"/>
      <c r="L26" s="37"/>
    </row>
    <row r="27" spans="3:12" ht="36" customHeight="1">
      <c r="C27" s="702" t="s">
        <v>68</v>
      </c>
      <c r="D27" s="703"/>
      <c r="E27" s="704"/>
      <c r="F27" s="607">
        <f>SUM(F14,F16,F18,F20,F26)</f>
        <v>58</v>
      </c>
      <c r="G27" s="607">
        <f>SUM(G14,G16,G18,G20,G26)</f>
        <v>62</v>
      </c>
      <c r="J27" s="37"/>
      <c r="K27" s="37"/>
      <c r="L27" s="37"/>
    </row>
  </sheetData>
  <mergeCells count="4">
    <mergeCell ref="A1:I1"/>
    <mergeCell ref="C27:E27"/>
    <mergeCell ref="A4:H4"/>
    <mergeCell ref="A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8" fitToHeight="2" orientation="portrait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L19"/>
  <sheetViews>
    <sheetView view="pageBreakPreview" zoomScale="60" zoomScaleNormal="100" workbookViewId="0">
      <selection activeCell="V56" sqref="V56"/>
    </sheetView>
  </sheetViews>
  <sheetFormatPr defaultColWidth="8.85546875" defaultRowHeight="15.75"/>
  <cols>
    <col min="1" max="2" width="8.85546875" style="37"/>
    <col min="3" max="3" width="8.85546875" style="73"/>
    <col min="4" max="4" width="38.42578125" style="73" customWidth="1"/>
    <col min="5" max="5" width="9.140625" style="69" hidden="1" customWidth="1"/>
    <col min="6" max="6" width="9.140625" style="73" hidden="1" customWidth="1"/>
    <col min="7" max="12" width="8.85546875" style="73"/>
    <col min="13" max="16384" width="8.85546875" style="37"/>
  </cols>
  <sheetData>
    <row r="1" spans="1:10">
      <c r="A1" s="706" t="s">
        <v>671</v>
      </c>
      <c r="B1" s="706"/>
      <c r="C1" s="706"/>
      <c r="D1" s="706"/>
      <c r="E1" s="706"/>
      <c r="F1" s="706"/>
      <c r="G1" s="706"/>
      <c r="H1" s="706"/>
      <c r="I1" s="706"/>
    </row>
    <row r="3" spans="1:10" ht="16.5" thickBot="1"/>
    <row r="4" spans="1:10" ht="37.5" customHeight="1">
      <c r="A4" s="707" t="s">
        <v>576</v>
      </c>
      <c r="B4" s="708"/>
      <c r="C4" s="708"/>
      <c r="D4" s="708"/>
      <c r="E4" s="708"/>
      <c r="F4" s="708"/>
      <c r="G4" s="708"/>
      <c r="H4" s="708"/>
      <c r="I4" s="708"/>
      <c r="J4" s="572"/>
    </row>
    <row r="5" spans="1:10" ht="37.5" customHeight="1">
      <c r="A5" s="573"/>
      <c r="B5" s="574"/>
      <c r="C5" s="574"/>
      <c r="D5" s="574"/>
      <c r="E5" s="574"/>
      <c r="F5" s="574"/>
      <c r="G5" s="574"/>
      <c r="H5" s="574"/>
      <c r="I5" s="574"/>
      <c r="J5" s="575"/>
    </row>
    <row r="6" spans="1:10" ht="39.75" customHeight="1">
      <c r="A6" s="573"/>
      <c r="B6" s="203"/>
      <c r="C6" s="576"/>
      <c r="D6" s="576"/>
      <c r="E6" s="577"/>
      <c r="F6" s="576"/>
      <c r="G6" s="709" t="s">
        <v>520</v>
      </c>
      <c r="H6" s="709"/>
      <c r="I6" s="709" t="s">
        <v>628</v>
      </c>
      <c r="J6" s="709"/>
    </row>
    <row r="7" spans="1:10" ht="20.25">
      <c r="A7" s="573"/>
      <c r="B7" s="578"/>
      <c r="C7" s="579" t="s">
        <v>267</v>
      </c>
      <c r="D7" s="579"/>
      <c r="E7" s="580"/>
      <c r="F7" s="579"/>
      <c r="G7" s="581">
        <f>+'5.a sz.mell.'!Z11</f>
        <v>13</v>
      </c>
      <c r="H7" s="579" t="s">
        <v>373</v>
      </c>
      <c r="I7" s="581">
        <f>+'5.a sz.mell.'!AA11</f>
        <v>12</v>
      </c>
      <c r="J7" s="579" t="s">
        <v>373</v>
      </c>
    </row>
    <row r="8" spans="1:10" ht="20.25">
      <c r="A8" s="573"/>
      <c r="B8" s="578"/>
      <c r="C8" s="579"/>
      <c r="D8" s="579"/>
      <c r="E8" s="580"/>
      <c r="F8" s="579"/>
      <c r="G8" s="579"/>
      <c r="H8" s="576"/>
      <c r="I8" s="579"/>
      <c r="J8" s="576"/>
    </row>
    <row r="9" spans="1:10" ht="20.25">
      <c r="A9" s="573"/>
      <c r="B9" s="578"/>
      <c r="C9" s="579"/>
      <c r="D9" s="579"/>
      <c r="E9" s="580"/>
      <c r="F9" s="579"/>
      <c r="G9" s="579"/>
      <c r="H9" s="576"/>
      <c r="I9" s="579"/>
      <c r="J9" s="576"/>
    </row>
    <row r="10" spans="1:10" ht="20.25">
      <c r="A10" s="573"/>
      <c r="B10" s="578"/>
      <c r="C10" s="579" t="s">
        <v>343</v>
      </c>
      <c r="D10" s="579"/>
      <c r="E10" s="580"/>
      <c r="F10" s="579"/>
      <c r="G10" s="581">
        <f>+'5.a sz.mell.'!Z10</f>
        <v>15</v>
      </c>
      <c r="H10" s="579" t="s">
        <v>373</v>
      </c>
      <c r="I10" s="581">
        <f>+'5.a sz.mell.'!AA10</f>
        <v>9</v>
      </c>
      <c r="J10" s="579" t="s">
        <v>373</v>
      </c>
    </row>
    <row r="11" spans="1:10" ht="20.25">
      <c r="A11" s="573"/>
      <c r="B11" s="578"/>
      <c r="C11" s="579"/>
      <c r="D11" s="579"/>
      <c r="E11" s="580"/>
      <c r="F11" s="579"/>
      <c r="G11" s="579"/>
      <c r="H11" s="576"/>
      <c r="I11" s="579"/>
      <c r="J11" s="576"/>
    </row>
    <row r="12" spans="1:10" ht="20.25">
      <c r="A12" s="573"/>
      <c r="B12" s="578"/>
      <c r="C12" s="579"/>
      <c r="D12" s="579"/>
      <c r="E12" s="580"/>
      <c r="F12" s="579"/>
      <c r="G12" s="579"/>
      <c r="H12" s="576"/>
      <c r="I12" s="579"/>
      <c r="J12" s="576"/>
    </row>
    <row r="13" spans="1:10" ht="20.25">
      <c r="A13" s="573"/>
      <c r="B13" s="578"/>
      <c r="C13" s="579"/>
      <c r="D13" s="579"/>
      <c r="E13" s="580"/>
      <c r="F13" s="579"/>
      <c r="G13" s="579"/>
      <c r="H13" s="576"/>
      <c r="I13" s="579"/>
      <c r="J13" s="576"/>
    </row>
    <row r="14" spans="1:10" ht="21" thickBot="1">
      <c r="A14" s="582"/>
      <c r="B14" s="583"/>
      <c r="C14" s="584"/>
      <c r="D14" s="584" t="s">
        <v>44</v>
      </c>
      <c r="E14" s="585"/>
      <c r="F14" s="584"/>
      <c r="G14" s="586">
        <f>+G7+G10</f>
        <v>28</v>
      </c>
      <c r="H14" s="584" t="s">
        <v>373</v>
      </c>
      <c r="I14" s="586">
        <f>+I7+I10</f>
        <v>21</v>
      </c>
      <c r="J14" s="584" t="s">
        <v>373</v>
      </c>
    </row>
    <row r="15" spans="1:10" ht="20.25">
      <c r="B15" s="403"/>
      <c r="C15" s="404"/>
      <c r="D15" s="404"/>
      <c r="E15" s="405"/>
      <c r="F15" s="404"/>
      <c r="G15" s="404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O12"/>
  <sheetViews>
    <sheetView view="pageBreakPreview" zoomScaleNormal="80" zoomScaleSheetLayoutView="100" workbookViewId="0">
      <selection activeCell="A12" sqref="A12"/>
    </sheetView>
  </sheetViews>
  <sheetFormatPr defaultRowHeight="15.75"/>
  <cols>
    <col min="1" max="1" width="47.140625" style="86" customWidth="1"/>
    <col min="2" max="2" width="15.140625" style="91" customWidth="1"/>
    <col min="3" max="3" width="21.28515625" style="91" customWidth="1"/>
    <col min="4" max="4" width="23.7109375" style="91" customWidth="1"/>
    <col min="5" max="5" width="14" style="91" customWidth="1"/>
    <col min="6" max="6" width="21.7109375" style="91" customWidth="1"/>
    <col min="7" max="7" width="18.28515625" style="91" customWidth="1"/>
    <col min="8" max="8" width="21.7109375" style="91" customWidth="1"/>
    <col min="9" max="9" width="19.7109375" style="91" customWidth="1"/>
    <col min="10" max="10" width="21.5703125" style="89" customWidth="1"/>
    <col min="11" max="11" width="26.140625" style="89" customWidth="1"/>
    <col min="12" max="12" width="23.85546875" style="89" customWidth="1"/>
    <col min="13" max="13" width="17.7109375" style="89" customWidth="1"/>
    <col min="14" max="14" width="18.85546875" style="90" customWidth="1"/>
    <col min="15" max="15" width="20.5703125" style="87" customWidth="1"/>
    <col min="16" max="16384" width="9.140625" style="87"/>
  </cols>
  <sheetData>
    <row r="1" spans="1:15" ht="21" customHeight="1">
      <c r="A1" s="643" t="s">
        <v>672</v>
      </c>
      <c r="B1" s="643"/>
      <c r="C1" s="643"/>
      <c r="D1" s="643"/>
      <c r="E1" s="643"/>
      <c r="F1" s="643"/>
      <c r="G1" s="643"/>
      <c r="H1" s="643"/>
      <c r="I1" s="643"/>
      <c r="J1" s="250"/>
      <c r="K1" s="250"/>
      <c r="L1" s="250"/>
      <c r="M1" s="250"/>
      <c r="N1" s="250"/>
    </row>
    <row r="2" spans="1:15">
      <c r="B2" s="88"/>
      <c r="C2" s="88"/>
      <c r="D2" s="88"/>
      <c r="E2" s="88"/>
      <c r="F2" s="88"/>
      <c r="G2" s="88"/>
      <c r="H2" s="88"/>
      <c r="I2" s="88"/>
    </row>
    <row r="3" spans="1:15" ht="27.75" customHeight="1">
      <c r="A3" s="712" t="s">
        <v>63</v>
      </c>
      <c r="B3" s="712"/>
      <c r="C3" s="712"/>
      <c r="D3" s="712"/>
      <c r="E3" s="712"/>
      <c r="F3" s="712"/>
      <c r="G3" s="712"/>
      <c r="H3" s="712"/>
      <c r="I3" s="712"/>
      <c r="J3" s="346"/>
      <c r="K3" s="346"/>
      <c r="L3" s="346"/>
      <c r="M3" s="346"/>
      <c r="N3" s="346"/>
    </row>
    <row r="4" spans="1:15" ht="42.75" customHeight="1">
      <c r="A4" s="651" t="s">
        <v>69</v>
      </c>
      <c r="B4" s="651"/>
      <c r="C4" s="651"/>
      <c r="D4" s="651"/>
      <c r="E4" s="651"/>
      <c r="F4" s="651"/>
      <c r="G4" s="651"/>
      <c r="H4" s="651"/>
      <c r="I4" s="651"/>
      <c r="J4" s="279"/>
      <c r="K4" s="279"/>
      <c r="L4" s="279"/>
      <c r="M4" s="279"/>
      <c r="N4" s="279"/>
    </row>
    <row r="5" spans="1:15" ht="30" customHeight="1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</row>
    <row r="6" spans="1:15" ht="54.75" customHeight="1">
      <c r="A6" s="711" t="s">
        <v>314</v>
      </c>
      <c r="B6" s="710" t="s">
        <v>353</v>
      </c>
      <c r="C6" s="710" t="s">
        <v>521</v>
      </c>
      <c r="D6" s="713" t="s">
        <v>351</v>
      </c>
      <c r="E6" s="714"/>
      <c r="F6" s="715" t="s">
        <v>522</v>
      </c>
      <c r="G6" s="716"/>
      <c r="H6" s="713" t="s">
        <v>523</v>
      </c>
      <c r="I6" s="714"/>
      <c r="J6" s="710" t="s">
        <v>590</v>
      </c>
      <c r="K6" s="710"/>
      <c r="L6" s="710" t="s">
        <v>591</v>
      </c>
      <c r="M6" s="710"/>
      <c r="N6" s="710" t="s">
        <v>658</v>
      </c>
      <c r="O6" s="710"/>
    </row>
    <row r="7" spans="1:15" ht="73.5" customHeight="1">
      <c r="A7" s="711"/>
      <c r="B7" s="710"/>
      <c r="C7" s="710"/>
      <c r="D7" s="348" t="s">
        <v>374</v>
      </c>
      <c r="E7" s="348" t="s">
        <v>375</v>
      </c>
      <c r="F7" s="537" t="s">
        <v>374</v>
      </c>
      <c r="G7" s="537" t="s">
        <v>375</v>
      </c>
      <c r="H7" s="537" t="s">
        <v>374</v>
      </c>
      <c r="I7" s="537" t="s">
        <v>375</v>
      </c>
      <c r="J7" s="537" t="s">
        <v>374</v>
      </c>
      <c r="K7" s="537" t="s">
        <v>375</v>
      </c>
      <c r="L7" s="593" t="s">
        <v>374</v>
      </c>
      <c r="M7" s="593" t="s">
        <v>375</v>
      </c>
      <c r="N7" s="621" t="s">
        <v>374</v>
      </c>
      <c r="O7" s="621" t="s">
        <v>375</v>
      </c>
    </row>
    <row r="8" spans="1:15" ht="83.25" customHeight="1">
      <c r="A8" s="349" t="s">
        <v>354</v>
      </c>
      <c r="B8" s="351" t="s">
        <v>305</v>
      </c>
      <c r="C8" s="353">
        <v>89180205</v>
      </c>
      <c r="D8" s="354">
        <v>49599394</v>
      </c>
      <c r="E8" s="355">
        <f>+D8/C8</f>
        <v>0.55617044163556251</v>
      </c>
      <c r="F8" s="354">
        <f>+D8-14740137+4</f>
        <v>34859261</v>
      </c>
      <c r="G8" s="355">
        <f>+F8/C8</f>
        <v>0.39088563431761564</v>
      </c>
      <c r="H8" s="354">
        <f>+C8-D8-1821018-868060</f>
        <v>36891733</v>
      </c>
      <c r="I8" s="355">
        <f>+H8/C8</f>
        <v>0.41367625248226331</v>
      </c>
      <c r="J8" s="354">
        <f>6839200+39857738</f>
        <v>46696938</v>
      </c>
      <c r="K8" s="355">
        <f>+J8/C8</f>
        <v>0.52362447473629381</v>
      </c>
      <c r="L8" s="354">
        <f>+C8-F8-J8-868060</f>
        <v>6755946</v>
      </c>
      <c r="M8" s="355">
        <f>+L8/C8</f>
        <v>7.5756116505899487E-2</v>
      </c>
      <c r="N8" s="354">
        <v>0</v>
      </c>
      <c r="O8" s="355">
        <f>+N8/E8</f>
        <v>0</v>
      </c>
    </row>
    <row r="9" spans="1:15" s="92" customFormat="1" ht="82.5" customHeight="1">
      <c r="A9" s="350" t="s">
        <v>352</v>
      </c>
      <c r="B9" s="352" t="s">
        <v>305</v>
      </c>
      <c r="C9" s="357">
        <v>88739589</v>
      </c>
      <c r="D9" s="358">
        <v>48307343</v>
      </c>
      <c r="E9" s="356">
        <f>+D9/C9</f>
        <v>0.54437194880404505</v>
      </c>
      <c r="F9" s="358">
        <f>+D9-23005204+426907</f>
        <v>25729046</v>
      </c>
      <c r="G9" s="355">
        <f>+F9/C9</f>
        <v>0.28993875551981652</v>
      </c>
      <c r="H9" s="358">
        <f>+C9-D9-1340680-3275011</f>
        <v>35816555</v>
      </c>
      <c r="I9" s="355">
        <f>+H9/C9</f>
        <v>0.40361416368516201</v>
      </c>
      <c r="J9" s="358">
        <v>34972924</v>
      </c>
      <c r="K9" s="355">
        <f>+J9/C9</f>
        <v>0.39410734706017175</v>
      </c>
      <c r="L9" s="358">
        <f>+C9-F9-J9-1340680</f>
        <v>26696939</v>
      </c>
      <c r="M9" s="355">
        <f>+L9/C9</f>
        <v>0.30084587162106419</v>
      </c>
      <c r="N9" s="358">
        <v>0</v>
      </c>
      <c r="O9" s="355">
        <f>+N9/E9</f>
        <v>0</v>
      </c>
    </row>
    <row r="10" spans="1:15" ht="83.25" customHeight="1">
      <c r="A10" s="349" t="s">
        <v>655</v>
      </c>
      <c r="B10" s="351" t="s">
        <v>305</v>
      </c>
      <c r="C10" s="353">
        <f>+'2.sz.mell.'!D60</f>
        <v>284433287</v>
      </c>
      <c r="D10" s="354">
        <v>0</v>
      </c>
      <c r="E10" s="355">
        <f t="shared" ref="E10:E12" si="0">+D10/C10</f>
        <v>0</v>
      </c>
      <c r="F10" s="354">
        <v>0</v>
      </c>
      <c r="G10" s="355">
        <f t="shared" ref="G10:G12" si="1">+F10/C10</f>
        <v>0</v>
      </c>
      <c r="H10" s="354">
        <v>0</v>
      </c>
      <c r="I10" s="355">
        <f t="shared" ref="I10:I12" si="2">+H10/C10</f>
        <v>0</v>
      </c>
      <c r="J10" s="354">
        <v>0</v>
      </c>
      <c r="K10" s="355">
        <f t="shared" ref="K10:K12" si="3">+J10/C10</f>
        <v>0</v>
      </c>
      <c r="L10" s="354">
        <v>25000000</v>
      </c>
      <c r="M10" s="355">
        <f t="shared" ref="M10:M12" si="4">+L10/C10</f>
        <v>8.7894072679334467E-2</v>
      </c>
      <c r="N10" s="354">
        <f>+C10-L10</f>
        <v>259433287</v>
      </c>
      <c r="O10" s="355">
        <f>+N10/C10</f>
        <v>0.91210592732066553</v>
      </c>
    </row>
    <row r="11" spans="1:15" ht="83.25" customHeight="1">
      <c r="A11" s="349" t="s">
        <v>656</v>
      </c>
      <c r="B11" s="351" t="s">
        <v>305</v>
      </c>
      <c r="C11" s="353">
        <f>+'2.sz.mell.'!D62</f>
        <v>154655790</v>
      </c>
      <c r="D11" s="354">
        <v>0</v>
      </c>
      <c r="E11" s="355">
        <f t="shared" si="0"/>
        <v>0</v>
      </c>
      <c r="F11" s="354">
        <v>0</v>
      </c>
      <c r="G11" s="355">
        <f t="shared" si="1"/>
        <v>0</v>
      </c>
      <c r="H11" s="354">
        <v>0</v>
      </c>
      <c r="I11" s="355">
        <f t="shared" si="2"/>
        <v>0</v>
      </c>
      <c r="J11" s="354">
        <v>0</v>
      </c>
      <c r="K11" s="355">
        <f t="shared" si="3"/>
        <v>0</v>
      </c>
      <c r="L11" s="354">
        <f>+C11</f>
        <v>154655790</v>
      </c>
      <c r="M11" s="355">
        <f t="shared" si="4"/>
        <v>1</v>
      </c>
      <c r="N11" s="354">
        <v>0</v>
      </c>
      <c r="O11" s="355">
        <v>0</v>
      </c>
    </row>
    <row r="12" spans="1:15" ht="83.25" customHeight="1">
      <c r="A12" s="349" t="s">
        <v>657</v>
      </c>
      <c r="B12" s="351" t="s">
        <v>305</v>
      </c>
      <c r="C12" s="353">
        <f>+'2.sz.mell.'!D61</f>
        <v>8798088</v>
      </c>
      <c r="D12" s="354">
        <v>0</v>
      </c>
      <c r="E12" s="355">
        <f t="shared" si="0"/>
        <v>0</v>
      </c>
      <c r="F12" s="354">
        <v>0</v>
      </c>
      <c r="G12" s="355">
        <f t="shared" si="1"/>
        <v>0</v>
      </c>
      <c r="H12" s="354">
        <v>0</v>
      </c>
      <c r="I12" s="355">
        <f t="shared" si="2"/>
        <v>0</v>
      </c>
      <c r="J12" s="354">
        <v>0</v>
      </c>
      <c r="K12" s="355">
        <f t="shared" si="3"/>
        <v>0</v>
      </c>
      <c r="L12" s="354">
        <f>+C12</f>
        <v>8798088</v>
      </c>
      <c r="M12" s="355">
        <f t="shared" si="4"/>
        <v>1</v>
      </c>
      <c r="N12" s="354">
        <v>0</v>
      </c>
      <c r="O12" s="355">
        <v>0</v>
      </c>
    </row>
  </sheetData>
  <mergeCells count="12">
    <mergeCell ref="N6:O6"/>
    <mergeCell ref="L6:M6"/>
    <mergeCell ref="J6:K6"/>
    <mergeCell ref="A1:I1"/>
    <mergeCell ref="C6:C7"/>
    <mergeCell ref="B6:B7"/>
    <mergeCell ref="A6:A7"/>
    <mergeCell ref="A4:I4"/>
    <mergeCell ref="A3:I3"/>
    <mergeCell ref="D6:E6"/>
    <mergeCell ref="F6:G6"/>
    <mergeCell ref="H6:I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I18"/>
  <sheetViews>
    <sheetView view="pageBreakPreview" topLeftCell="B1" zoomScale="60" zoomScaleNormal="100" workbookViewId="0">
      <selection activeCell="B32" sqref="B32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0.7109375" style="73" customWidth="1"/>
    <col min="4" max="4" width="27.42578125" style="73" customWidth="1"/>
    <col min="5" max="7" width="9.140625" style="73" customWidth="1"/>
    <col min="8" max="9" width="8.85546875" style="101"/>
    <col min="10" max="16384" width="8.85546875" style="37"/>
  </cols>
  <sheetData>
    <row r="1" spans="1:9" ht="40.5" customHeight="1">
      <c r="A1" s="717" t="s">
        <v>532</v>
      </c>
      <c r="B1" s="717"/>
      <c r="C1" s="717"/>
      <c r="D1" s="250"/>
      <c r="E1" s="250"/>
      <c r="F1" s="250"/>
      <c r="G1" s="250"/>
    </row>
    <row r="4" spans="1:9" ht="38.25" customHeight="1">
      <c r="A4" s="406" t="s">
        <v>481</v>
      </c>
      <c r="B4" s="718" t="s">
        <v>577</v>
      </c>
      <c r="C4" s="718"/>
      <c r="D4" s="406"/>
      <c r="E4" s="406"/>
      <c r="F4" s="406"/>
      <c r="G4" s="406"/>
    </row>
    <row r="6" spans="1:9" ht="16.5" thickBot="1">
      <c r="C6" s="102" t="s">
        <v>323</v>
      </c>
      <c r="D6" s="102" t="s">
        <v>323</v>
      </c>
    </row>
    <row r="7" spans="1:9" ht="16.5" customHeight="1" thickBot="1">
      <c r="C7" s="462" t="s">
        <v>370</v>
      </c>
      <c r="D7" s="462" t="s">
        <v>629</v>
      </c>
    </row>
    <row r="8" spans="1:9" s="39" customFormat="1" ht="35.1" customHeight="1" thickBot="1">
      <c r="B8" s="464" t="s">
        <v>90</v>
      </c>
      <c r="C8" s="461">
        <f>+'2.sz.mell.'!C84</f>
        <v>98896424</v>
      </c>
      <c r="D8" s="461">
        <f>+'2.sz.mell.'!D84</f>
        <v>96983663</v>
      </c>
      <c r="E8" s="103"/>
      <c r="F8" s="103"/>
      <c r="G8" s="103"/>
      <c r="H8" s="104"/>
      <c r="I8" s="104"/>
    </row>
    <row r="9" spans="1:9">
      <c r="B9" s="463" t="s">
        <v>364</v>
      </c>
      <c r="C9" s="359">
        <f>+'5.a sz.mell.'!N18</f>
        <v>50933440</v>
      </c>
      <c r="D9" s="359">
        <f>+'5.a sz.mell.'!O18</f>
        <v>49671695</v>
      </c>
    </row>
    <row r="10" spans="1:9" ht="47.25">
      <c r="B10" s="155" t="s">
        <v>524</v>
      </c>
      <c r="C10" s="359">
        <f>+'5.a sz.mell.'!N16</f>
        <v>24944510</v>
      </c>
      <c r="D10" s="359">
        <f>+'5.a sz.mell.'!O16</f>
        <v>24328399</v>
      </c>
    </row>
    <row r="11" spans="1:9" ht="31.5">
      <c r="B11" s="155" t="s">
        <v>578</v>
      </c>
      <c r="C11" s="359">
        <f>+'5.a sz.mell.'!N20</f>
        <v>4508070</v>
      </c>
      <c r="D11" s="359">
        <f>+'5.a sz.mell.'!O20</f>
        <v>4508070</v>
      </c>
    </row>
    <row r="12" spans="1:9" ht="47.25">
      <c r="B12" s="155" t="s">
        <v>579</v>
      </c>
      <c r="C12" s="359">
        <f>+'5.a sz.mell.'!N29</f>
        <v>8815656</v>
      </c>
      <c r="D12" s="359">
        <f>+'5.a sz.mell.'!O29</f>
        <v>8815656</v>
      </c>
    </row>
    <row r="13" spans="1:9" ht="47.25">
      <c r="B13" s="155" t="s">
        <v>580</v>
      </c>
      <c r="C13" s="359">
        <f>+'5.a sz.mell.'!N8</f>
        <v>8344429</v>
      </c>
      <c r="D13" s="359">
        <f>+'5.a sz.mell.'!O8</f>
        <v>8309524</v>
      </c>
    </row>
    <row r="14" spans="1:9" ht="47.25">
      <c r="B14" s="155" t="s">
        <v>581</v>
      </c>
      <c r="C14" s="359">
        <f>+'5.a sz.mell.'!N10</f>
        <v>1350319</v>
      </c>
      <c r="D14" s="359">
        <f>+'5.a sz.mell.'!O10</f>
        <v>1350319</v>
      </c>
    </row>
    <row r="15" spans="1:9" s="39" customFormat="1" ht="28.5" customHeight="1">
      <c r="B15" s="443" t="s">
        <v>365</v>
      </c>
      <c r="C15" s="442">
        <f>+'2.sz.mell.'!C83</f>
        <v>0</v>
      </c>
      <c r="D15" s="442">
        <f>+'2.sz.mell.'!D83</f>
        <v>0</v>
      </c>
      <c r="E15" s="103"/>
      <c r="F15" s="103"/>
      <c r="G15" s="103"/>
      <c r="H15" s="104"/>
      <c r="I15" s="104"/>
    </row>
    <row r="16" spans="1:9" ht="20.25">
      <c r="B16" s="423" t="s">
        <v>233</v>
      </c>
      <c r="C16" s="424">
        <f>+C15+C8</f>
        <v>98896424</v>
      </c>
      <c r="D16" s="424">
        <f>+D15+D8</f>
        <v>96983663</v>
      </c>
    </row>
    <row r="18" spans="3:3">
      <c r="C18" s="72">
        <f>+'5.a sz.mell.'!N66</f>
        <v>98896424</v>
      </c>
    </row>
  </sheetData>
  <mergeCells count="2">
    <mergeCell ref="A1:C1"/>
    <mergeCell ref="B4:C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W20"/>
  <sheetViews>
    <sheetView view="pageBreakPreview" zoomScale="70" zoomScaleNormal="70" zoomScaleSheetLayoutView="70" workbookViewId="0">
      <selection activeCell="B32" sqref="B32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643" t="s">
        <v>533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250"/>
      <c r="P1" s="250"/>
      <c r="Q1" s="250"/>
      <c r="R1" s="250"/>
      <c r="S1" s="250"/>
      <c r="T1" s="250"/>
      <c r="U1" s="250"/>
      <c r="V1" s="250"/>
      <c r="W1" s="93"/>
    </row>
    <row r="2" spans="1:23" ht="20.25" customHeight="1">
      <c r="A2" s="723" t="s">
        <v>70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268"/>
      <c r="P2" s="268"/>
      <c r="Q2" s="268"/>
      <c r="R2" s="268"/>
      <c r="S2" s="268"/>
      <c r="T2" s="268"/>
      <c r="U2" s="268"/>
      <c r="V2" s="268"/>
      <c r="W2" s="268"/>
    </row>
    <row r="3" spans="1:23" ht="15.75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 t="s">
        <v>317</v>
      </c>
      <c r="O3" s="95"/>
      <c r="P3" s="95"/>
      <c r="Q3" s="95"/>
      <c r="R3" s="95"/>
      <c r="S3" s="95"/>
      <c r="T3" s="95"/>
      <c r="U3" s="95"/>
      <c r="W3" s="94"/>
    </row>
    <row r="4" spans="1:23" ht="15.75">
      <c r="A4" s="719" t="s">
        <v>71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</row>
    <row r="5" spans="1:23" ht="16.5" thickBot="1">
      <c r="A5" s="720"/>
      <c r="B5" s="306" t="s">
        <v>631</v>
      </c>
      <c r="C5" s="306" t="s">
        <v>630</v>
      </c>
      <c r="D5" s="306" t="s">
        <v>73</v>
      </c>
      <c r="E5" s="306" t="s">
        <v>74</v>
      </c>
      <c r="F5" s="306" t="s">
        <v>75</v>
      </c>
      <c r="G5" s="306" t="s">
        <v>76</v>
      </c>
      <c r="H5" s="306" t="s">
        <v>77</v>
      </c>
      <c r="I5" s="306" t="s">
        <v>78</v>
      </c>
      <c r="J5" s="306" t="s">
        <v>79</v>
      </c>
      <c r="K5" s="306" t="s">
        <v>80</v>
      </c>
      <c r="L5" s="306" t="s">
        <v>81</v>
      </c>
      <c r="M5" s="306" t="s">
        <v>82</v>
      </c>
      <c r="N5" s="306">
        <v>2031</v>
      </c>
    </row>
    <row r="6" spans="1:23" ht="36">
      <c r="A6" s="96" t="s">
        <v>86</v>
      </c>
      <c r="B6" s="307">
        <f>7500000+60000000+6000000</f>
        <v>73500000</v>
      </c>
      <c r="C6" s="307">
        <f>7500000+60000000</f>
        <v>67500000</v>
      </c>
      <c r="D6" s="307">
        <f t="shared" ref="D6" si="0">7500000+60000000+6000000</f>
        <v>73500000</v>
      </c>
      <c r="E6" s="307">
        <v>60000000</v>
      </c>
      <c r="F6" s="307">
        <v>60000000</v>
      </c>
      <c r="G6" s="307">
        <v>60000000</v>
      </c>
      <c r="H6" s="307">
        <v>60000000</v>
      </c>
      <c r="I6" s="307">
        <v>60000000</v>
      </c>
      <c r="J6" s="307">
        <v>60000000</v>
      </c>
      <c r="K6" s="307">
        <v>60000000</v>
      </c>
      <c r="L6" s="307">
        <v>60000000</v>
      </c>
      <c r="M6" s="307">
        <v>60000000</v>
      </c>
      <c r="N6" s="307">
        <v>60000000</v>
      </c>
    </row>
    <row r="7" spans="1:23" ht="54">
      <c r="A7" s="97" t="s">
        <v>308</v>
      </c>
      <c r="B7" s="309">
        <v>17145000</v>
      </c>
      <c r="C7" s="309">
        <v>17145000</v>
      </c>
      <c r="D7" s="309">
        <v>17145000</v>
      </c>
      <c r="E7" s="309">
        <v>15000000</v>
      </c>
      <c r="F7" s="309">
        <v>15000000</v>
      </c>
      <c r="G7" s="309">
        <v>15000000</v>
      </c>
      <c r="H7" s="309">
        <v>15000000</v>
      </c>
      <c r="I7" s="309">
        <v>15000000</v>
      </c>
      <c r="J7" s="309">
        <v>15000000</v>
      </c>
      <c r="K7" s="309">
        <v>15000000</v>
      </c>
      <c r="L7" s="309">
        <v>15000000</v>
      </c>
      <c r="M7" s="309">
        <v>15000000</v>
      </c>
      <c r="N7" s="309">
        <v>15000000</v>
      </c>
    </row>
    <row r="8" spans="1:23" ht="36.75" thickBot="1">
      <c r="A8" s="98" t="s">
        <v>87</v>
      </c>
      <c r="B8" s="310">
        <v>5700000</v>
      </c>
      <c r="C8" s="310">
        <v>5700000</v>
      </c>
      <c r="D8" s="310">
        <v>5700000</v>
      </c>
      <c r="E8" s="310">
        <v>2000000</v>
      </c>
      <c r="F8" s="310">
        <v>2000000</v>
      </c>
      <c r="G8" s="310">
        <v>2000000</v>
      </c>
      <c r="H8" s="310">
        <v>2000000</v>
      </c>
      <c r="I8" s="310">
        <v>2000000</v>
      </c>
      <c r="J8" s="310">
        <v>2000000</v>
      </c>
      <c r="K8" s="310">
        <v>2000000</v>
      </c>
      <c r="L8" s="310">
        <v>2000000</v>
      </c>
      <c r="M8" s="310">
        <v>2000000</v>
      </c>
      <c r="N8" s="310">
        <v>2000000</v>
      </c>
    </row>
    <row r="9" spans="1:23" ht="18.75" thickBot="1">
      <c r="A9" s="99" t="s">
        <v>88</v>
      </c>
      <c r="B9" s="311">
        <f t="shared" ref="B9:N9" si="1">SUM(B6:B8)</f>
        <v>96345000</v>
      </c>
      <c r="C9" s="311">
        <f t="shared" ref="C9:D9" si="2">SUM(C6:C8)</f>
        <v>90345000</v>
      </c>
      <c r="D9" s="311">
        <f t="shared" si="2"/>
        <v>96345000</v>
      </c>
      <c r="E9" s="311">
        <f t="shared" si="1"/>
        <v>77000000</v>
      </c>
      <c r="F9" s="311">
        <f t="shared" si="1"/>
        <v>77000000</v>
      </c>
      <c r="G9" s="311">
        <f t="shared" si="1"/>
        <v>77000000</v>
      </c>
      <c r="H9" s="311">
        <f t="shared" si="1"/>
        <v>77000000</v>
      </c>
      <c r="I9" s="311">
        <f t="shared" si="1"/>
        <v>77000000</v>
      </c>
      <c r="J9" s="311">
        <f t="shared" si="1"/>
        <v>77000000</v>
      </c>
      <c r="K9" s="311">
        <f t="shared" si="1"/>
        <v>77000000</v>
      </c>
      <c r="L9" s="311">
        <f t="shared" si="1"/>
        <v>77000000</v>
      </c>
      <c r="M9" s="311">
        <f t="shared" si="1"/>
        <v>77000000</v>
      </c>
      <c r="N9" s="311">
        <f t="shared" si="1"/>
        <v>77000000</v>
      </c>
    </row>
    <row r="10" spans="1:23" ht="228" thickBot="1">
      <c r="A10" s="100" t="s">
        <v>89</v>
      </c>
      <c r="B10" s="312">
        <v>1900000</v>
      </c>
      <c r="C10" s="312">
        <v>1900000</v>
      </c>
      <c r="D10" s="312">
        <v>1900000</v>
      </c>
      <c r="E10" s="312">
        <v>1800000</v>
      </c>
      <c r="F10" s="312">
        <v>1750000</v>
      </c>
      <c r="G10" s="312">
        <v>1700000</v>
      </c>
      <c r="H10" s="312">
        <v>1650000</v>
      </c>
      <c r="I10" s="312">
        <v>1600000</v>
      </c>
      <c r="J10" s="312">
        <v>1550000</v>
      </c>
      <c r="K10" s="312">
        <v>1500000</v>
      </c>
      <c r="L10" s="312">
        <v>1450000</v>
      </c>
      <c r="M10" s="312">
        <v>1400000</v>
      </c>
      <c r="N10" s="312">
        <v>1350000</v>
      </c>
    </row>
    <row r="13" spans="1:23" ht="13.5" thickBot="1">
      <c r="C13" s="360"/>
      <c r="D13" s="360"/>
      <c r="E13" s="360"/>
      <c r="F13" s="360"/>
      <c r="G13" s="360"/>
      <c r="H13" s="360"/>
    </row>
    <row r="14" spans="1:23" ht="15.75">
      <c r="A14" s="719" t="s">
        <v>71</v>
      </c>
      <c r="B14" s="305"/>
      <c r="C14" s="305"/>
      <c r="D14" s="305"/>
      <c r="E14" s="305"/>
      <c r="F14" s="305"/>
      <c r="G14" s="305"/>
      <c r="H14" s="305"/>
      <c r="I14" s="305"/>
      <c r="J14" s="721" t="s">
        <v>72</v>
      </c>
    </row>
    <row r="15" spans="1:23" ht="16.5" thickBot="1">
      <c r="A15" s="720"/>
      <c r="B15" s="306" t="s">
        <v>83</v>
      </c>
      <c r="C15" s="306" t="s">
        <v>84</v>
      </c>
      <c r="D15" s="306" t="s">
        <v>85</v>
      </c>
      <c r="E15" s="306" t="s">
        <v>307</v>
      </c>
      <c r="F15" s="306" t="s">
        <v>322</v>
      </c>
      <c r="G15" s="306" t="s">
        <v>355</v>
      </c>
      <c r="H15" s="306" t="s">
        <v>525</v>
      </c>
      <c r="I15" s="306" t="s">
        <v>592</v>
      </c>
      <c r="J15" s="722"/>
    </row>
    <row r="16" spans="1:23" ht="36">
      <c r="A16" s="96" t="s">
        <v>86</v>
      </c>
      <c r="B16" s="307">
        <v>60000000</v>
      </c>
      <c r="C16" s="307">
        <v>60000000</v>
      </c>
      <c r="D16" s="307">
        <v>60000000</v>
      </c>
      <c r="E16" s="307">
        <v>60000000</v>
      </c>
      <c r="F16" s="307">
        <v>60000000</v>
      </c>
      <c r="G16" s="307">
        <v>60000000</v>
      </c>
      <c r="H16" s="307">
        <v>60000000</v>
      </c>
      <c r="I16" s="307">
        <v>60000000</v>
      </c>
      <c r="J16" s="308">
        <f>+B6+D6+E6+F6+G6+H6+I6+K6+L6+M6+N6+B16+C16+D16+E16+F16+G16+H16+I16</f>
        <v>1167000000</v>
      </c>
    </row>
    <row r="17" spans="1:10" ht="54">
      <c r="A17" s="97" t="s">
        <v>308</v>
      </c>
      <c r="B17" s="309">
        <v>15000000</v>
      </c>
      <c r="C17" s="309">
        <v>15000000</v>
      </c>
      <c r="D17" s="309">
        <v>15000000</v>
      </c>
      <c r="E17" s="309">
        <v>15000000</v>
      </c>
      <c r="F17" s="309">
        <v>15000000</v>
      </c>
      <c r="G17" s="309">
        <v>15000000</v>
      </c>
      <c r="H17" s="309">
        <v>15000000</v>
      </c>
      <c r="I17" s="309">
        <v>15000000</v>
      </c>
      <c r="J17" s="308">
        <f t="shared" ref="J17:J20" si="3">+B7+D7+E7+F7+G7+H7+I7+K7+L7+M7+N7+B17+C17+D17+E17+F17+G17+H17+I17</f>
        <v>289290000</v>
      </c>
    </row>
    <row r="18" spans="1:10" ht="36.75" thickBot="1">
      <c r="A18" s="98" t="s">
        <v>87</v>
      </c>
      <c r="B18" s="310">
        <v>2000000</v>
      </c>
      <c r="C18" s="310">
        <v>2000000</v>
      </c>
      <c r="D18" s="310">
        <v>2000000</v>
      </c>
      <c r="E18" s="310">
        <v>2000000</v>
      </c>
      <c r="F18" s="310">
        <v>2000000</v>
      </c>
      <c r="G18" s="310">
        <v>2000000</v>
      </c>
      <c r="H18" s="310">
        <v>2000000</v>
      </c>
      <c r="I18" s="310">
        <v>2000000</v>
      </c>
      <c r="J18" s="308">
        <f t="shared" si="3"/>
        <v>45400000</v>
      </c>
    </row>
    <row r="19" spans="1:10" ht="18.75" thickBot="1">
      <c r="A19" s="99" t="s">
        <v>88</v>
      </c>
      <c r="B19" s="311">
        <f t="shared" ref="B19:H19" si="4">SUM(B16:B18)</f>
        <v>77000000</v>
      </c>
      <c r="C19" s="311">
        <f t="shared" si="4"/>
        <v>77000000</v>
      </c>
      <c r="D19" s="311">
        <f t="shared" si="4"/>
        <v>77000000</v>
      </c>
      <c r="E19" s="311">
        <f t="shared" si="4"/>
        <v>77000000</v>
      </c>
      <c r="F19" s="311">
        <f t="shared" si="4"/>
        <v>77000000</v>
      </c>
      <c r="G19" s="311">
        <f t="shared" si="4"/>
        <v>77000000</v>
      </c>
      <c r="H19" s="311">
        <f t="shared" si="4"/>
        <v>77000000</v>
      </c>
      <c r="I19" s="311">
        <f t="shared" ref="I19" si="5">SUM(I16:I18)</f>
        <v>77000000</v>
      </c>
      <c r="J19" s="308">
        <f t="shared" si="3"/>
        <v>1501690000</v>
      </c>
    </row>
    <row r="20" spans="1:10" ht="228" thickBot="1">
      <c r="A20" s="100" t="s">
        <v>89</v>
      </c>
      <c r="B20" s="312">
        <v>1300000</v>
      </c>
      <c r="C20" s="312">
        <v>1250000</v>
      </c>
      <c r="D20" s="312">
        <v>1200000</v>
      </c>
      <c r="E20" s="312">
        <v>1150000</v>
      </c>
      <c r="F20" s="312">
        <v>1100000</v>
      </c>
      <c r="G20" s="312">
        <v>1050000</v>
      </c>
      <c r="H20" s="312">
        <v>1000000</v>
      </c>
      <c r="I20" s="312">
        <f>+H20-50000</f>
        <v>950000</v>
      </c>
      <c r="J20" s="308">
        <f t="shared" si="3"/>
        <v>27000000</v>
      </c>
    </row>
  </sheetData>
  <mergeCells count="5">
    <mergeCell ref="A4:A5"/>
    <mergeCell ref="J14:J15"/>
    <mergeCell ref="A14:A15"/>
    <mergeCell ref="A2:N2"/>
    <mergeCell ref="A1:N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3" fitToHeight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8"/>
  <sheetViews>
    <sheetView topLeftCell="A7" zoomScaleNormal="100" workbookViewId="0">
      <selection activeCell="C32" sqref="C32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25" t="s">
        <v>535</v>
      </c>
      <c r="B1" s="725"/>
      <c r="C1" s="725"/>
      <c r="D1" s="725"/>
      <c r="E1" s="725"/>
      <c r="F1" s="725"/>
      <c r="G1" s="725"/>
      <c r="H1" s="444"/>
      <c r="I1" s="444"/>
      <c r="J1" s="444"/>
      <c r="K1" s="127"/>
    </row>
    <row r="2" spans="1:11" ht="15.75">
      <c r="A2" s="727" t="s">
        <v>63</v>
      </c>
      <c r="B2" s="727"/>
      <c r="C2" s="727"/>
      <c r="D2" s="727"/>
      <c r="E2" s="727"/>
      <c r="F2" s="727"/>
      <c r="G2" s="727"/>
      <c r="H2" s="128"/>
      <c r="I2" s="128"/>
      <c r="J2" s="128"/>
      <c r="K2" s="127"/>
    </row>
    <row r="3" spans="1:11">
      <c r="A3" s="727"/>
      <c r="B3" s="727"/>
      <c r="C3" s="727"/>
      <c r="D3" s="727"/>
      <c r="E3" s="727"/>
      <c r="F3" s="727"/>
      <c r="G3" s="727"/>
      <c r="H3" s="524"/>
      <c r="I3" s="524"/>
      <c r="J3" s="524"/>
    </row>
    <row r="4" spans="1:11" ht="41.45" customHeight="1">
      <c r="A4" s="726" t="s">
        <v>91</v>
      </c>
      <c r="B4" s="726"/>
      <c r="C4" s="726"/>
      <c r="D4" s="726"/>
      <c r="E4" s="726"/>
      <c r="F4" s="726"/>
      <c r="G4" s="726"/>
      <c r="H4" s="523"/>
      <c r="I4" s="523"/>
      <c r="J4" s="523"/>
    </row>
    <row r="7" spans="1:11" ht="24" customHeight="1">
      <c r="A7" s="728" t="s">
        <v>460</v>
      </c>
      <c r="B7" s="728"/>
      <c r="C7" s="728"/>
      <c r="D7" s="728"/>
      <c r="E7" s="728"/>
      <c r="F7" s="728"/>
      <c r="G7" s="728"/>
      <c r="H7" s="525"/>
      <c r="I7" s="525"/>
      <c r="J7" s="525"/>
    </row>
    <row r="9" spans="1:11" ht="30">
      <c r="A9" s="508" t="s">
        <v>464</v>
      </c>
      <c r="B9" s="509">
        <v>2019</v>
      </c>
      <c r="C9" s="509">
        <v>2020</v>
      </c>
      <c r="D9" s="509">
        <v>2021</v>
      </c>
      <c r="E9" s="509">
        <v>2022</v>
      </c>
      <c r="F9" s="509" t="s">
        <v>88</v>
      </c>
    </row>
    <row r="10" spans="1:11" s="512" customFormat="1" ht="21.75" customHeight="1">
      <c r="A10" s="510" t="s">
        <v>461</v>
      </c>
      <c r="B10" s="511">
        <f>+((C19+C20+C21+C22+C23+C24+C25+C26)/127)*100</f>
        <v>1001484.2519685038</v>
      </c>
      <c r="C10" s="511">
        <f>((+C31+C32+C33+C34+C35+C36+C37+C38+C39+C40+C41+C42)/127)*100</f>
        <v>545951.18110236223</v>
      </c>
      <c r="D10" s="511">
        <f>((C39+C40+C41+C42+C43+C44+C45+C46+C47+C48+C49+C50)/127)*100+1</f>
        <v>563832.49606299214</v>
      </c>
      <c r="E10" s="511">
        <f>((C51+C52+C53+C54+C55)/127)*100</f>
        <v>243060.62992125985</v>
      </c>
      <c r="F10" s="517">
        <f>E10+D10+C10+B10</f>
        <v>2354328.5590551179</v>
      </c>
    </row>
    <row r="11" spans="1:11" s="512" customFormat="1" ht="21.75" customHeight="1">
      <c r="A11" s="510" t="s">
        <v>463</v>
      </c>
      <c r="B11" s="511">
        <f>+B10*0.27</f>
        <v>270400.74803149607</v>
      </c>
      <c r="C11" s="511">
        <f>+C10*0.27</f>
        <v>147406.8188976378</v>
      </c>
      <c r="D11" s="511">
        <f>+D10*0.27</f>
        <v>152234.77393700788</v>
      </c>
      <c r="E11" s="511">
        <f>+E10*0.27</f>
        <v>65626.370078740161</v>
      </c>
      <c r="F11" s="517">
        <f t="shared" ref="F11:F13" si="0">E11+D11+C11+B11</f>
        <v>635668.7109448819</v>
      </c>
    </row>
    <row r="12" spans="1:11" s="512" customFormat="1" ht="21.75" customHeight="1">
      <c r="A12" s="510" t="s">
        <v>462</v>
      </c>
      <c r="B12" s="511">
        <f>+D20+D21+D22+D23+D24+D25+D26</f>
        <v>59237</v>
      </c>
      <c r="C12" s="511">
        <f>+D31+D32+D33+D34+D35+D36+D37+D38+D39+D40+D41+D42</f>
        <v>56508</v>
      </c>
      <c r="D12" s="511">
        <f>+D39+D40+D41+D42+D43+D44+D45+D46+D47+D48+D49+D50</f>
        <v>33798</v>
      </c>
      <c r="E12" s="511">
        <f>+D51+D52+D53+D54+D55</f>
        <v>3760</v>
      </c>
      <c r="F12" s="517">
        <f t="shared" si="0"/>
        <v>153303</v>
      </c>
    </row>
    <row r="13" spans="1:11" s="512" customFormat="1" ht="21.75" customHeight="1">
      <c r="A13" s="510" t="s">
        <v>72</v>
      </c>
      <c r="B13" s="511">
        <f>+B10+B11+B12</f>
        <v>1331122</v>
      </c>
      <c r="C13" s="511">
        <f t="shared" ref="C13" si="1">+C10+C11+C12</f>
        <v>749866</v>
      </c>
      <c r="D13" s="511">
        <f>+D10+D11+D12</f>
        <v>749865.27</v>
      </c>
      <c r="E13" s="511">
        <f>+E10+E11+E12</f>
        <v>312447</v>
      </c>
      <c r="F13" s="517">
        <f t="shared" si="0"/>
        <v>3143300.27</v>
      </c>
    </row>
    <row r="14" spans="1:11">
      <c r="B14" s="609"/>
      <c r="C14" s="609"/>
      <c r="D14" s="609"/>
      <c r="E14" s="609"/>
      <c r="F14" s="506"/>
      <c r="G14" s="506"/>
    </row>
    <row r="15" spans="1:11">
      <c r="B15" s="609"/>
      <c r="G15" s="506"/>
    </row>
    <row r="16" spans="1:11" ht="22.5" customHeight="1">
      <c r="A16" s="724" t="s">
        <v>465</v>
      </c>
      <c r="B16" s="724"/>
      <c r="C16" s="724"/>
      <c r="D16" s="724"/>
      <c r="E16" s="724"/>
      <c r="F16" s="724"/>
      <c r="G16" s="724"/>
    </row>
    <row r="18" spans="2:6" ht="27.75" customHeight="1">
      <c r="B18" s="509" t="s">
        <v>466</v>
      </c>
      <c r="C18" s="509" t="s">
        <v>467</v>
      </c>
      <c r="D18" s="509" t="s">
        <v>469</v>
      </c>
      <c r="E18" s="509" t="s">
        <v>468</v>
      </c>
      <c r="F18" s="587"/>
    </row>
    <row r="19" spans="2:6" ht="27.75" customHeight="1">
      <c r="B19" s="516" t="s">
        <v>471</v>
      </c>
      <c r="C19" s="511">
        <v>893700</v>
      </c>
      <c r="D19" s="509">
        <v>0</v>
      </c>
      <c r="E19" s="511">
        <f>+C19+D19</f>
        <v>893700</v>
      </c>
      <c r="F19" s="588"/>
    </row>
    <row r="20" spans="2:6">
      <c r="B20" s="513">
        <v>43633</v>
      </c>
      <c r="C20" s="507">
        <v>48965</v>
      </c>
      <c r="D20" s="507">
        <v>13524</v>
      </c>
      <c r="E20" s="507">
        <f>+C20+D20</f>
        <v>62489</v>
      </c>
      <c r="F20" s="589"/>
    </row>
    <row r="21" spans="2:6">
      <c r="B21" s="513">
        <v>43661</v>
      </c>
      <c r="C21" s="507">
        <v>54943</v>
      </c>
      <c r="D21" s="507">
        <v>7546</v>
      </c>
      <c r="E21" s="507">
        <f t="shared" ref="E21:E55" si="2">+C21+D21</f>
        <v>62489</v>
      </c>
      <c r="F21" s="589"/>
    </row>
    <row r="22" spans="2:6">
      <c r="B22" s="513">
        <v>43692</v>
      </c>
      <c r="C22" s="507">
        <v>54359</v>
      </c>
      <c r="D22" s="507">
        <v>8129</v>
      </c>
      <c r="E22" s="507">
        <f t="shared" si="2"/>
        <v>62488</v>
      </c>
      <c r="F22" s="589"/>
    </row>
    <row r="23" spans="2:6">
      <c r="B23" s="513">
        <v>43724</v>
      </c>
      <c r="C23" s="507">
        <v>54327</v>
      </c>
      <c r="D23" s="507">
        <v>8162</v>
      </c>
      <c r="E23" s="507">
        <f t="shared" si="2"/>
        <v>62489</v>
      </c>
      <c r="F23" s="589"/>
    </row>
    <row r="24" spans="2:6">
      <c r="B24" s="513">
        <v>43753</v>
      </c>
      <c r="C24" s="507">
        <v>55301</v>
      </c>
      <c r="D24" s="507">
        <v>7188</v>
      </c>
      <c r="E24" s="507">
        <f t="shared" si="2"/>
        <v>62489</v>
      </c>
      <c r="F24" s="589"/>
    </row>
    <row r="25" spans="2:6">
      <c r="B25" s="513">
        <v>43784</v>
      </c>
      <c r="C25" s="507">
        <v>55032</v>
      </c>
      <c r="D25" s="507">
        <v>7457</v>
      </c>
      <c r="E25" s="507">
        <f t="shared" si="2"/>
        <v>62489</v>
      </c>
      <c r="F25" s="589"/>
    </row>
    <row r="26" spans="2:6">
      <c r="B26" s="513">
        <v>43815</v>
      </c>
      <c r="C26" s="507">
        <v>55258</v>
      </c>
      <c r="D26" s="507">
        <v>7231</v>
      </c>
      <c r="E26" s="507">
        <f t="shared" si="2"/>
        <v>62489</v>
      </c>
      <c r="F26" s="589"/>
    </row>
    <row r="27" spans="2:6">
      <c r="B27" s="513">
        <v>43845</v>
      </c>
      <c r="C27" s="507">
        <v>55711</v>
      </c>
      <c r="D27" s="507">
        <v>6778</v>
      </c>
      <c r="E27" s="507">
        <f t="shared" si="2"/>
        <v>62489</v>
      </c>
      <c r="F27" s="589"/>
    </row>
    <row r="28" spans="2:6">
      <c r="B28" s="513">
        <v>43878</v>
      </c>
      <c r="C28" s="507">
        <v>55276</v>
      </c>
      <c r="D28" s="507">
        <v>7213</v>
      </c>
      <c r="E28" s="507">
        <f t="shared" si="2"/>
        <v>62489</v>
      </c>
      <c r="F28" s="589"/>
    </row>
    <row r="29" spans="2:6">
      <c r="B29" s="513">
        <v>43906</v>
      </c>
      <c r="C29" s="507">
        <v>56574</v>
      </c>
      <c r="D29" s="507">
        <v>5915</v>
      </c>
      <c r="E29" s="507">
        <f t="shared" si="2"/>
        <v>62489</v>
      </c>
      <c r="F29" s="589"/>
    </row>
    <row r="30" spans="2:6">
      <c r="B30" s="513">
        <v>43936</v>
      </c>
      <c r="C30" s="507">
        <v>56376</v>
      </c>
      <c r="D30" s="507">
        <v>6113</v>
      </c>
      <c r="E30" s="507">
        <f t="shared" si="2"/>
        <v>62489</v>
      </c>
      <c r="F30" s="589"/>
    </row>
    <row r="31" spans="2:6">
      <c r="B31" s="513">
        <v>43966</v>
      </c>
      <c r="C31" s="507">
        <v>56600</v>
      </c>
      <c r="D31" s="507">
        <v>5889</v>
      </c>
      <c r="E31" s="507">
        <f t="shared" si="2"/>
        <v>62489</v>
      </c>
      <c r="F31" s="589"/>
    </row>
    <row r="32" spans="2:6">
      <c r="B32" s="513">
        <v>43997</v>
      </c>
      <c r="C32" s="507">
        <v>56636</v>
      </c>
      <c r="D32" s="507">
        <v>5853</v>
      </c>
      <c r="E32" s="507">
        <f t="shared" si="2"/>
        <v>62489</v>
      </c>
      <c r="F32" s="589"/>
    </row>
    <row r="33" spans="2:6">
      <c r="B33" s="513">
        <v>44027</v>
      </c>
      <c r="C33" s="507">
        <v>57049</v>
      </c>
      <c r="D33" s="507">
        <v>5439</v>
      </c>
      <c r="E33" s="507">
        <f t="shared" si="2"/>
        <v>62488</v>
      </c>
      <c r="F33" s="589"/>
    </row>
    <row r="34" spans="2:6">
      <c r="B34" s="513">
        <v>44060</v>
      </c>
      <c r="C34" s="507">
        <v>56755</v>
      </c>
      <c r="D34" s="507">
        <v>5734</v>
      </c>
      <c r="E34" s="507">
        <f t="shared" si="2"/>
        <v>62489</v>
      </c>
      <c r="F34" s="589"/>
    </row>
    <row r="35" spans="2:6">
      <c r="B35" s="513">
        <v>44089</v>
      </c>
      <c r="C35" s="507">
        <v>57668</v>
      </c>
      <c r="D35" s="507">
        <v>4821</v>
      </c>
      <c r="E35" s="507">
        <f t="shared" si="2"/>
        <v>62489</v>
      </c>
      <c r="F35" s="589"/>
    </row>
    <row r="36" spans="2:6">
      <c r="B36" s="513">
        <v>44119</v>
      </c>
      <c r="C36" s="507">
        <v>57730</v>
      </c>
      <c r="D36" s="507">
        <v>4759</v>
      </c>
      <c r="E36" s="507">
        <f t="shared" si="2"/>
        <v>62489</v>
      </c>
      <c r="F36" s="589"/>
    </row>
    <row r="37" spans="2:6">
      <c r="B37" s="513">
        <v>44151</v>
      </c>
      <c r="C37" s="507">
        <v>57658</v>
      </c>
      <c r="D37" s="507">
        <v>4831</v>
      </c>
      <c r="E37" s="507">
        <f t="shared" si="2"/>
        <v>62489</v>
      </c>
      <c r="F37" s="589"/>
    </row>
    <row r="38" spans="2:6">
      <c r="B38" s="513">
        <v>44180</v>
      </c>
      <c r="C38" s="507">
        <v>58332</v>
      </c>
      <c r="D38" s="507">
        <v>4157</v>
      </c>
      <c r="E38" s="507">
        <f t="shared" si="2"/>
        <v>62489</v>
      </c>
      <c r="F38" s="589"/>
    </row>
    <row r="39" spans="2:6">
      <c r="B39" s="513">
        <v>44211</v>
      </c>
      <c r="C39" s="507">
        <v>58284</v>
      </c>
      <c r="D39" s="507">
        <v>4204</v>
      </c>
      <c r="E39" s="507">
        <f t="shared" si="2"/>
        <v>62488</v>
      </c>
      <c r="F39" s="589"/>
    </row>
    <row r="40" spans="2:6">
      <c r="B40" s="513">
        <v>44242</v>
      </c>
      <c r="C40" s="507">
        <v>58524</v>
      </c>
      <c r="D40" s="507">
        <v>3965</v>
      </c>
      <c r="E40" s="507">
        <f t="shared" si="2"/>
        <v>62489</v>
      </c>
      <c r="F40" s="589"/>
    </row>
    <row r="41" spans="2:6">
      <c r="B41" s="513">
        <v>44271</v>
      </c>
      <c r="C41" s="507">
        <v>59004</v>
      </c>
      <c r="D41" s="507">
        <v>3485</v>
      </c>
      <c r="E41" s="507">
        <f t="shared" si="2"/>
        <v>62489</v>
      </c>
      <c r="F41" s="589"/>
    </row>
    <row r="42" spans="2:6">
      <c r="B42" s="513">
        <v>44301</v>
      </c>
      <c r="C42" s="507">
        <v>59118</v>
      </c>
      <c r="D42" s="507">
        <v>3371</v>
      </c>
      <c r="E42" s="507">
        <f t="shared" si="2"/>
        <v>62489</v>
      </c>
      <c r="F42" s="589"/>
    </row>
    <row r="43" spans="2:6">
      <c r="B43" s="513">
        <v>44333</v>
      </c>
      <c r="C43" s="507">
        <v>59144</v>
      </c>
      <c r="D43" s="507">
        <v>3345</v>
      </c>
      <c r="E43" s="507">
        <f t="shared" si="2"/>
        <v>62489</v>
      </c>
      <c r="F43" s="589"/>
    </row>
    <row r="44" spans="2:6">
      <c r="B44" s="513">
        <v>44362</v>
      </c>
      <c r="C44" s="507">
        <v>59684</v>
      </c>
      <c r="D44" s="507">
        <v>2804</v>
      </c>
      <c r="E44" s="507">
        <f t="shared" si="2"/>
        <v>62488</v>
      </c>
      <c r="F44" s="589"/>
    </row>
    <row r="45" spans="2:6">
      <c r="B45" s="513">
        <v>44392</v>
      </c>
      <c r="C45" s="507">
        <v>59825</v>
      </c>
      <c r="D45" s="507">
        <v>2664</v>
      </c>
      <c r="E45" s="507">
        <f t="shared" si="2"/>
        <v>62489</v>
      </c>
      <c r="F45" s="589"/>
    </row>
    <row r="46" spans="2:6">
      <c r="B46" s="513">
        <v>44424</v>
      </c>
      <c r="C46" s="507">
        <v>59900</v>
      </c>
      <c r="D46" s="507">
        <v>2588</v>
      </c>
      <c r="E46" s="507">
        <f t="shared" si="2"/>
        <v>62488</v>
      </c>
      <c r="F46" s="589"/>
    </row>
    <row r="47" spans="2:6">
      <c r="B47" s="513">
        <v>44454</v>
      </c>
      <c r="C47" s="507">
        <v>60300</v>
      </c>
      <c r="D47" s="507">
        <v>2189</v>
      </c>
      <c r="E47" s="507">
        <f t="shared" si="2"/>
        <v>62489</v>
      </c>
      <c r="F47" s="589"/>
    </row>
    <row r="48" spans="2:6">
      <c r="B48" s="513">
        <v>44484</v>
      </c>
      <c r="C48" s="507">
        <v>60539</v>
      </c>
      <c r="D48" s="507">
        <v>1949</v>
      </c>
      <c r="E48" s="507">
        <f t="shared" si="2"/>
        <v>62488</v>
      </c>
      <c r="F48" s="589"/>
    </row>
    <row r="49" spans="2:6">
      <c r="B49" s="513">
        <v>44515</v>
      </c>
      <c r="C49" s="507">
        <v>60723</v>
      </c>
      <c r="D49" s="507">
        <v>1766</v>
      </c>
      <c r="E49" s="507">
        <f t="shared" si="2"/>
        <v>62489</v>
      </c>
      <c r="F49" s="589"/>
    </row>
    <row r="50" spans="2:6">
      <c r="B50" s="513">
        <v>44545</v>
      </c>
      <c r="C50" s="507">
        <v>61021</v>
      </c>
      <c r="D50" s="507">
        <v>1468</v>
      </c>
      <c r="E50" s="507">
        <f t="shared" si="2"/>
        <v>62489</v>
      </c>
      <c r="F50" s="589"/>
    </row>
    <row r="51" spans="2:6">
      <c r="B51" s="513">
        <v>44576</v>
      </c>
      <c r="C51" s="507">
        <v>61141</v>
      </c>
      <c r="D51" s="507">
        <v>1348</v>
      </c>
      <c r="E51" s="507">
        <f t="shared" si="2"/>
        <v>62489</v>
      </c>
      <c r="F51" s="589"/>
    </row>
    <row r="52" spans="2:6">
      <c r="B52" s="513">
        <v>44607</v>
      </c>
      <c r="C52" s="507">
        <v>61539</v>
      </c>
      <c r="D52" s="507">
        <v>950</v>
      </c>
      <c r="E52" s="507">
        <f t="shared" si="2"/>
        <v>62489</v>
      </c>
      <c r="F52" s="589"/>
    </row>
    <row r="53" spans="2:6">
      <c r="B53" s="513">
        <v>44636</v>
      </c>
      <c r="C53" s="507">
        <v>61775</v>
      </c>
      <c r="D53" s="507">
        <v>714</v>
      </c>
      <c r="E53" s="507">
        <f t="shared" si="2"/>
        <v>62489</v>
      </c>
      <c r="F53" s="589"/>
    </row>
    <row r="54" spans="2:6">
      <c r="B54" s="513">
        <v>44666</v>
      </c>
      <c r="C54" s="507">
        <v>61996</v>
      </c>
      <c r="D54" s="507">
        <v>493</v>
      </c>
      <c r="E54" s="507">
        <f t="shared" si="2"/>
        <v>62489</v>
      </c>
      <c r="F54" s="589"/>
    </row>
    <row r="55" spans="2:6">
      <c r="B55" s="513">
        <v>44697</v>
      </c>
      <c r="C55" s="507">
        <f>62234+2</f>
        <v>62236</v>
      </c>
      <c r="D55" s="507">
        <v>255</v>
      </c>
      <c r="E55" s="507">
        <f t="shared" si="2"/>
        <v>62491</v>
      </c>
      <c r="F55" s="589"/>
    </row>
    <row r="56" spans="2:6" ht="30.75" customHeight="1">
      <c r="B56" s="514" t="s">
        <v>470</v>
      </c>
      <c r="C56" s="515">
        <f>SUM(C19:C55)</f>
        <v>2979003</v>
      </c>
      <c r="D56" s="515">
        <f>SUM(D19:D55)</f>
        <v>164297</v>
      </c>
      <c r="E56" s="515">
        <f>SUM(E19:E55)</f>
        <v>3143300</v>
      </c>
      <c r="F56" s="590"/>
    </row>
    <row r="58" spans="2:6">
      <c r="C58" s="506"/>
      <c r="D58" s="608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AG24"/>
  <sheetViews>
    <sheetView zoomScale="80" zoomScaleNormal="80" zoomScaleSheetLayoutView="80" workbookViewId="0">
      <pane xSplit="1" ySplit="1" topLeftCell="B2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RowHeight="15.75"/>
  <cols>
    <col min="1" max="1" width="36.85546875" style="111" customWidth="1"/>
    <col min="2" max="12" width="20.28515625" style="111" customWidth="1"/>
    <col min="13" max="13" width="20.28515625" style="125" customWidth="1"/>
    <col min="14" max="14" width="20.28515625" style="126" customWidth="1"/>
    <col min="15" max="15" width="16.5703125" style="126" customWidth="1"/>
    <col min="16" max="16" width="17.7109375" style="106" customWidth="1"/>
    <col min="17" max="17" width="16.42578125" style="106" customWidth="1"/>
    <col min="18" max="19" width="16.42578125" style="107" customWidth="1"/>
    <col min="20" max="21" width="16.42578125" style="106" customWidth="1"/>
    <col min="22" max="22" width="15" style="106" customWidth="1"/>
    <col min="23" max="27" width="17" style="106" customWidth="1"/>
    <col min="28" max="28" width="16.85546875" style="106" customWidth="1"/>
    <col min="29" max="29" width="20.28515625" style="106" customWidth="1"/>
    <col min="30" max="30" width="16.85546875" style="106" customWidth="1"/>
    <col min="31" max="31" width="15.28515625" style="106" customWidth="1"/>
    <col min="32" max="33" width="15.85546875" style="106" bestFit="1" customWidth="1"/>
    <col min="34" max="16384" width="9.140625" style="106"/>
  </cols>
  <sheetData>
    <row r="1" spans="1:33">
      <c r="A1" s="731" t="s">
        <v>534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105"/>
      <c r="O1" s="105"/>
    </row>
    <row r="2" spans="1:33" s="109" customFormat="1" ht="28.5" customHeight="1">
      <c r="A2" s="732" t="s">
        <v>482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108"/>
      <c r="O2" s="108"/>
      <c r="R2" s="110"/>
      <c r="S2" s="110"/>
    </row>
    <row r="3" spans="1:33" ht="26.25" customHeight="1" thickBot="1">
      <c r="M3" s="112" t="s">
        <v>317</v>
      </c>
      <c r="N3" s="113"/>
      <c r="O3" s="113"/>
      <c r="AC3" s="627"/>
      <c r="AD3" s="627"/>
    </row>
    <row r="4" spans="1:33" s="116" customFormat="1" ht="24.95" customHeight="1" thickBot="1">
      <c r="A4" s="114"/>
      <c r="B4" s="733" t="s">
        <v>92</v>
      </c>
      <c r="C4" s="734"/>
      <c r="D4" s="733" t="s">
        <v>93</v>
      </c>
      <c r="E4" s="734"/>
      <c r="F4" s="733" t="s">
        <v>94</v>
      </c>
      <c r="G4" s="734"/>
      <c r="H4" s="733" t="s">
        <v>95</v>
      </c>
      <c r="I4" s="734"/>
      <c r="J4" s="733" t="s">
        <v>96</v>
      </c>
      <c r="K4" s="734"/>
      <c r="L4" s="733" t="s">
        <v>97</v>
      </c>
      <c r="M4" s="734"/>
      <c r="N4" s="733" t="s">
        <v>98</v>
      </c>
      <c r="O4" s="734"/>
      <c r="P4" s="733" t="s">
        <v>99</v>
      </c>
      <c r="Q4" s="734"/>
      <c r="R4" s="733" t="s">
        <v>100</v>
      </c>
      <c r="S4" s="734"/>
      <c r="T4" s="733" t="s">
        <v>101</v>
      </c>
      <c r="U4" s="734"/>
      <c r="V4" s="733" t="s">
        <v>102</v>
      </c>
      <c r="W4" s="734"/>
      <c r="X4" s="735" t="s">
        <v>103</v>
      </c>
      <c r="Y4" s="735"/>
      <c r="Z4" s="622" t="s">
        <v>88</v>
      </c>
      <c r="AA4" s="591" t="s">
        <v>88</v>
      </c>
      <c r="AB4" s="729" t="s">
        <v>520</v>
      </c>
      <c r="AC4" s="730"/>
      <c r="AD4" s="730"/>
      <c r="AE4" s="729" t="s">
        <v>659</v>
      </c>
      <c r="AF4" s="730"/>
      <c r="AG4" s="730"/>
    </row>
    <row r="5" spans="1:33" s="116" customFormat="1" ht="45.75" customHeight="1">
      <c r="A5" s="114"/>
      <c r="B5" s="465" t="s">
        <v>370</v>
      </c>
      <c r="C5" s="465" t="s">
        <v>629</v>
      </c>
      <c r="D5" s="465" t="s">
        <v>370</v>
      </c>
      <c r="E5" s="465" t="s">
        <v>629</v>
      </c>
      <c r="F5" s="465" t="s">
        <v>370</v>
      </c>
      <c r="G5" s="465" t="s">
        <v>629</v>
      </c>
      <c r="H5" s="465" t="s">
        <v>370</v>
      </c>
      <c r="I5" s="465" t="s">
        <v>629</v>
      </c>
      <c r="J5" s="465" t="s">
        <v>370</v>
      </c>
      <c r="K5" s="465" t="s">
        <v>629</v>
      </c>
      <c r="L5" s="465" t="s">
        <v>370</v>
      </c>
      <c r="M5" s="465" t="s">
        <v>629</v>
      </c>
      <c r="N5" s="465" t="s">
        <v>370</v>
      </c>
      <c r="O5" s="465" t="s">
        <v>629</v>
      </c>
      <c r="P5" s="465" t="s">
        <v>370</v>
      </c>
      <c r="Q5" s="465" t="s">
        <v>629</v>
      </c>
      <c r="R5" s="465" t="s">
        <v>370</v>
      </c>
      <c r="S5" s="465" t="s">
        <v>629</v>
      </c>
      <c r="T5" s="465" t="s">
        <v>370</v>
      </c>
      <c r="U5" s="465" t="s">
        <v>629</v>
      </c>
      <c r="V5" s="465" t="s">
        <v>370</v>
      </c>
      <c r="W5" s="465" t="s">
        <v>629</v>
      </c>
      <c r="X5" s="465" t="s">
        <v>370</v>
      </c>
      <c r="Y5" s="465" t="s">
        <v>629</v>
      </c>
      <c r="Z5" s="465" t="s">
        <v>370</v>
      </c>
      <c r="AA5" s="465" t="s">
        <v>629</v>
      </c>
      <c r="AB5" s="115"/>
      <c r="AD5" s="117"/>
    </row>
    <row r="6" spans="1:33" ht="24.95" customHeight="1">
      <c r="A6" s="118" t="s">
        <v>115</v>
      </c>
      <c r="B6" s="387">
        <v>30380654</v>
      </c>
      <c r="C6" s="387">
        <f>30380654+2800000</f>
        <v>33180654</v>
      </c>
      <c r="D6" s="387">
        <v>30380654</v>
      </c>
      <c r="E6" s="387">
        <f>30380654+2800000</f>
        <v>33180654</v>
      </c>
      <c r="F6" s="387">
        <v>30380654</v>
      </c>
      <c r="G6" s="387">
        <f>30380654+2800000</f>
        <v>33180654</v>
      </c>
      <c r="H6" s="387">
        <v>30380654</v>
      </c>
      <c r="I6" s="387">
        <f>30380654+2800000</f>
        <v>33180654</v>
      </c>
      <c r="J6" s="387">
        <v>30380654</v>
      </c>
      <c r="K6" s="387">
        <f>30380654+2800000</f>
        <v>33180654</v>
      </c>
      <c r="L6" s="387">
        <v>30380654</v>
      </c>
      <c r="M6" s="387">
        <f>30380654+2800000</f>
        <v>33180654</v>
      </c>
      <c r="N6" s="387">
        <v>30380654</v>
      </c>
      <c r="O6" s="387">
        <f>30380654+2800000</f>
        <v>33180654</v>
      </c>
      <c r="P6" s="387">
        <v>30380654</v>
      </c>
      <c r="Q6" s="387">
        <f>30380654+2800000</f>
        <v>33180654</v>
      </c>
      <c r="R6" s="387">
        <v>30380654</v>
      </c>
      <c r="S6" s="387">
        <f>30380654+2800000</f>
        <v>33180654</v>
      </c>
      <c r="T6" s="387">
        <v>30380654</v>
      </c>
      <c r="U6" s="387">
        <f>30380654+2800000</f>
        <v>33180654</v>
      </c>
      <c r="V6" s="387">
        <v>30380654</v>
      </c>
      <c r="W6" s="387">
        <f>30380654+2800000</f>
        <v>33180654</v>
      </c>
      <c r="X6" s="387">
        <f>30380654+2</f>
        <v>30380656</v>
      </c>
      <c r="Y6" s="387">
        <f>30380654+3953095</f>
        <v>34333749</v>
      </c>
      <c r="Z6" s="388">
        <f t="shared" ref="Z6:AA12" si="0">+X6+V6+T6+R6+P6+N6+L6+J6+H6+F6+D6+B6</f>
        <v>364567850</v>
      </c>
      <c r="AA6" s="388">
        <f t="shared" si="0"/>
        <v>399320943</v>
      </c>
      <c r="AB6" s="119">
        <f>+'5 b.sz.mell.'!F61</f>
        <v>364567850</v>
      </c>
      <c r="AC6" s="386">
        <f>+AB6-Z6</f>
        <v>0</v>
      </c>
      <c r="AD6" s="107">
        <f>+AB6/12</f>
        <v>30380654.166666668</v>
      </c>
      <c r="AE6" s="119">
        <f>+'5 b.sz.mell.'!G61</f>
        <v>399320943</v>
      </c>
      <c r="AF6" s="386">
        <f>+AE6-AA6</f>
        <v>0</v>
      </c>
      <c r="AG6" s="107">
        <f>+AF6/12</f>
        <v>0</v>
      </c>
    </row>
    <row r="7" spans="1:33" ht="24.95" customHeight="1">
      <c r="A7" s="118" t="s">
        <v>104</v>
      </c>
      <c r="B7" s="387">
        <v>6600000</v>
      </c>
      <c r="C7" s="387">
        <f>6600000-500000</f>
        <v>6100000</v>
      </c>
      <c r="D7" s="387">
        <v>6600000</v>
      </c>
      <c r="E7" s="387">
        <f>6600000-500000</f>
        <v>6100000</v>
      </c>
      <c r="F7" s="387">
        <v>6600000</v>
      </c>
      <c r="G7" s="387">
        <f>6600000-500000</f>
        <v>6100000</v>
      </c>
      <c r="H7" s="387">
        <v>6600000</v>
      </c>
      <c r="I7" s="387">
        <f>6600000-500000</f>
        <v>6100000</v>
      </c>
      <c r="J7" s="387">
        <v>6600000</v>
      </c>
      <c r="K7" s="387">
        <f>6600000-500000</f>
        <v>6100000</v>
      </c>
      <c r="L7" s="387">
        <v>6600000</v>
      </c>
      <c r="M7" s="387">
        <f>6600000-500000</f>
        <v>6100000</v>
      </c>
      <c r="N7" s="387">
        <v>6600000</v>
      </c>
      <c r="O7" s="387">
        <f>6600000-500000</f>
        <v>6100000</v>
      </c>
      <c r="P7" s="387">
        <v>6600000</v>
      </c>
      <c r="Q7" s="387">
        <f>6600000-500000</f>
        <v>6100000</v>
      </c>
      <c r="R7" s="387">
        <v>6600000</v>
      </c>
      <c r="S7" s="387">
        <f>6600000-500000</f>
        <v>6100000</v>
      </c>
      <c r="T7" s="387">
        <v>6600000</v>
      </c>
      <c r="U7" s="387">
        <f>6600000-500000</f>
        <v>6100000</v>
      </c>
      <c r="V7" s="387">
        <v>6600000</v>
      </c>
      <c r="W7" s="387">
        <f>6600000-500000</f>
        <v>6100000</v>
      </c>
      <c r="X7" s="387">
        <f>70000+6600000</f>
        <v>6670000</v>
      </c>
      <c r="Y7" s="387">
        <f>6600000-500000+70000</f>
        <v>6170000</v>
      </c>
      <c r="Z7" s="388">
        <f t="shared" si="0"/>
        <v>79270000</v>
      </c>
      <c r="AA7" s="388">
        <f t="shared" si="0"/>
        <v>73270000</v>
      </c>
      <c r="AB7" s="119">
        <f>+'5 b.sz.mell.'!N61</f>
        <v>79270000</v>
      </c>
      <c r="AC7" s="120">
        <f t="shared" ref="AC7:AC12" si="1">+AB7-Z7</f>
        <v>0</v>
      </c>
      <c r="AD7" s="107">
        <f>+AB7/12</f>
        <v>6605833.333333333</v>
      </c>
      <c r="AE7" s="119">
        <f>+'5 b.sz.mell.'!O61</f>
        <v>73270000</v>
      </c>
      <c r="AF7" s="386">
        <f t="shared" ref="AF7:AF23" si="2">+AE7-AA7</f>
        <v>0</v>
      </c>
      <c r="AG7" s="107">
        <f t="shared" ref="AG7:AG23" si="3">+AF7/12</f>
        <v>0</v>
      </c>
    </row>
    <row r="8" spans="1:33" ht="24.95" customHeight="1">
      <c r="A8" s="118" t="s">
        <v>105</v>
      </c>
      <c r="B8" s="387">
        <v>4620000</v>
      </c>
      <c r="C8" s="387">
        <v>4620000</v>
      </c>
      <c r="D8" s="387">
        <v>4620000</v>
      </c>
      <c r="E8" s="387">
        <v>4620000</v>
      </c>
      <c r="F8" s="387">
        <v>4620000</v>
      </c>
      <c r="G8" s="387">
        <v>4620000</v>
      </c>
      <c r="H8" s="387">
        <v>4620000</v>
      </c>
      <c r="I8" s="387">
        <v>4620000</v>
      </c>
      <c r="J8" s="387">
        <v>4620000</v>
      </c>
      <c r="K8" s="387">
        <v>4620000</v>
      </c>
      <c r="L8" s="387">
        <v>4620000</v>
      </c>
      <c r="M8" s="387">
        <v>4620000</v>
      </c>
      <c r="N8" s="387">
        <v>4620000</v>
      </c>
      <c r="O8" s="387">
        <v>4620000</v>
      </c>
      <c r="P8" s="387">
        <v>4620000</v>
      </c>
      <c r="Q8" s="387">
        <v>4620000</v>
      </c>
      <c r="R8" s="387">
        <v>4620000</v>
      </c>
      <c r="S8" s="387">
        <v>4620000</v>
      </c>
      <c r="T8" s="387">
        <v>4620000</v>
      </c>
      <c r="U8" s="387">
        <v>4620000</v>
      </c>
      <c r="V8" s="387">
        <v>4620000</v>
      </c>
      <c r="W8" s="387">
        <v>4620000</v>
      </c>
      <c r="X8" s="387">
        <f>10000+4620000</f>
        <v>4630000</v>
      </c>
      <c r="Y8" s="387">
        <f>10000+4620000</f>
        <v>4630000</v>
      </c>
      <c r="Z8" s="388">
        <f t="shared" si="0"/>
        <v>55450000</v>
      </c>
      <c r="AA8" s="388">
        <f t="shared" si="0"/>
        <v>55450000</v>
      </c>
      <c r="AB8" s="119">
        <f>+'5 b.sz.mell.'!D61</f>
        <v>55450000</v>
      </c>
      <c r="AC8" s="120">
        <f t="shared" si="1"/>
        <v>0</v>
      </c>
      <c r="AD8" s="107">
        <f t="shared" ref="AD8:AD9" si="4">+AB8/12</f>
        <v>4620833.333333333</v>
      </c>
      <c r="AE8" s="119">
        <f>+'5 b.sz.mell.'!E61</f>
        <v>55450000</v>
      </c>
      <c r="AF8" s="386">
        <f t="shared" si="2"/>
        <v>0</v>
      </c>
      <c r="AG8" s="107">
        <f t="shared" si="3"/>
        <v>0</v>
      </c>
    </row>
    <row r="9" spans="1:33" ht="24.95" customHeight="1">
      <c r="A9" s="118" t="s">
        <v>106</v>
      </c>
      <c r="B9" s="387"/>
      <c r="C9" s="387"/>
      <c r="D9" s="387">
        <v>3275011</v>
      </c>
      <c r="E9" s="387">
        <v>3275011</v>
      </c>
      <c r="F9" s="387">
        <v>1821018</v>
      </c>
      <c r="G9" s="387">
        <v>1821018</v>
      </c>
      <c r="H9" s="387"/>
      <c r="I9" s="387"/>
      <c r="J9" s="387"/>
      <c r="K9" s="387">
        <f>+'2.sz.mell.'!D61</f>
        <v>8798088</v>
      </c>
      <c r="L9" s="387"/>
      <c r="M9" s="387">
        <f>408708723-300</f>
        <v>408708423</v>
      </c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>
        <v>30380654</v>
      </c>
      <c r="Z9" s="388">
        <f t="shared" si="0"/>
        <v>5096029</v>
      </c>
      <c r="AA9" s="388">
        <f t="shared" si="0"/>
        <v>452983194</v>
      </c>
      <c r="AB9" s="119">
        <f>+'5 b.sz.mell.'!H61</f>
        <v>5096029</v>
      </c>
      <c r="AC9" s="120">
        <f t="shared" si="1"/>
        <v>0</v>
      </c>
      <c r="AD9" s="107">
        <f t="shared" si="4"/>
        <v>424669.08333333331</v>
      </c>
      <c r="AE9" s="119">
        <f>+'5 b.sz.mell.'!I61</f>
        <v>452983194</v>
      </c>
      <c r="AF9" s="386">
        <f t="shared" si="2"/>
        <v>0</v>
      </c>
      <c r="AG9" s="107">
        <f t="shared" si="3"/>
        <v>0</v>
      </c>
    </row>
    <row r="10" spans="1:33" ht="24.95" customHeight="1">
      <c r="A10" s="118" t="s">
        <v>344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8">
        <f t="shared" si="0"/>
        <v>0</v>
      </c>
      <c r="AA10" s="388">
        <f t="shared" si="0"/>
        <v>0</v>
      </c>
      <c r="AB10" s="119"/>
      <c r="AC10" s="120">
        <f t="shared" si="1"/>
        <v>0</v>
      </c>
      <c r="AD10" s="107"/>
      <c r="AE10" s="119"/>
      <c r="AF10" s="386">
        <f t="shared" si="2"/>
        <v>0</v>
      </c>
      <c r="AG10" s="107">
        <f t="shared" si="3"/>
        <v>0</v>
      </c>
    </row>
    <row r="11" spans="1:33" ht="24.95" customHeight="1">
      <c r="A11" s="118" t="s">
        <v>309</v>
      </c>
      <c r="B11" s="387">
        <v>18700000</v>
      </c>
      <c r="C11" s="387">
        <f>18700000+320000</f>
        <v>19020000</v>
      </c>
      <c r="D11" s="387">
        <f>18700000+656072</f>
        <v>19356072</v>
      </c>
      <c r="E11" s="387">
        <f>18700000+656072+320000</f>
        <v>19676072</v>
      </c>
      <c r="F11" s="387">
        <v>18700000</v>
      </c>
      <c r="G11" s="387">
        <f>18700000+320000</f>
        <v>19020000</v>
      </c>
      <c r="H11" s="387">
        <v>18700000</v>
      </c>
      <c r="I11" s="387">
        <f>18700000+320000</f>
        <v>19020000</v>
      </c>
      <c r="J11" s="387">
        <v>18700000</v>
      </c>
      <c r="K11" s="387">
        <f>18700000+320000</f>
        <v>19020000</v>
      </c>
      <c r="L11" s="387">
        <v>18700000</v>
      </c>
      <c r="M11" s="387">
        <f>320000+18700000</f>
        <v>19020000</v>
      </c>
      <c r="N11" s="387">
        <v>18700000</v>
      </c>
      <c r="O11" s="387">
        <f>18700000+320000</f>
        <v>19020000</v>
      </c>
      <c r="P11" s="387">
        <v>18700000</v>
      </c>
      <c r="Q11" s="387">
        <f>18700000+320000</f>
        <v>19020000</v>
      </c>
      <c r="R11" s="387">
        <v>18700000</v>
      </c>
      <c r="S11" s="387">
        <f>18700000+320000</f>
        <v>19020000</v>
      </c>
      <c r="T11" s="387">
        <v>18700000</v>
      </c>
      <c r="U11" s="387">
        <f>18700000+320000</f>
        <v>19020000</v>
      </c>
      <c r="V11" s="387">
        <v>18700000</v>
      </c>
      <c r="W11" s="387">
        <f>18700000+320000</f>
        <v>19020000</v>
      </c>
      <c r="X11" s="387">
        <v>18700000</v>
      </c>
      <c r="Y11" s="387">
        <f>18700000+320000+100128</f>
        <v>19120128</v>
      </c>
      <c r="Z11" s="388">
        <f t="shared" si="0"/>
        <v>225056072</v>
      </c>
      <c r="AA11" s="388">
        <f t="shared" si="0"/>
        <v>228996200</v>
      </c>
      <c r="AB11" s="119">
        <f>+'5 b.sz.mell.'!J61</f>
        <v>225056072</v>
      </c>
      <c r="AC11" s="120">
        <f t="shared" si="1"/>
        <v>0</v>
      </c>
      <c r="AD11" s="107">
        <f>+AB11/12</f>
        <v>18754672.666666668</v>
      </c>
      <c r="AE11" s="119">
        <f>+'5 b.sz.mell.'!K61</f>
        <v>228996200</v>
      </c>
      <c r="AF11" s="386">
        <f t="shared" si="2"/>
        <v>0</v>
      </c>
      <c r="AG11" s="107">
        <f t="shared" si="3"/>
        <v>0</v>
      </c>
    </row>
    <row r="12" spans="1:33" ht="24.95" customHeight="1">
      <c r="A12" s="121" t="s">
        <v>107</v>
      </c>
      <c r="B12" s="389">
        <f t="shared" ref="B12:X12" si="5">SUM(B6:B11)</f>
        <v>60300654</v>
      </c>
      <c r="C12" s="389">
        <f t="shared" ref="C12" si="6">SUM(C6:C11)</f>
        <v>62920654</v>
      </c>
      <c r="D12" s="389">
        <f t="shared" si="5"/>
        <v>64231737</v>
      </c>
      <c r="E12" s="389">
        <f t="shared" ref="E12" si="7">SUM(E6:E11)</f>
        <v>66851737</v>
      </c>
      <c r="F12" s="389">
        <f t="shared" si="5"/>
        <v>62121672</v>
      </c>
      <c r="G12" s="389">
        <f t="shared" ref="G12" si="8">SUM(G6:G11)</f>
        <v>64741672</v>
      </c>
      <c r="H12" s="389">
        <f t="shared" si="5"/>
        <v>60300654</v>
      </c>
      <c r="I12" s="389">
        <f t="shared" ref="I12" si="9">SUM(I6:I11)</f>
        <v>62920654</v>
      </c>
      <c r="J12" s="389">
        <f t="shared" si="5"/>
        <v>60300654</v>
      </c>
      <c r="K12" s="389">
        <f t="shared" ref="K12" si="10">SUM(K6:K11)</f>
        <v>71718742</v>
      </c>
      <c r="L12" s="389">
        <f t="shared" si="5"/>
        <v>60300654</v>
      </c>
      <c r="M12" s="389">
        <f t="shared" ref="M12" si="11">SUM(M6:M11)</f>
        <v>471629077</v>
      </c>
      <c r="N12" s="389">
        <f t="shared" si="5"/>
        <v>60300654</v>
      </c>
      <c r="O12" s="389">
        <f t="shared" ref="O12" si="12">SUM(O6:O11)</f>
        <v>62920654</v>
      </c>
      <c r="P12" s="389">
        <f t="shared" si="5"/>
        <v>60300654</v>
      </c>
      <c r="Q12" s="389">
        <f t="shared" ref="Q12" si="13">SUM(Q6:Q11)</f>
        <v>62920654</v>
      </c>
      <c r="R12" s="389">
        <f t="shared" si="5"/>
        <v>60300654</v>
      </c>
      <c r="S12" s="389">
        <f t="shared" ref="S12" si="14">SUM(S6:S11)</f>
        <v>62920654</v>
      </c>
      <c r="T12" s="389">
        <f t="shared" si="5"/>
        <v>60300654</v>
      </c>
      <c r="U12" s="389">
        <f t="shared" ref="U12" si="15">SUM(U6:U11)</f>
        <v>62920654</v>
      </c>
      <c r="V12" s="389">
        <f t="shared" si="5"/>
        <v>60300654</v>
      </c>
      <c r="W12" s="389">
        <f t="shared" ref="W12" si="16">SUM(W6:W11)</f>
        <v>62920654</v>
      </c>
      <c r="X12" s="389">
        <f t="shared" si="5"/>
        <v>60380656</v>
      </c>
      <c r="Y12" s="389">
        <f t="shared" ref="Y12" si="17">SUM(Y6:Y11)</f>
        <v>94634531</v>
      </c>
      <c r="Z12" s="388">
        <f t="shared" si="0"/>
        <v>729439951</v>
      </c>
      <c r="AA12" s="388">
        <f t="shared" si="0"/>
        <v>1210020337</v>
      </c>
      <c r="AB12" s="119">
        <f>+'5 b.sz.mell.'!P61-'5 b.sz.mell.'!I68</f>
        <v>948667515</v>
      </c>
      <c r="AC12" s="120">
        <f t="shared" si="1"/>
        <v>219227564</v>
      </c>
      <c r="AD12" s="107"/>
      <c r="AE12" s="119">
        <f>+'5 b.sz.mell.'!Q61</f>
        <v>1430208862</v>
      </c>
      <c r="AF12" s="386">
        <f t="shared" si="2"/>
        <v>220188525</v>
      </c>
      <c r="AG12" s="107">
        <f t="shared" si="3"/>
        <v>18349043.75</v>
      </c>
    </row>
    <row r="13" spans="1:33" ht="24.95" customHeight="1">
      <c r="A13" s="122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88"/>
      <c r="AA13" s="388"/>
      <c r="AB13" s="119"/>
      <c r="AD13" s="107"/>
      <c r="AE13" s="119"/>
      <c r="AF13" s="386">
        <f t="shared" si="2"/>
        <v>0</v>
      </c>
      <c r="AG13" s="107"/>
    </row>
    <row r="14" spans="1:33" s="123" customFormat="1" ht="24.95" customHeight="1">
      <c r="A14" s="118" t="s">
        <v>17</v>
      </c>
      <c r="B14" s="387">
        <v>18583000</v>
      </c>
      <c r="C14" s="387">
        <f>18583000+1703000</f>
        <v>20286000</v>
      </c>
      <c r="D14" s="387">
        <v>18583000</v>
      </c>
      <c r="E14" s="387">
        <f>18583000+1703000</f>
        <v>20286000</v>
      </c>
      <c r="F14" s="387">
        <v>18583000</v>
      </c>
      <c r="G14" s="387">
        <f>18583000+1703000</f>
        <v>20286000</v>
      </c>
      <c r="H14" s="387">
        <v>18583000</v>
      </c>
      <c r="I14" s="387">
        <f>18583000+1703000</f>
        <v>20286000</v>
      </c>
      <c r="J14" s="387">
        <v>18583000</v>
      </c>
      <c r="K14" s="387">
        <f>18583000+1703000</f>
        <v>20286000</v>
      </c>
      <c r="L14" s="387">
        <v>18583000</v>
      </c>
      <c r="M14" s="387">
        <f>18583000+1703000</f>
        <v>20286000</v>
      </c>
      <c r="N14" s="387">
        <v>18583000</v>
      </c>
      <c r="O14" s="387">
        <f>18583000+1703000</f>
        <v>20286000</v>
      </c>
      <c r="P14" s="387">
        <v>18583000</v>
      </c>
      <c r="Q14" s="387">
        <f>18583000+1703000</f>
        <v>20286000</v>
      </c>
      <c r="R14" s="387">
        <v>18583000</v>
      </c>
      <c r="S14" s="387">
        <f>18583000+1703000</f>
        <v>20286000</v>
      </c>
      <c r="T14" s="387">
        <v>18583000</v>
      </c>
      <c r="U14" s="387">
        <f>18583000+1703000</f>
        <v>20286000</v>
      </c>
      <c r="V14" s="387">
        <v>18583000</v>
      </c>
      <c r="W14" s="387">
        <f>18583000+1703000</f>
        <v>20286000</v>
      </c>
      <c r="X14" s="387">
        <f>3810+18583000</f>
        <v>18586810</v>
      </c>
      <c r="Y14" s="387">
        <f>3810+18583000+1709361</f>
        <v>20296171</v>
      </c>
      <c r="Z14" s="388">
        <f t="shared" ref="Z14:Z24" si="18">+X14+V14+T14+R14+P14+N14+L14+J14+H14+F14+D14+B14</f>
        <v>222999810</v>
      </c>
      <c r="AA14" s="388">
        <f t="shared" ref="AA14:AA24" si="19">+Y14+W14+U14+S14+Q14+O14+M14+K14+I14+G14+E14+C14</f>
        <v>243442171</v>
      </c>
      <c r="AB14" s="119">
        <f>+'5.a sz.mell.'!D66</f>
        <v>222999810</v>
      </c>
      <c r="AC14" s="466">
        <f t="shared" ref="AC14:AC20" si="20">+AB14-Z14</f>
        <v>0</v>
      </c>
      <c r="AD14" s="124">
        <f>+AB14/12</f>
        <v>18583317.5</v>
      </c>
      <c r="AE14" s="119">
        <f>+'5.a sz.mell.'!E66</f>
        <v>243442171</v>
      </c>
      <c r="AF14" s="386">
        <f t="shared" si="2"/>
        <v>0</v>
      </c>
      <c r="AG14" s="107">
        <f t="shared" si="3"/>
        <v>0</v>
      </c>
    </row>
    <row r="15" spans="1:33" s="123" customFormat="1" ht="24.95" customHeight="1">
      <c r="A15" s="118" t="s">
        <v>108</v>
      </c>
      <c r="B15" s="387">
        <v>3147000</v>
      </c>
      <c r="C15" s="387">
        <f>3147000+185000</f>
        <v>3332000</v>
      </c>
      <c r="D15" s="387">
        <v>3147000</v>
      </c>
      <c r="E15" s="387">
        <f>3147000+185000</f>
        <v>3332000</v>
      </c>
      <c r="F15" s="387">
        <v>3147000</v>
      </c>
      <c r="G15" s="387">
        <f>3147000+185000</f>
        <v>3332000</v>
      </c>
      <c r="H15" s="387">
        <v>3147000</v>
      </c>
      <c r="I15" s="387">
        <f>3147000+185000</f>
        <v>3332000</v>
      </c>
      <c r="J15" s="387">
        <v>3147000</v>
      </c>
      <c r="K15" s="387">
        <f>3147000+185000</f>
        <v>3332000</v>
      </c>
      <c r="L15" s="387">
        <v>3147000</v>
      </c>
      <c r="M15" s="387">
        <f>3147000+185000</f>
        <v>3332000</v>
      </c>
      <c r="N15" s="387">
        <v>3147000</v>
      </c>
      <c r="O15" s="387">
        <f>3147000+185000</f>
        <v>3332000</v>
      </c>
      <c r="P15" s="387">
        <v>3147000</v>
      </c>
      <c r="Q15" s="387">
        <f>3147000+185000</f>
        <v>3332000</v>
      </c>
      <c r="R15" s="387">
        <v>3147000</v>
      </c>
      <c r="S15" s="387">
        <f>3147000+185000</f>
        <v>3332000</v>
      </c>
      <c r="T15" s="387">
        <v>3147000</v>
      </c>
      <c r="U15" s="387">
        <f>3147000+185000</f>
        <v>3332000</v>
      </c>
      <c r="V15" s="387">
        <v>3147000</v>
      </c>
      <c r="W15" s="387">
        <f>3147000+185000</f>
        <v>3332000</v>
      </c>
      <c r="X15" s="387">
        <f>10837+3147000</f>
        <v>3157837</v>
      </c>
      <c r="Y15" s="387">
        <f>3147000+185000+43658</f>
        <v>3375658</v>
      </c>
      <c r="Z15" s="388">
        <f t="shared" si="18"/>
        <v>37774837</v>
      </c>
      <c r="AA15" s="388">
        <f t="shared" si="19"/>
        <v>40027658</v>
      </c>
      <c r="AB15" s="119">
        <f>+'5.a sz.mell.'!F66</f>
        <v>37774837</v>
      </c>
      <c r="AC15" s="466">
        <f t="shared" si="20"/>
        <v>0</v>
      </c>
      <c r="AD15" s="124">
        <f>+AB15/12</f>
        <v>3147903.0833333335</v>
      </c>
      <c r="AE15" s="119">
        <f>+'5.a sz.mell.'!G66</f>
        <v>40027658</v>
      </c>
      <c r="AF15" s="386">
        <f t="shared" si="2"/>
        <v>0</v>
      </c>
      <c r="AG15" s="107">
        <f t="shared" si="3"/>
        <v>0</v>
      </c>
    </row>
    <row r="16" spans="1:33" s="123" customFormat="1" ht="24.95" customHeight="1">
      <c r="A16" s="118" t="s">
        <v>109</v>
      </c>
      <c r="B16" s="387">
        <v>16702000</v>
      </c>
      <c r="C16" s="387">
        <f>16702000+5940000</f>
        <v>22642000</v>
      </c>
      <c r="D16" s="387">
        <v>16702000</v>
      </c>
      <c r="E16" s="387">
        <f>16702000+5940000</f>
        <v>22642000</v>
      </c>
      <c r="F16" s="387">
        <v>16702000</v>
      </c>
      <c r="G16" s="387">
        <f>16702000+5940000</f>
        <v>22642000</v>
      </c>
      <c r="H16" s="387">
        <v>16702000</v>
      </c>
      <c r="I16" s="387">
        <f>16702000+5940000</f>
        <v>22642000</v>
      </c>
      <c r="J16" s="387">
        <v>16702000</v>
      </c>
      <c r="K16" s="387">
        <f>16702000+5940000</f>
        <v>22642000</v>
      </c>
      <c r="L16" s="387">
        <v>16702000</v>
      </c>
      <c r="M16" s="387">
        <f>16702000+5940000</f>
        <v>22642000</v>
      </c>
      <c r="N16" s="387">
        <v>16702000</v>
      </c>
      <c r="O16" s="387">
        <f>16702000+5940000</f>
        <v>22642000</v>
      </c>
      <c r="P16" s="387">
        <v>16702000</v>
      </c>
      <c r="Q16" s="387">
        <f>16702000+5940000</f>
        <v>22642000</v>
      </c>
      <c r="R16" s="387">
        <v>16702000</v>
      </c>
      <c r="S16" s="387">
        <f>16702000+5940000</f>
        <v>22642000</v>
      </c>
      <c r="T16" s="387">
        <v>16702000</v>
      </c>
      <c r="U16" s="387">
        <f>16702000+5940000</f>
        <v>22642000</v>
      </c>
      <c r="V16" s="387">
        <v>16702000</v>
      </c>
      <c r="W16" s="387">
        <f>16702000+5940000</f>
        <v>22642000</v>
      </c>
      <c r="X16" s="387">
        <f>2841+16702000</f>
        <v>16704841</v>
      </c>
      <c r="Y16" s="387">
        <f>16702000+5940000+104127</f>
        <v>22746127</v>
      </c>
      <c r="Z16" s="388">
        <f t="shared" si="18"/>
        <v>200426841</v>
      </c>
      <c r="AA16" s="388">
        <f t="shared" si="19"/>
        <v>271808127</v>
      </c>
      <c r="AB16" s="119">
        <f>+'5.a sz.mell.'!H66</f>
        <v>200426841</v>
      </c>
      <c r="AC16" s="466">
        <f t="shared" si="20"/>
        <v>0</v>
      </c>
      <c r="AD16" s="124">
        <f>+AB16/12</f>
        <v>16702236.75</v>
      </c>
      <c r="AE16" s="119">
        <f>+'5.a sz.mell.'!I66</f>
        <v>271808127</v>
      </c>
      <c r="AF16" s="386">
        <f t="shared" si="2"/>
        <v>0</v>
      </c>
      <c r="AG16" s="107">
        <f t="shared" si="3"/>
        <v>0</v>
      </c>
    </row>
    <row r="17" spans="1:33" s="123" customFormat="1" ht="24.95" customHeight="1">
      <c r="A17" s="118" t="s">
        <v>114</v>
      </c>
      <c r="B17" s="387">
        <v>262250</v>
      </c>
      <c r="C17" s="387">
        <v>262250</v>
      </c>
      <c r="D17" s="387">
        <v>262250</v>
      </c>
      <c r="E17" s="387">
        <v>262250</v>
      </c>
      <c r="F17" s="387">
        <v>262250</v>
      </c>
      <c r="G17" s="387">
        <v>262250</v>
      </c>
      <c r="H17" s="387">
        <v>262250</v>
      </c>
      <c r="I17" s="387">
        <v>262250</v>
      </c>
      <c r="J17" s="387">
        <v>262250</v>
      </c>
      <c r="K17" s="387">
        <v>262250</v>
      </c>
      <c r="L17" s="387">
        <v>262250</v>
      </c>
      <c r="M17" s="387">
        <v>262250</v>
      </c>
      <c r="N17" s="387">
        <v>262250</v>
      </c>
      <c r="O17" s="387">
        <v>262250</v>
      </c>
      <c r="P17" s="387">
        <v>262250</v>
      </c>
      <c r="Q17" s="387">
        <v>262250</v>
      </c>
      <c r="R17" s="387">
        <v>262250</v>
      </c>
      <c r="S17" s="387">
        <v>262250</v>
      </c>
      <c r="T17" s="387">
        <v>262250</v>
      </c>
      <c r="U17" s="387">
        <v>262250</v>
      </c>
      <c r="V17" s="387">
        <v>262250</v>
      </c>
      <c r="W17" s="387">
        <v>262250</v>
      </c>
      <c r="X17" s="387">
        <v>262250</v>
      </c>
      <c r="Y17" s="387">
        <v>262250</v>
      </c>
      <c r="Z17" s="388">
        <f t="shared" si="18"/>
        <v>3147000</v>
      </c>
      <c r="AA17" s="388">
        <f t="shared" si="19"/>
        <v>3147000</v>
      </c>
      <c r="AB17" s="119">
        <f>+'5.a sz.mell.'!L66</f>
        <v>3147000</v>
      </c>
      <c r="AC17" s="466">
        <f t="shared" si="20"/>
        <v>0</v>
      </c>
      <c r="AD17" s="124">
        <f>+AB17/12</f>
        <v>262250</v>
      </c>
      <c r="AE17" s="119">
        <f>+'5.a sz.mell.'!M66</f>
        <v>3147000</v>
      </c>
      <c r="AF17" s="386">
        <f t="shared" si="2"/>
        <v>0</v>
      </c>
      <c r="AG17" s="107">
        <f t="shared" si="3"/>
        <v>0</v>
      </c>
    </row>
    <row r="18" spans="1:33" s="123" customFormat="1" ht="24.95" customHeight="1">
      <c r="A18" s="118" t="s">
        <v>110</v>
      </c>
      <c r="B18" s="387">
        <v>7968000</v>
      </c>
      <c r="C18" s="387">
        <f>7968000+95000</f>
        <v>8063000</v>
      </c>
      <c r="D18" s="387">
        <f>11898+7968000</f>
        <v>7979898</v>
      </c>
      <c r="E18" s="387">
        <f>7968000+95000</f>
        <v>8063000</v>
      </c>
      <c r="F18" s="387">
        <v>7968000</v>
      </c>
      <c r="G18" s="387">
        <f>7968000+95000</f>
        <v>8063000</v>
      </c>
      <c r="H18" s="387">
        <v>7968000</v>
      </c>
      <c r="I18" s="387">
        <f>7968000+95000</f>
        <v>8063000</v>
      </c>
      <c r="J18" s="387">
        <v>7968000</v>
      </c>
      <c r="K18" s="387">
        <f>7968000+95000</f>
        <v>8063000</v>
      </c>
      <c r="L18" s="387">
        <v>7968000</v>
      </c>
      <c r="M18" s="387">
        <f>7968000+95000</f>
        <v>8063000</v>
      </c>
      <c r="N18" s="387">
        <v>7968000</v>
      </c>
      <c r="O18" s="387">
        <f>7968000+95000</f>
        <v>8063000</v>
      </c>
      <c r="P18" s="387">
        <v>7968000</v>
      </c>
      <c r="Q18" s="387">
        <f>7968000+95000</f>
        <v>8063000</v>
      </c>
      <c r="R18" s="387">
        <v>7968000</v>
      </c>
      <c r="S18" s="387">
        <f>7968000+95000</f>
        <v>8063000</v>
      </c>
      <c r="T18" s="387">
        <v>7968000</v>
      </c>
      <c r="U18" s="387">
        <f>7968000+95000</f>
        <v>8063000</v>
      </c>
      <c r="V18" s="387">
        <v>7968000</v>
      </c>
      <c r="W18" s="387">
        <f>7968000+95000</f>
        <v>8063000</v>
      </c>
      <c r="X18" s="387">
        <v>7968000</v>
      </c>
      <c r="Y18" s="387">
        <f>7968000+95000+41091</f>
        <v>8104091</v>
      </c>
      <c r="Z18" s="388">
        <f t="shared" si="18"/>
        <v>95627898</v>
      </c>
      <c r="AA18" s="388">
        <f t="shared" si="19"/>
        <v>96797091</v>
      </c>
      <c r="AB18" s="119">
        <f>+'5.a sz.mell.'!J66</f>
        <v>95627898</v>
      </c>
      <c r="AC18" s="466">
        <f t="shared" si="20"/>
        <v>0</v>
      </c>
      <c r="AD18" s="124">
        <f>+AB18/12</f>
        <v>7968991.5</v>
      </c>
      <c r="AE18" s="119">
        <f>+'5.a sz.mell.'!K66</f>
        <v>96797091</v>
      </c>
      <c r="AF18" s="386">
        <f t="shared" si="2"/>
        <v>0</v>
      </c>
      <c r="AG18" s="107">
        <f t="shared" si="3"/>
        <v>0</v>
      </c>
    </row>
    <row r="19" spans="1:33" s="123" customFormat="1" ht="24.95" customHeight="1">
      <c r="A19" s="118" t="s">
        <v>345</v>
      </c>
      <c r="B19" s="387">
        <v>10751039</v>
      </c>
      <c r="C19" s="387">
        <v>10751039</v>
      </c>
      <c r="D19" s="390"/>
      <c r="E19" s="390"/>
      <c r="F19" s="390">
        <v>0</v>
      </c>
      <c r="G19" s="390">
        <v>246037</v>
      </c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88">
        <f t="shared" si="18"/>
        <v>10751039</v>
      </c>
      <c r="AA19" s="388">
        <f t="shared" si="19"/>
        <v>10997076</v>
      </c>
      <c r="AB19" s="119">
        <f>+'5.a sz.mell.'!P66</f>
        <v>10751039</v>
      </c>
      <c r="AC19" s="466">
        <f t="shared" si="20"/>
        <v>0</v>
      </c>
      <c r="AD19" s="124"/>
      <c r="AE19" s="119">
        <f>+'5.a sz.mell.'!Q66</f>
        <v>10997076</v>
      </c>
      <c r="AF19" s="386">
        <f t="shared" si="2"/>
        <v>0</v>
      </c>
      <c r="AG19" s="107">
        <f t="shared" si="3"/>
        <v>0</v>
      </c>
    </row>
    <row r="20" spans="1:33" s="123" customFormat="1" ht="24.95" customHeight="1">
      <c r="A20" s="118" t="s">
        <v>472</v>
      </c>
      <c r="B20" s="387"/>
      <c r="C20" s="387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88">
        <f t="shared" si="18"/>
        <v>0</v>
      </c>
      <c r="AA20" s="388">
        <f t="shared" si="19"/>
        <v>0</v>
      </c>
      <c r="AB20" s="119">
        <f>+'5.a sz.mell.'!R34</f>
        <v>0</v>
      </c>
      <c r="AC20" s="466">
        <f t="shared" si="20"/>
        <v>0</v>
      </c>
      <c r="AD20" s="124">
        <f>+AC20/11</f>
        <v>0</v>
      </c>
      <c r="AE20" s="119">
        <f>+'5.a sz.mell.'!S66</f>
        <v>0</v>
      </c>
      <c r="AF20" s="386">
        <f t="shared" si="2"/>
        <v>0</v>
      </c>
      <c r="AG20" s="107">
        <f t="shared" si="3"/>
        <v>0</v>
      </c>
    </row>
    <row r="21" spans="1:33" ht="24.95" customHeight="1">
      <c r="A21" s="118" t="s">
        <v>111</v>
      </c>
      <c r="B21" s="390"/>
      <c r="C21" s="390"/>
      <c r="D21" s="390">
        <v>20000000</v>
      </c>
      <c r="E21" s="390">
        <f>20000000-1912761</f>
        <v>18087239</v>
      </c>
      <c r="F21" s="387"/>
      <c r="G21" s="387"/>
      <c r="H21" s="387">
        <v>15000000</v>
      </c>
      <c r="I21" s="387">
        <v>15000000</v>
      </c>
      <c r="J21" s="387">
        <v>40000000</v>
      </c>
      <c r="K21" s="387">
        <v>40000000</v>
      </c>
      <c r="L21" s="387"/>
      <c r="M21" s="387"/>
      <c r="N21" s="387"/>
      <c r="O21" s="387"/>
      <c r="P21" s="387">
        <v>12000000</v>
      </c>
      <c r="Q21" s="387">
        <v>12000000</v>
      </c>
      <c r="R21" s="387"/>
      <c r="S21" s="387"/>
      <c r="T21" s="387">
        <v>11896424</v>
      </c>
      <c r="U21" s="387">
        <v>11896424</v>
      </c>
      <c r="V21" s="387"/>
      <c r="W21" s="387"/>
      <c r="X21" s="387"/>
      <c r="Y21" s="387"/>
      <c r="Z21" s="388">
        <f t="shared" si="18"/>
        <v>98896424</v>
      </c>
      <c r="AA21" s="388">
        <f t="shared" si="19"/>
        <v>96983663</v>
      </c>
      <c r="AB21" s="119">
        <f>+'5.a sz.mell.'!N66</f>
        <v>98896424</v>
      </c>
      <c r="AC21" s="466">
        <f>+Z21-AB21</f>
        <v>0</v>
      </c>
      <c r="AD21" s="107"/>
      <c r="AE21" s="119">
        <f>+'5.a sz.mell.'!O66</f>
        <v>96983663</v>
      </c>
      <c r="AF21" s="386">
        <f t="shared" si="2"/>
        <v>0</v>
      </c>
      <c r="AG21" s="107">
        <f t="shared" si="3"/>
        <v>0</v>
      </c>
    </row>
    <row r="22" spans="1:33" ht="24.95" customHeight="1">
      <c r="A22" s="118" t="s">
        <v>60</v>
      </c>
      <c r="B22" s="390"/>
      <c r="C22" s="390"/>
      <c r="D22" s="390">
        <v>14000000</v>
      </c>
      <c r="E22" s="390">
        <v>14000000</v>
      </c>
      <c r="F22" s="390"/>
      <c r="G22" s="390"/>
      <c r="H22" s="390">
        <v>10000000</v>
      </c>
      <c r="I22" s="390">
        <v>10000000</v>
      </c>
      <c r="J22" s="390">
        <v>22000000</v>
      </c>
      <c r="K22" s="390">
        <v>22000000</v>
      </c>
      <c r="L22" s="390"/>
      <c r="M22" s="390"/>
      <c r="N22" s="390"/>
      <c r="O22" s="390"/>
      <c r="P22" s="390">
        <v>11000000</v>
      </c>
      <c r="Q22" s="390">
        <v>11000000</v>
      </c>
      <c r="R22" s="390">
        <v>0</v>
      </c>
      <c r="S22" s="387">
        <f>+K9</f>
        <v>8798088</v>
      </c>
      <c r="T22" s="390">
        <v>2816102</v>
      </c>
      <c r="U22" s="390">
        <v>2816102</v>
      </c>
      <c r="V22" s="390"/>
      <c r="W22" s="390"/>
      <c r="X22" s="390"/>
      <c r="Y22" s="390">
        <v>378203361</v>
      </c>
      <c r="Z22" s="388">
        <f t="shared" si="18"/>
        <v>59816102</v>
      </c>
      <c r="AA22" s="388">
        <f t="shared" si="19"/>
        <v>446817551</v>
      </c>
      <c r="AB22" s="119">
        <f>+'5.a sz.mell.'!T66+'5.a sz.mell.'!V66</f>
        <v>59816102</v>
      </c>
      <c r="AC22" s="466">
        <f>+Z22-AB22</f>
        <v>0</v>
      </c>
      <c r="AD22" s="107"/>
      <c r="AE22" s="119">
        <f>+'5.a sz.mell.'!U66+'5.a sz.mell.'!W66</f>
        <v>446817551</v>
      </c>
      <c r="AF22" s="386">
        <f t="shared" si="2"/>
        <v>0</v>
      </c>
      <c r="AG22" s="107">
        <f t="shared" si="3"/>
        <v>0</v>
      </c>
    </row>
    <row r="23" spans="1:33" ht="24.95" customHeight="1">
      <c r="A23" s="121" t="s">
        <v>112</v>
      </c>
      <c r="B23" s="389">
        <f t="shared" ref="B23:X23" si="21">SUM(B14:B22)</f>
        <v>57413289</v>
      </c>
      <c r="C23" s="389">
        <f t="shared" ref="C23" si="22">SUM(C14:C22)</f>
        <v>65336289</v>
      </c>
      <c r="D23" s="389">
        <f t="shared" si="21"/>
        <v>80674148</v>
      </c>
      <c r="E23" s="389">
        <f t="shared" ref="E23" si="23">SUM(E14:E22)</f>
        <v>86672489</v>
      </c>
      <c r="F23" s="389">
        <f t="shared" si="21"/>
        <v>46662250</v>
      </c>
      <c r="G23" s="389">
        <f t="shared" ref="G23" si="24">SUM(G14:G22)</f>
        <v>54831287</v>
      </c>
      <c r="H23" s="389">
        <f t="shared" si="21"/>
        <v>71662250</v>
      </c>
      <c r="I23" s="389">
        <f t="shared" ref="I23" si="25">SUM(I14:I22)</f>
        <v>79585250</v>
      </c>
      <c r="J23" s="389">
        <f t="shared" si="21"/>
        <v>108662250</v>
      </c>
      <c r="K23" s="389">
        <f t="shared" ref="K23" si="26">SUM(K14:K22)</f>
        <v>116585250</v>
      </c>
      <c r="L23" s="389">
        <f t="shared" si="21"/>
        <v>46662250</v>
      </c>
      <c r="M23" s="389">
        <f t="shared" ref="M23" si="27">SUM(M14:M22)</f>
        <v>54585250</v>
      </c>
      <c r="N23" s="389">
        <f t="shared" si="21"/>
        <v>46662250</v>
      </c>
      <c r="O23" s="389">
        <f t="shared" ref="O23" si="28">SUM(O14:O22)</f>
        <v>54585250</v>
      </c>
      <c r="P23" s="389">
        <f t="shared" si="21"/>
        <v>69662250</v>
      </c>
      <c r="Q23" s="389">
        <f t="shared" ref="Q23" si="29">SUM(Q14:Q22)</f>
        <v>77585250</v>
      </c>
      <c r="R23" s="389">
        <f t="shared" si="21"/>
        <v>46662250</v>
      </c>
      <c r="S23" s="389">
        <f t="shared" ref="S23" si="30">SUM(S14:S22)</f>
        <v>63383338</v>
      </c>
      <c r="T23" s="389">
        <f t="shared" si="21"/>
        <v>61374776</v>
      </c>
      <c r="U23" s="389">
        <f t="shared" ref="U23" si="31">SUM(U14:U22)</f>
        <v>69297776</v>
      </c>
      <c r="V23" s="389">
        <f t="shared" si="21"/>
        <v>46662250</v>
      </c>
      <c r="W23" s="389">
        <f t="shared" ref="W23" si="32">SUM(W14:W22)</f>
        <v>54585250</v>
      </c>
      <c r="X23" s="389">
        <f t="shared" si="21"/>
        <v>46679738</v>
      </c>
      <c r="Y23" s="389">
        <f t="shared" ref="Y23" si="33">SUM(Y14:Y22)</f>
        <v>432987658</v>
      </c>
      <c r="Z23" s="388">
        <f t="shared" si="18"/>
        <v>729439951</v>
      </c>
      <c r="AA23" s="388">
        <f t="shared" si="19"/>
        <v>1210020337</v>
      </c>
      <c r="AB23" s="119">
        <f>+'5.a sz.mell.'!X66</f>
        <v>729439951</v>
      </c>
      <c r="AC23" s="466">
        <f>+Z23-AB23</f>
        <v>0</v>
      </c>
      <c r="AD23" s="107"/>
      <c r="AE23" s="119">
        <f>+'5.a sz.mell.'!Y66</f>
        <v>1210020337</v>
      </c>
      <c r="AF23" s="386">
        <f t="shared" si="2"/>
        <v>0</v>
      </c>
      <c r="AG23" s="107">
        <f t="shared" si="3"/>
        <v>0</v>
      </c>
    </row>
    <row r="24" spans="1:33" ht="24.95" customHeight="1">
      <c r="A24" s="121" t="s">
        <v>113</v>
      </c>
      <c r="B24" s="389">
        <f t="shared" ref="B24:X24" si="34">B12-B23</f>
        <v>2887365</v>
      </c>
      <c r="C24" s="389">
        <f t="shared" ref="C24" si="35">C12-C23</f>
        <v>-2415635</v>
      </c>
      <c r="D24" s="389">
        <f t="shared" si="34"/>
        <v>-16442411</v>
      </c>
      <c r="E24" s="389">
        <f t="shared" ref="E24" si="36">E12-E23</f>
        <v>-19820752</v>
      </c>
      <c r="F24" s="389">
        <f t="shared" si="34"/>
        <v>15459422</v>
      </c>
      <c r="G24" s="389">
        <f t="shared" ref="G24" si="37">G12-G23</f>
        <v>9910385</v>
      </c>
      <c r="H24" s="389">
        <f t="shared" si="34"/>
        <v>-11361596</v>
      </c>
      <c r="I24" s="389">
        <f t="shared" ref="I24" si="38">I12-I23</f>
        <v>-16664596</v>
      </c>
      <c r="J24" s="389">
        <f t="shared" si="34"/>
        <v>-48361596</v>
      </c>
      <c r="K24" s="389">
        <f t="shared" ref="K24" si="39">K12-K23</f>
        <v>-44866508</v>
      </c>
      <c r="L24" s="389">
        <f t="shared" si="34"/>
        <v>13638404</v>
      </c>
      <c r="M24" s="389">
        <f t="shared" ref="M24" si="40">M12-M23</f>
        <v>417043827</v>
      </c>
      <c r="N24" s="389">
        <f t="shared" si="34"/>
        <v>13638404</v>
      </c>
      <c r="O24" s="389">
        <f t="shared" ref="O24" si="41">O12-O23</f>
        <v>8335404</v>
      </c>
      <c r="P24" s="389">
        <f t="shared" si="34"/>
        <v>-9361596</v>
      </c>
      <c r="Q24" s="389">
        <f t="shared" ref="Q24" si="42">Q12-Q23</f>
        <v>-14664596</v>
      </c>
      <c r="R24" s="389">
        <f t="shared" si="34"/>
        <v>13638404</v>
      </c>
      <c r="S24" s="389">
        <f t="shared" ref="S24" si="43">S12-S23</f>
        <v>-462684</v>
      </c>
      <c r="T24" s="389">
        <f t="shared" si="34"/>
        <v>-1074122</v>
      </c>
      <c r="U24" s="389">
        <f t="shared" ref="U24" si="44">U12-U23</f>
        <v>-6377122</v>
      </c>
      <c r="V24" s="389">
        <f t="shared" si="34"/>
        <v>13638404</v>
      </c>
      <c r="W24" s="389">
        <f t="shared" ref="W24" si="45">W12-W23</f>
        <v>8335404</v>
      </c>
      <c r="X24" s="389">
        <f t="shared" si="34"/>
        <v>13700918</v>
      </c>
      <c r="Y24" s="389">
        <f t="shared" ref="Y24" si="46">Y12-Y23</f>
        <v>-338353127</v>
      </c>
      <c r="Z24" s="388">
        <f t="shared" si="18"/>
        <v>0</v>
      </c>
      <c r="AA24" s="388">
        <f t="shared" si="19"/>
        <v>0</v>
      </c>
      <c r="AB24" s="119"/>
      <c r="AD24" s="107"/>
      <c r="AE24" s="119"/>
      <c r="AG24" s="107"/>
    </row>
  </sheetData>
  <mergeCells count="16">
    <mergeCell ref="AB4:AD4"/>
    <mergeCell ref="AE4:AG4"/>
    <mergeCell ref="A1:M1"/>
    <mergeCell ref="A2:M2"/>
    <mergeCell ref="J4:K4"/>
    <mergeCell ref="H4:I4"/>
    <mergeCell ref="F4:G4"/>
    <mergeCell ref="D4:E4"/>
    <mergeCell ref="B4:C4"/>
    <mergeCell ref="L4:M4"/>
    <mergeCell ref="P4:Q4"/>
    <mergeCell ref="N4:O4"/>
    <mergeCell ref="T4:U4"/>
    <mergeCell ref="R4:S4"/>
    <mergeCell ref="X4:Y4"/>
    <mergeCell ref="V4:W4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H33"/>
  <sheetViews>
    <sheetView view="pageBreakPreview" zoomScale="60" zoomScaleNormal="100" workbookViewId="0">
      <selection activeCell="B32" sqref="B32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04" customWidth="1"/>
    <col min="4" max="4" width="16.28515625" style="130" customWidth="1"/>
    <col min="5" max="5" width="21.5703125" style="39" customWidth="1"/>
    <col min="6" max="6" width="16.85546875" style="39" customWidth="1"/>
    <col min="7" max="7" width="16.140625" style="39" customWidth="1"/>
    <col min="8" max="8" width="9.140625" style="39" bestFit="1" customWidth="1"/>
    <col min="9" max="16384" width="8.85546875" style="37"/>
  </cols>
  <sheetData>
    <row r="1" spans="1:8" ht="15.75">
      <c r="A1" s="725" t="s">
        <v>673</v>
      </c>
      <c r="B1" s="725"/>
      <c r="C1" s="725"/>
      <c r="D1" s="725"/>
      <c r="E1" s="725"/>
      <c r="F1" s="444"/>
    </row>
    <row r="2" spans="1:8" ht="15.75">
      <c r="C2" s="129"/>
    </row>
    <row r="3" spans="1:8" ht="42" customHeight="1">
      <c r="A3" s="705" t="s">
        <v>582</v>
      </c>
      <c r="B3" s="705"/>
      <c r="C3" s="705"/>
      <c r="D3" s="705"/>
      <c r="E3" s="705"/>
      <c r="F3" s="304"/>
    </row>
    <row r="4" spans="1:8" ht="24.75" customHeight="1"/>
    <row r="5" spans="1:8" ht="25.5" customHeight="1">
      <c r="B5" s="736" t="s">
        <v>116</v>
      </c>
      <c r="C5" s="736"/>
      <c r="D5" s="736"/>
      <c r="E5" s="736"/>
      <c r="F5" s="736"/>
    </row>
    <row r="6" spans="1:8" ht="17.25" customHeight="1">
      <c r="C6" s="131"/>
      <c r="D6" s="281" t="s">
        <v>317</v>
      </c>
    </row>
    <row r="7" spans="1:8" ht="17.25" customHeight="1">
      <c r="C7" s="82" t="s">
        <v>117</v>
      </c>
      <c r="D7" s="83" t="s">
        <v>370</v>
      </c>
      <c r="E7" s="83" t="s">
        <v>629</v>
      </c>
      <c r="H7" s="37"/>
    </row>
    <row r="8" spans="1:8" ht="17.25" customHeight="1">
      <c r="C8" s="81" t="s">
        <v>118</v>
      </c>
      <c r="D8" s="361">
        <v>116455</v>
      </c>
      <c r="E8" s="361">
        <v>116455</v>
      </c>
      <c r="H8" s="37"/>
    </row>
    <row r="9" spans="1:8" ht="17.25" customHeight="1">
      <c r="C9" s="81" t="s">
        <v>587</v>
      </c>
      <c r="D9" s="361">
        <v>1080098</v>
      </c>
      <c r="E9" s="361">
        <v>1080098</v>
      </c>
      <c r="H9" s="37"/>
    </row>
    <row r="10" spans="1:8" ht="17.25" customHeight="1">
      <c r="C10" s="81" t="s">
        <v>526</v>
      </c>
      <c r="D10" s="361">
        <v>20000</v>
      </c>
      <c r="E10" s="361">
        <v>20000</v>
      </c>
      <c r="H10" s="37"/>
    </row>
    <row r="11" spans="1:8" ht="17.25" customHeight="1">
      <c r="C11" s="81" t="s">
        <v>119</v>
      </c>
      <c r="D11" s="361">
        <v>140000</v>
      </c>
      <c r="E11" s="361">
        <v>140000</v>
      </c>
      <c r="H11" s="37"/>
    </row>
    <row r="12" spans="1:8" ht="17.25" customHeight="1">
      <c r="C12" s="81" t="s">
        <v>310</v>
      </c>
      <c r="D12" s="361">
        <v>3000000</v>
      </c>
      <c r="E12" s="361">
        <v>3000000</v>
      </c>
      <c r="H12" s="37"/>
    </row>
    <row r="13" spans="1:8" ht="17.25" customHeight="1">
      <c r="C13" s="81" t="s">
        <v>527</v>
      </c>
      <c r="D13" s="361">
        <v>3000000</v>
      </c>
      <c r="E13" s="361">
        <v>3000000</v>
      </c>
      <c r="H13" s="37"/>
    </row>
    <row r="14" spans="1:8" ht="17.25" customHeight="1">
      <c r="C14" s="81" t="s">
        <v>528</v>
      </c>
      <c r="D14" s="361">
        <v>20000</v>
      </c>
      <c r="E14" s="361">
        <v>20000</v>
      </c>
      <c r="H14" s="37"/>
    </row>
    <row r="15" spans="1:8" ht="17.25" customHeight="1">
      <c r="C15" s="81" t="s">
        <v>586</v>
      </c>
      <c r="D15" s="361">
        <v>100000</v>
      </c>
      <c r="E15" s="361">
        <v>100000</v>
      </c>
      <c r="H15" s="37"/>
    </row>
    <row r="16" spans="1:8" ht="17.25" customHeight="1">
      <c r="C16" s="81" t="s">
        <v>311</v>
      </c>
      <c r="D16" s="361">
        <v>86657095</v>
      </c>
      <c r="E16" s="361">
        <v>86657095</v>
      </c>
      <c r="H16" s="37"/>
    </row>
    <row r="17" spans="3:8" ht="17.25" customHeight="1">
      <c r="C17" s="81" t="s">
        <v>583</v>
      </c>
      <c r="D17" s="361">
        <v>10000</v>
      </c>
      <c r="E17" s="361">
        <v>10000</v>
      </c>
      <c r="H17" s="37"/>
    </row>
    <row r="18" spans="3:8" ht="17.25" customHeight="1">
      <c r="C18" s="81" t="s">
        <v>584</v>
      </c>
      <c r="D18" s="361">
        <v>20000</v>
      </c>
      <c r="E18" s="361">
        <v>20000</v>
      </c>
      <c r="H18" s="37"/>
    </row>
    <row r="19" spans="3:8" ht="17.25" customHeight="1">
      <c r="C19" s="81" t="s">
        <v>585</v>
      </c>
      <c r="D19" s="361">
        <v>1000000</v>
      </c>
      <c r="E19" s="361">
        <v>1000000</v>
      </c>
      <c r="H19" s="37"/>
    </row>
    <row r="20" spans="3:8" ht="17.25" customHeight="1">
      <c r="C20" s="81" t="s">
        <v>337</v>
      </c>
      <c r="D20" s="361">
        <v>180000</v>
      </c>
      <c r="E20" s="361">
        <v>180000</v>
      </c>
      <c r="H20" s="37"/>
    </row>
    <row r="21" spans="3:8" ht="17.25" customHeight="1">
      <c r="C21" s="81" t="s">
        <v>338</v>
      </c>
      <c r="D21" s="361">
        <v>64250</v>
      </c>
      <c r="E21" s="361">
        <v>64250</v>
      </c>
      <c r="H21" s="37"/>
    </row>
    <row r="22" spans="3:8" ht="17.25" customHeight="1">
      <c r="C22" s="81" t="s">
        <v>339</v>
      </c>
      <c r="D22" s="361">
        <v>20000</v>
      </c>
      <c r="E22" s="361">
        <v>20000</v>
      </c>
      <c r="H22" s="37"/>
    </row>
    <row r="23" spans="3:8" ht="17.25" customHeight="1">
      <c r="C23" s="269" t="s">
        <v>340</v>
      </c>
      <c r="D23" s="361">
        <v>200000</v>
      </c>
      <c r="E23" s="361">
        <v>200000</v>
      </c>
      <c r="H23" s="37"/>
    </row>
    <row r="24" spans="3:8" ht="43.5" customHeight="1">
      <c r="C24" s="269" t="s">
        <v>662</v>
      </c>
      <c r="D24" s="361">
        <v>0</v>
      </c>
      <c r="E24" s="361">
        <v>17095</v>
      </c>
      <c r="H24" s="37"/>
    </row>
    <row r="25" spans="3:8" ht="45" customHeight="1">
      <c r="C25" s="269" t="s">
        <v>661</v>
      </c>
      <c r="D25" s="361">
        <v>0</v>
      </c>
      <c r="E25" s="361">
        <v>72000</v>
      </c>
      <c r="H25" s="37"/>
    </row>
    <row r="26" spans="3:8" ht="17.25" customHeight="1">
      <c r="C26" s="132" t="s">
        <v>58</v>
      </c>
      <c r="D26" s="270">
        <f>SUM(D8:D25)</f>
        <v>95627898</v>
      </c>
      <c r="E26" s="270">
        <f>SUM(E8:E25)</f>
        <v>95716993</v>
      </c>
      <c r="F26" s="44">
        <f>+'2.sz.mell.'!C80+'2.sz.mell.'!C81</f>
        <v>95627898</v>
      </c>
      <c r="G26" s="44">
        <f>+'2.sz.mell.'!D80+'2.sz.mell.'!D81</f>
        <v>96797091</v>
      </c>
      <c r="H26" s="156">
        <f>+G26-E26</f>
        <v>1080098</v>
      </c>
    </row>
    <row r="27" spans="3:8" ht="30" customHeight="1">
      <c r="C27" s="133"/>
      <c r="D27" s="271"/>
      <c r="E27" s="271"/>
      <c r="G27" s="44">
        <f>+D26-F26</f>
        <v>0</v>
      </c>
    </row>
    <row r="28" spans="3:8" ht="25.5" customHeight="1">
      <c r="C28" s="134" t="s">
        <v>120</v>
      </c>
      <c r="D28" s="272">
        <v>0</v>
      </c>
      <c r="E28" s="272">
        <v>0</v>
      </c>
      <c r="H28" s="37"/>
    </row>
    <row r="29" spans="3:8" ht="24.75" customHeight="1">
      <c r="C29" s="132" t="s">
        <v>58</v>
      </c>
      <c r="D29" s="270">
        <v>0</v>
      </c>
      <c r="E29" s="270">
        <v>0</v>
      </c>
      <c r="H29" s="37"/>
    </row>
    <row r="30" spans="3:8" ht="18" customHeight="1">
      <c r="C30" s="135"/>
      <c r="D30" s="39"/>
      <c r="H30" s="37"/>
    </row>
    <row r="31" spans="3:8" ht="18" customHeight="1">
      <c r="C31" s="136" t="s">
        <v>121</v>
      </c>
      <c r="D31" s="270">
        <f>SUM(D26,D29)</f>
        <v>95627898</v>
      </c>
      <c r="E31" s="270">
        <f>SUM(E26,E29)</f>
        <v>95716993</v>
      </c>
      <c r="H31" s="37"/>
    </row>
    <row r="32" spans="3:8" ht="18" customHeight="1"/>
    <row r="33" spans="5:5">
      <c r="E33" s="44"/>
    </row>
  </sheetData>
  <mergeCells count="3">
    <mergeCell ref="B5:F5"/>
    <mergeCell ref="A3:E3"/>
    <mergeCell ref="A1:E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topLeftCell="A16" zoomScaleNormal="100" zoomScaleSheetLayoutView="100" workbookViewId="0">
      <selection activeCell="D14" sqref="D14"/>
    </sheetView>
  </sheetViews>
  <sheetFormatPr defaultRowHeight="15.75"/>
  <cols>
    <col min="1" max="1" width="11.140625" style="87" customWidth="1"/>
    <col min="2" max="2" width="64.140625" style="142" customWidth="1"/>
    <col min="3" max="3" width="14.42578125" style="137" customWidth="1"/>
    <col min="4" max="4" width="15.42578125" style="72" customWidth="1"/>
    <col min="5" max="7" width="9.140625" style="73"/>
    <col min="8" max="16384" width="9.140625" style="87"/>
  </cols>
  <sheetData>
    <row r="1" spans="1:7">
      <c r="A1" s="725" t="s">
        <v>537</v>
      </c>
      <c r="B1" s="725"/>
      <c r="C1" s="725"/>
      <c r="D1" s="725"/>
      <c r="F1" s="128"/>
    </row>
    <row r="2" spans="1:7">
      <c r="B2" s="70"/>
    </row>
    <row r="3" spans="1:7" s="139" customFormat="1" ht="33" customHeight="1">
      <c r="A3" s="705" t="s">
        <v>63</v>
      </c>
      <c r="B3" s="705"/>
      <c r="C3" s="705"/>
      <c r="D3" s="705"/>
      <c r="E3" s="138"/>
    </row>
    <row r="4" spans="1:7" s="139" customFormat="1" ht="42" customHeight="1">
      <c r="A4" s="705" t="s">
        <v>588</v>
      </c>
      <c r="B4" s="705"/>
      <c r="C4" s="705"/>
      <c r="D4" s="705"/>
      <c r="E4" s="138"/>
    </row>
    <row r="5" spans="1:7">
      <c r="B5" s="140"/>
      <c r="C5" s="141"/>
    </row>
    <row r="6" spans="1:7">
      <c r="C6" s="137" t="s">
        <v>317</v>
      </c>
      <c r="D6" s="137" t="s">
        <v>317</v>
      </c>
    </row>
    <row r="7" spans="1:7" s="143" customFormat="1" ht="36" customHeight="1">
      <c r="B7" s="144" t="s">
        <v>122</v>
      </c>
      <c r="C7" s="132" t="s">
        <v>370</v>
      </c>
      <c r="D7" s="624" t="s">
        <v>629</v>
      </c>
      <c r="E7" s="146"/>
      <c r="F7" s="67"/>
      <c r="G7" s="67"/>
    </row>
    <row r="8" spans="1:7" s="86" customFormat="1" ht="19.5" customHeight="1">
      <c r="B8" s="147" t="s">
        <v>123</v>
      </c>
      <c r="C8" s="445">
        <f>+'2.sz.mell.'!C46</f>
        <v>17150000</v>
      </c>
      <c r="D8" s="623">
        <f>+'2.sz.mell.'!D46</f>
        <v>17150000</v>
      </c>
      <c r="E8" s="103"/>
      <c r="F8" s="103"/>
      <c r="G8" s="103"/>
    </row>
    <row r="9" spans="1:7" s="143" customFormat="1" ht="15" customHeight="1">
      <c r="B9" s="50" t="s">
        <v>124</v>
      </c>
      <c r="C9" s="433">
        <f>+C8</f>
        <v>17150000</v>
      </c>
      <c r="D9" s="433">
        <f>+D8</f>
        <v>17150000</v>
      </c>
      <c r="E9" s="67"/>
      <c r="F9" s="67"/>
      <c r="G9" s="67"/>
    </row>
    <row r="10" spans="1:7" s="143" customFormat="1" ht="15" customHeight="1">
      <c r="B10" s="148"/>
      <c r="C10" s="314"/>
      <c r="D10" s="314"/>
      <c r="E10" s="67">
        <f>106778+29232+46282+32074+38570+60900+15428+56028+38164+53998+38976+40194+38057+15200+34691</f>
        <v>644572</v>
      </c>
      <c r="F10" s="67"/>
      <c r="G10" s="67"/>
    </row>
    <row r="11" spans="1:7" s="143" customFormat="1" ht="15" customHeight="1">
      <c r="B11" s="148" t="s">
        <v>125</v>
      </c>
      <c r="C11" s="610">
        <f>+E10*9</f>
        <v>5801148</v>
      </c>
      <c r="D11" s="610">
        <f>+F10*9</f>
        <v>0</v>
      </c>
      <c r="E11" s="67"/>
      <c r="F11" s="67"/>
      <c r="G11" s="67"/>
    </row>
    <row r="12" spans="1:7" s="143" customFormat="1" ht="15" customHeight="1">
      <c r="B12" s="50" t="s">
        <v>126</v>
      </c>
      <c r="C12" s="433">
        <f>SUM(C11)</f>
        <v>5801148</v>
      </c>
      <c r="D12" s="433">
        <f>SUM(D11)</f>
        <v>0</v>
      </c>
      <c r="E12" s="67"/>
      <c r="F12" s="67"/>
      <c r="G12" s="67"/>
    </row>
    <row r="13" spans="1:7" s="143" customFormat="1" ht="15" customHeight="1">
      <c r="B13" s="149"/>
      <c r="C13" s="316"/>
      <c r="D13" s="316"/>
      <c r="E13" s="67"/>
      <c r="F13" s="67"/>
      <c r="G13" s="67"/>
    </row>
    <row r="14" spans="1:7" s="143" customFormat="1" ht="32.25" customHeight="1">
      <c r="B14" s="144" t="s">
        <v>127</v>
      </c>
      <c r="C14" s="145">
        <v>0</v>
      </c>
      <c r="D14" s="145">
        <v>0</v>
      </c>
      <c r="E14" s="67"/>
      <c r="F14" s="67"/>
      <c r="G14" s="67"/>
    </row>
    <row r="15" spans="1:7" s="143" customFormat="1" ht="19.5" customHeight="1">
      <c r="B15" s="148" t="s">
        <v>529</v>
      </c>
      <c r="C15" s="317"/>
      <c r="D15" s="317"/>
      <c r="E15" s="67"/>
      <c r="F15" s="67"/>
      <c r="G15" s="67"/>
    </row>
    <row r="16" spans="1:7" s="143" customFormat="1" ht="15" customHeight="1">
      <c r="B16" s="148"/>
      <c r="C16" s="314"/>
      <c r="D16" s="314"/>
      <c r="E16" s="67"/>
      <c r="F16" s="67"/>
      <c r="G16" s="67"/>
    </row>
    <row r="17" spans="2:7" s="151" customFormat="1" ht="34.5" customHeight="1">
      <c r="B17" s="144" t="s">
        <v>128</v>
      </c>
      <c r="C17" s="318"/>
      <c r="D17" s="318"/>
      <c r="E17" s="150"/>
      <c r="F17" s="146"/>
      <c r="G17" s="146"/>
    </row>
    <row r="18" spans="2:7" s="143" customFormat="1" ht="15" customHeight="1">
      <c r="B18" s="149" t="s">
        <v>243</v>
      </c>
      <c r="C18" s="432">
        <f>+'2.sz.mell.'!C37</f>
        <v>7500000</v>
      </c>
      <c r="D18" s="432">
        <f>+'2.sz.mell.'!D37</f>
        <v>7500000</v>
      </c>
      <c r="E18" s="67"/>
      <c r="F18" s="67"/>
      <c r="G18" s="67"/>
    </row>
    <row r="19" spans="2:7" s="153" customFormat="1" ht="15" customHeight="1">
      <c r="B19" s="148" t="s">
        <v>129</v>
      </c>
      <c r="C19" s="432">
        <v>0</v>
      </c>
      <c r="D19" s="432">
        <v>0</v>
      </c>
      <c r="E19" s="152"/>
      <c r="F19" s="152"/>
      <c r="G19" s="152"/>
    </row>
    <row r="20" spans="2:7" s="151" customFormat="1" ht="15" customHeight="1">
      <c r="B20" s="50" t="s">
        <v>124</v>
      </c>
      <c r="C20" s="433">
        <f>+C18</f>
        <v>7500000</v>
      </c>
      <c r="D20" s="433">
        <f>+D18</f>
        <v>7500000</v>
      </c>
      <c r="E20" s="146"/>
      <c r="F20" s="146"/>
      <c r="G20" s="146"/>
    </row>
    <row r="21" spans="2:7" s="143" customFormat="1" ht="15" customHeight="1">
      <c r="B21" s="148"/>
      <c r="C21" s="315"/>
      <c r="D21" s="315"/>
      <c r="E21" s="67"/>
      <c r="F21" s="67"/>
      <c r="G21" s="67"/>
    </row>
    <row r="22" spans="2:7" s="143" customFormat="1" ht="15" customHeight="1">
      <c r="B22" s="50" t="s">
        <v>130</v>
      </c>
      <c r="C22" s="319"/>
      <c r="D22" s="319"/>
      <c r="E22" s="67"/>
      <c r="F22" s="67"/>
      <c r="G22" s="67"/>
    </row>
    <row r="23" spans="2:7" s="143" customFormat="1" ht="15" customHeight="1">
      <c r="B23" s="148" t="s">
        <v>131</v>
      </c>
      <c r="C23" s="432">
        <v>0</v>
      </c>
      <c r="D23" s="432">
        <v>0</v>
      </c>
      <c r="E23" s="67"/>
      <c r="F23" s="67"/>
      <c r="G23" s="67"/>
    </row>
    <row r="24" spans="2:7" s="143" customFormat="1" ht="15" customHeight="1">
      <c r="B24" s="148" t="s">
        <v>132</v>
      </c>
      <c r="C24" s="432">
        <v>0</v>
      </c>
      <c r="D24" s="432">
        <v>0</v>
      </c>
      <c r="E24" s="67"/>
      <c r="F24" s="67"/>
      <c r="G24" s="67"/>
    </row>
    <row r="25" spans="2:7" s="154" customFormat="1" ht="15" customHeight="1">
      <c r="B25" s="50" t="s">
        <v>124</v>
      </c>
      <c r="C25" s="433">
        <f>+'2.sz.mell.'!C41</f>
        <v>6000000</v>
      </c>
      <c r="D25" s="433">
        <f>+'2.sz.mell.'!D41</f>
        <v>0</v>
      </c>
      <c r="E25" s="150"/>
      <c r="F25" s="150"/>
      <c r="G25" s="150"/>
    </row>
    <row r="26" spans="2:7" s="143" customFormat="1" ht="15" customHeight="1">
      <c r="B26" s="50" t="s">
        <v>126</v>
      </c>
      <c r="C26" s="433">
        <v>0</v>
      </c>
      <c r="D26" s="433">
        <v>0</v>
      </c>
      <c r="E26" s="67"/>
      <c r="F26" s="67"/>
      <c r="G26" s="67"/>
    </row>
    <row r="27" spans="2:7" s="143" customFormat="1" ht="15" customHeight="1">
      <c r="B27" s="148"/>
      <c r="C27" s="315"/>
      <c r="D27" s="315"/>
      <c r="E27" s="67"/>
      <c r="F27" s="67"/>
      <c r="G27" s="67"/>
    </row>
    <row r="28" spans="2:7" s="143" customFormat="1" ht="36.75" customHeight="1">
      <c r="B28" s="144" t="s">
        <v>133</v>
      </c>
      <c r="C28" s="434"/>
      <c r="D28" s="434"/>
      <c r="E28" s="67"/>
      <c r="F28" s="67"/>
      <c r="G28" s="67"/>
    </row>
    <row r="29" spans="2:7" s="143" customFormat="1" ht="15" customHeight="1">
      <c r="B29" s="148" t="s">
        <v>134</v>
      </c>
      <c r="C29" s="435">
        <v>0</v>
      </c>
      <c r="D29" s="435">
        <v>0</v>
      </c>
      <c r="E29" s="67"/>
      <c r="F29" s="67"/>
      <c r="G29" s="67"/>
    </row>
    <row r="30" spans="2:7" s="143" customFormat="1" ht="15" customHeight="1">
      <c r="B30" s="148" t="s">
        <v>135</v>
      </c>
      <c r="C30" s="435">
        <v>0</v>
      </c>
      <c r="D30" s="435">
        <v>0</v>
      </c>
      <c r="E30" s="67"/>
      <c r="F30" s="67"/>
      <c r="G30" s="67"/>
    </row>
    <row r="31" spans="2:7" s="143" customFormat="1" ht="15" customHeight="1">
      <c r="B31" s="50" t="s">
        <v>126</v>
      </c>
      <c r="C31" s="145">
        <v>0</v>
      </c>
      <c r="D31" s="145">
        <v>0</v>
      </c>
      <c r="E31" s="67"/>
      <c r="F31" s="67"/>
      <c r="G31" s="67"/>
    </row>
    <row r="32" spans="2:7" s="143" customFormat="1" ht="15" customHeight="1">
      <c r="B32" s="148"/>
      <c r="C32" s="432"/>
      <c r="D32" s="432"/>
      <c r="E32" s="67"/>
      <c r="F32" s="67"/>
      <c r="G32" s="67"/>
    </row>
    <row r="33" spans="2:7" s="143" customFormat="1" ht="21" customHeight="1">
      <c r="B33" s="50" t="s">
        <v>136</v>
      </c>
      <c r="C33" s="436"/>
      <c r="D33" s="436"/>
      <c r="E33" s="150"/>
      <c r="F33" s="67"/>
      <c r="G33" s="67"/>
    </row>
    <row r="34" spans="2:7" s="143" customFormat="1" ht="15" customHeight="1">
      <c r="B34" s="148" t="s">
        <v>137</v>
      </c>
      <c r="C34" s="435">
        <v>0</v>
      </c>
      <c r="D34" s="435">
        <v>0</v>
      </c>
      <c r="E34" s="67"/>
      <c r="F34" s="67"/>
      <c r="G34" s="67"/>
    </row>
    <row r="35" spans="2:7" s="143" customFormat="1" ht="15" customHeight="1">
      <c r="B35" s="148" t="s">
        <v>129</v>
      </c>
      <c r="C35" s="435">
        <v>0</v>
      </c>
      <c r="D35" s="435">
        <v>0</v>
      </c>
      <c r="E35" s="67"/>
      <c r="F35" s="67"/>
      <c r="G35" s="67"/>
    </row>
    <row r="36" spans="2:7" s="154" customFormat="1" ht="15" customHeight="1">
      <c r="B36" s="50" t="s">
        <v>124</v>
      </c>
      <c r="C36" s="434">
        <v>0</v>
      </c>
      <c r="D36" s="434">
        <v>0</v>
      </c>
      <c r="E36" s="150"/>
      <c r="F36" s="150"/>
      <c r="G36" s="150"/>
    </row>
    <row r="37" spans="2:7" ht="15" customHeight="1">
      <c r="B37" s="144" t="s">
        <v>126</v>
      </c>
      <c r="C37" s="434">
        <v>0</v>
      </c>
      <c r="D37" s="434">
        <v>0</v>
      </c>
    </row>
    <row r="38" spans="2:7" ht="15" customHeight="1">
      <c r="B38" s="155"/>
      <c r="C38" s="315"/>
      <c r="D38" s="315"/>
    </row>
    <row r="39" spans="2:7" s="92" customFormat="1" ht="15" customHeight="1">
      <c r="B39" s="144" t="s">
        <v>138</v>
      </c>
      <c r="C39" s="446">
        <f>SUM(C12,C26,C31,C37)</f>
        <v>5801148</v>
      </c>
      <c r="D39" s="446">
        <f>SUM(D12,D26,D31,D37)</f>
        <v>0</v>
      </c>
      <c r="E39" s="85"/>
      <c r="F39" s="85"/>
      <c r="G39" s="85"/>
    </row>
  </sheetData>
  <mergeCells count="3">
    <mergeCell ref="A1:D1"/>
    <mergeCell ref="A3:D3"/>
    <mergeCell ref="A4:D4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="60" zoomScaleNormal="100" workbookViewId="0">
      <selection activeCell="L57" sqref="L57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56" customWidth="1"/>
    <col min="6" max="6" width="16.85546875" style="37" customWidth="1"/>
    <col min="7" max="16384" width="8.85546875" style="37"/>
  </cols>
  <sheetData>
    <row r="1" spans="1:8" ht="15.75">
      <c r="A1" s="725" t="s">
        <v>538</v>
      </c>
      <c r="B1" s="725"/>
      <c r="C1" s="725"/>
      <c r="D1" s="725"/>
      <c r="E1" s="725"/>
      <c r="F1" s="725"/>
      <c r="G1" s="725"/>
      <c r="H1" s="444"/>
    </row>
    <row r="3" spans="1:8" ht="48.75" customHeight="1">
      <c r="A3" s="738" t="s">
        <v>589</v>
      </c>
      <c r="B3" s="738"/>
      <c r="C3" s="738"/>
      <c r="D3" s="738"/>
      <c r="E3" s="738"/>
      <c r="F3" s="738"/>
      <c r="G3" s="738"/>
      <c r="H3" s="420"/>
    </row>
    <row r="4" spans="1:8" ht="18.75">
      <c r="D4" s="737" t="s">
        <v>38</v>
      </c>
      <c r="F4" s="407"/>
    </row>
    <row r="5" spans="1:8" ht="18.75">
      <c r="D5" s="737"/>
      <c r="F5" s="408" t="s">
        <v>317</v>
      </c>
    </row>
    <row r="6" spans="1:8" ht="18.75">
      <c r="D6" s="409" t="s">
        <v>139</v>
      </c>
      <c r="F6" s="410"/>
    </row>
    <row r="7" spans="1:8" ht="18.75">
      <c r="D7" s="411" t="s">
        <v>51</v>
      </c>
      <c r="F7" s="412">
        <v>0</v>
      </c>
    </row>
    <row r="8" spans="1:8" ht="18.75">
      <c r="D8" s="409" t="s">
        <v>140</v>
      </c>
      <c r="F8" s="413">
        <v>0</v>
      </c>
    </row>
    <row r="9" spans="1:8" ht="18.75">
      <c r="D9" s="409"/>
      <c r="F9" s="413"/>
    </row>
    <row r="10" spans="1:8" ht="18.75">
      <c r="D10" s="414" t="s">
        <v>39</v>
      </c>
      <c r="F10" s="415"/>
    </row>
    <row r="11" spans="1:8" ht="18.75">
      <c r="D11" s="409" t="s">
        <v>141</v>
      </c>
      <c r="F11" s="410"/>
    </row>
    <row r="12" spans="1:8" ht="18.75">
      <c r="D12" s="411" t="s">
        <v>234</v>
      </c>
      <c r="F12" s="410">
        <f>+'5.a sz.mell.'!L36</f>
        <v>567000</v>
      </c>
    </row>
    <row r="13" spans="1:8" ht="18.75">
      <c r="D13" s="411" t="s">
        <v>235</v>
      </c>
      <c r="F13" s="410">
        <f>+'5.a sz.mell.'!L37</f>
        <v>180000</v>
      </c>
    </row>
    <row r="14" spans="1:8" ht="18.75">
      <c r="D14" s="411" t="s">
        <v>50</v>
      </c>
      <c r="F14" s="410">
        <v>700000</v>
      </c>
    </row>
    <row r="15" spans="1:8" ht="18.75">
      <c r="D15" s="411" t="s">
        <v>341</v>
      </c>
      <c r="F15" s="410">
        <v>1700000</v>
      </c>
    </row>
    <row r="16" spans="1:8" ht="18.75">
      <c r="D16" s="409" t="s">
        <v>142</v>
      </c>
      <c r="F16" s="413">
        <f>SUM(F12:F15)</f>
        <v>3147000</v>
      </c>
    </row>
    <row r="17" spans="4:6" ht="18.75">
      <c r="D17" s="409"/>
      <c r="F17" s="413"/>
    </row>
    <row r="18" spans="4:6" ht="18.75">
      <c r="D18" s="409" t="s">
        <v>143</v>
      </c>
      <c r="F18" s="413">
        <f>SUM(F8,F16)</f>
        <v>3147000</v>
      </c>
    </row>
    <row r="19" spans="4:6" ht="18">
      <c r="D19" s="402"/>
      <c r="F19" s="416"/>
    </row>
    <row r="20" spans="4:6" ht="18.75">
      <c r="D20" s="417" t="s">
        <v>144</v>
      </c>
      <c r="F20" s="416"/>
    </row>
    <row r="21" spans="4:6" ht="18.75">
      <c r="D21" s="417" t="s">
        <v>145</v>
      </c>
      <c r="F21" s="418">
        <v>0</v>
      </c>
    </row>
    <row r="22" spans="4:6" ht="18.75">
      <c r="D22" s="419" t="s">
        <v>146</v>
      </c>
      <c r="F22" s="418">
        <f>+F12+F13</f>
        <v>747000</v>
      </c>
    </row>
    <row r="23" spans="4:6" ht="18">
      <c r="D23" s="402"/>
      <c r="E23" s="416"/>
    </row>
    <row r="24" spans="4:6">
      <c r="D24" s="157"/>
    </row>
    <row r="25" spans="4:6">
      <c r="D25" s="84"/>
    </row>
    <row r="26" spans="4:6">
      <c r="D26" s="84"/>
    </row>
    <row r="27" spans="4:6">
      <c r="D27" s="84"/>
    </row>
    <row r="28" spans="4:6">
      <c r="D28" s="84"/>
    </row>
    <row r="29" spans="4:6">
      <c r="D29" s="84"/>
    </row>
    <row r="32" spans="4:6">
      <c r="D32" s="203"/>
      <c r="E32" s="204"/>
    </row>
    <row r="33" spans="4:5">
      <c r="D33" s="205"/>
      <c r="E33" s="206"/>
    </row>
  </sheetData>
  <mergeCells count="3">
    <mergeCell ref="D4:D5"/>
    <mergeCell ref="A3:G3"/>
    <mergeCell ref="A1:G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N521"/>
  <sheetViews>
    <sheetView tabSelected="1" zoomScale="130" zoomScaleNormal="130" workbookViewId="0">
      <selection activeCell="B32" sqref="B32"/>
    </sheetView>
  </sheetViews>
  <sheetFormatPr defaultColWidth="8.85546875" defaultRowHeight="15"/>
  <cols>
    <col min="1" max="1" width="9" style="94" customWidth="1"/>
    <col min="2" max="2" width="67" style="181" customWidth="1"/>
    <col min="3" max="4" width="24.7109375" style="188" customWidth="1"/>
    <col min="5" max="5" width="15.5703125" style="37" bestFit="1" customWidth="1"/>
    <col min="6" max="6" width="15.5703125" style="37" customWidth="1"/>
    <col min="7" max="7" width="12.85546875" style="37" customWidth="1"/>
    <col min="8" max="8" width="13.28515625" style="37" customWidth="1"/>
    <col min="9" max="9" width="16.28515625" style="37" bestFit="1" customWidth="1"/>
    <col min="10" max="13" width="8.85546875" style="37"/>
    <col min="14" max="14" width="16.28515625" style="37" bestFit="1" customWidth="1"/>
    <col min="15" max="16384" width="8.85546875" style="37"/>
  </cols>
  <sheetData>
    <row r="1" spans="1:10" ht="23.25" customHeight="1">
      <c r="A1" s="643" t="s">
        <v>530</v>
      </c>
      <c r="B1" s="643"/>
      <c r="C1" s="643"/>
      <c r="D1" s="615"/>
      <c r="E1" s="250"/>
      <c r="F1" s="250"/>
      <c r="G1" s="250"/>
      <c r="H1" s="250"/>
      <c r="I1" s="180"/>
    </row>
    <row r="2" spans="1:10" ht="42" customHeight="1">
      <c r="A2" s="642" t="s">
        <v>595</v>
      </c>
      <c r="B2" s="642"/>
      <c r="C2" s="642"/>
      <c r="D2" s="614"/>
      <c r="E2" s="182"/>
      <c r="F2" s="182"/>
      <c r="G2" s="182"/>
      <c r="H2" s="182"/>
      <c r="I2" s="214"/>
      <c r="J2" s="182"/>
    </row>
    <row r="3" spans="1:10" ht="16.5" thickBot="1">
      <c r="B3" s="528" t="s">
        <v>317</v>
      </c>
      <c r="C3" s="529" t="s">
        <v>317</v>
      </c>
      <c r="D3" s="529"/>
      <c r="E3" s="215"/>
      <c r="F3" s="215"/>
    </row>
    <row r="4" spans="1:10" ht="33" customHeight="1">
      <c r="B4" s="301" t="s">
        <v>176</v>
      </c>
      <c r="C4" s="184" t="s">
        <v>616</v>
      </c>
      <c r="D4" s="184" t="s">
        <v>617</v>
      </c>
      <c r="E4" s="37" t="s">
        <v>622</v>
      </c>
      <c r="F4" s="37" t="s">
        <v>623</v>
      </c>
    </row>
    <row r="5" spans="1:10">
      <c r="B5" s="212" t="s">
        <v>376</v>
      </c>
      <c r="C5" s="340">
        <v>70119800</v>
      </c>
      <c r="D5" s="340">
        <v>83712000</v>
      </c>
      <c r="E5" s="644">
        <v>100042520</v>
      </c>
      <c r="F5" s="619"/>
      <c r="I5" s="37" t="s">
        <v>621</v>
      </c>
    </row>
    <row r="6" spans="1:10">
      <c r="B6" s="217" t="s">
        <v>378</v>
      </c>
      <c r="C6" s="334">
        <v>10198440</v>
      </c>
      <c r="D6" s="334">
        <v>10198440</v>
      </c>
      <c r="E6" s="644"/>
      <c r="F6" s="619"/>
    </row>
    <row r="7" spans="1:10">
      <c r="B7" s="217" t="s">
        <v>379</v>
      </c>
      <c r="C7" s="334">
        <v>6400000</v>
      </c>
      <c r="D7" s="334">
        <v>6400000</v>
      </c>
      <c r="E7" s="644"/>
      <c r="F7" s="619"/>
    </row>
    <row r="8" spans="1:10">
      <c r="B8" s="217" t="s">
        <v>380</v>
      </c>
      <c r="C8" s="334">
        <v>100000</v>
      </c>
      <c r="D8" s="334">
        <v>100000</v>
      </c>
      <c r="E8" s="644"/>
      <c r="F8" s="619"/>
      <c r="G8" s="37" t="s">
        <v>495</v>
      </c>
    </row>
    <row r="9" spans="1:10">
      <c r="B9" s="217" t="s">
        <v>381</v>
      </c>
      <c r="C9" s="334">
        <v>5309530</v>
      </c>
      <c r="D9" s="334">
        <v>5309530</v>
      </c>
      <c r="E9" s="644"/>
      <c r="F9" s="619">
        <f>+D5+D6+D7+D8+D9+D10+D12+D22+D11</f>
        <v>113634720</v>
      </c>
    </row>
    <row r="10" spans="1:10">
      <c r="B10" s="217" t="s">
        <v>382</v>
      </c>
      <c r="C10" s="334">
        <v>7000000</v>
      </c>
      <c r="D10" s="334">
        <v>7000000</v>
      </c>
      <c r="E10" s="644"/>
      <c r="F10" s="619"/>
    </row>
    <row r="11" spans="1:10">
      <c r="B11" s="217" t="s">
        <v>383</v>
      </c>
      <c r="C11" s="334">
        <v>0</v>
      </c>
      <c r="D11" s="334">
        <v>0</v>
      </c>
      <c r="E11" s="644"/>
      <c r="F11" s="619"/>
    </row>
    <row r="12" spans="1:10">
      <c r="B12" s="217" t="s">
        <v>384</v>
      </c>
      <c r="C12" s="334">
        <v>840800</v>
      </c>
      <c r="D12" s="334">
        <v>840800</v>
      </c>
      <c r="E12" s="644"/>
      <c r="F12" s="619"/>
    </row>
    <row r="13" spans="1:10">
      <c r="B13" s="217" t="s">
        <v>377</v>
      </c>
      <c r="C13" s="334">
        <v>71496700</v>
      </c>
      <c r="D13" s="334">
        <v>71496700</v>
      </c>
    </row>
    <row r="14" spans="1:10" ht="15.75" customHeight="1">
      <c r="B14" s="217" t="s">
        <v>386</v>
      </c>
      <c r="C14" s="334">
        <v>19727792</v>
      </c>
      <c r="D14" s="334">
        <v>19727792</v>
      </c>
      <c r="E14" s="641">
        <f>+C14+C15+C16+C17+C18+C19+C20</f>
        <v>94161792</v>
      </c>
      <c r="F14" s="641">
        <f>+D14+D15+D16+D17+D18+D19+D20</f>
        <v>94161792</v>
      </c>
      <c r="G14" s="37" t="s">
        <v>543</v>
      </c>
    </row>
    <row r="15" spans="1:10">
      <c r="B15" s="217" t="s">
        <v>387</v>
      </c>
      <c r="C15" s="334">
        <f>3230000+5940000+150000+5555600+3400000</f>
        <v>18275600</v>
      </c>
      <c r="D15" s="334">
        <f>+C15</f>
        <v>18275600</v>
      </c>
      <c r="E15" s="641"/>
      <c r="F15" s="641"/>
      <c r="G15" s="156"/>
    </row>
    <row r="16" spans="1:10">
      <c r="B16" s="217" t="s">
        <v>388</v>
      </c>
      <c r="C16" s="334">
        <v>20394000</v>
      </c>
      <c r="D16" s="334">
        <f>+C16</f>
        <v>20394000</v>
      </c>
      <c r="E16" s="641"/>
      <c r="F16" s="641"/>
      <c r="G16" s="37">
        <f>3780000+5555600+150000+5940000+3230000</f>
        <v>18655600</v>
      </c>
    </row>
    <row r="17" spans="2:8">
      <c r="B17" s="217" t="s">
        <v>389</v>
      </c>
      <c r="C17" s="334">
        <v>24051380</v>
      </c>
      <c r="D17" s="334">
        <f>+C17</f>
        <v>24051380</v>
      </c>
      <c r="E17" s="641"/>
      <c r="F17" s="641"/>
      <c r="H17" s="156"/>
    </row>
    <row r="18" spans="2:8">
      <c r="B18" s="217" t="s">
        <v>390</v>
      </c>
      <c r="C18" s="334">
        <v>932520</v>
      </c>
      <c r="D18" s="334">
        <f>+C18</f>
        <v>932520</v>
      </c>
      <c r="E18" s="641"/>
      <c r="F18" s="641"/>
    </row>
    <row r="19" spans="2:8">
      <c r="B19" s="217" t="s">
        <v>496</v>
      </c>
      <c r="C19" s="334">
        <v>7482500</v>
      </c>
      <c r="D19" s="334">
        <f>+C19</f>
        <v>7482500</v>
      </c>
      <c r="E19" s="641"/>
      <c r="F19" s="641"/>
      <c r="G19" s="37">
        <v>94541792</v>
      </c>
    </row>
    <row r="20" spans="2:8">
      <c r="B20" s="217" t="s">
        <v>497</v>
      </c>
      <c r="C20" s="334">
        <v>3298000</v>
      </c>
      <c r="D20" s="334">
        <v>3298000</v>
      </c>
      <c r="E20" s="641"/>
      <c r="F20" s="641"/>
    </row>
    <row r="21" spans="2:8">
      <c r="B21" s="217" t="s">
        <v>391</v>
      </c>
      <c r="C21" s="334">
        <v>3074958</v>
      </c>
      <c r="D21" s="334">
        <v>3074958</v>
      </c>
      <c r="E21" s="156"/>
      <c r="F21" s="156"/>
    </row>
    <row r="22" spans="2:8">
      <c r="B22" s="217" t="s">
        <v>385</v>
      </c>
      <c r="C22" s="334">
        <v>73950</v>
      </c>
      <c r="D22" s="334">
        <v>73950</v>
      </c>
      <c r="E22" s="620"/>
      <c r="F22" s="541"/>
    </row>
    <row r="23" spans="2:8" ht="15.75" thickBot="1">
      <c r="B23" s="251" t="s">
        <v>431</v>
      </c>
      <c r="C23" s="421">
        <v>0</v>
      </c>
      <c r="D23" s="421">
        <v>0</v>
      </c>
    </row>
    <row r="24" spans="2:8" ht="15.75" thickBot="1">
      <c r="B24" s="487" t="s">
        <v>433</v>
      </c>
      <c r="C24" s="488">
        <v>0</v>
      </c>
      <c r="D24" s="488">
        <v>3320707</v>
      </c>
    </row>
    <row r="25" spans="2:8" ht="19.899999999999999" customHeight="1" thickBot="1">
      <c r="B25" s="302" t="s">
        <v>177</v>
      </c>
      <c r="C25" s="327">
        <f>SUM(C5:C24)</f>
        <v>268775970</v>
      </c>
      <c r="D25" s="327">
        <f>SUM(D5:D24)</f>
        <v>285688877</v>
      </c>
      <c r="E25" s="156"/>
      <c r="F25" s="625" t="s">
        <v>642</v>
      </c>
      <c r="H25" s="156">
        <f>+D25-285688877</f>
        <v>0</v>
      </c>
    </row>
    <row r="26" spans="2:8">
      <c r="B26" s="186" t="s">
        <v>441</v>
      </c>
      <c r="C26" s="328">
        <f>+'5 b.sz.mell.'!F25</f>
        <v>20354748</v>
      </c>
      <c r="D26" s="328">
        <f>+'5 b.sz.mell.'!G25</f>
        <v>20354748</v>
      </c>
    </row>
    <row r="27" spans="2:8">
      <c r="B27" s="217" t="s">
        <v>442</v>
      </c>
      <c r="C27" s="326">
        <f>+'5 b.sz.mell.'!F12+'5 b.sz.mell.'!F11+'5 b.sz.mell.'!F10+'5 b.sz.mell.'!F13</f>
        <v>0</v>
      </c>
      <c r="D27" s="326">
        <f>+'5 b.sz.mell.'!G12+'5 b.sz.mell.'!G11+'5 b.sz.mell.'!G10+'5 b.sz.mell.'!G13</f>
        <v>18107887</v>
      </c>
    </row>
    <row r="28" spans="2:8">
      <c r="B28" s="217" t="s">
        <v>443</v>
      </c>
      <c r="C28" s="326">
        <f>+'5 b.sz.mell.'!F28</f>
        <v>7411115</v>
      </c>
      <c r="D28" s="326">
        <f>+'5 b.sz.mell.'!G28</f>
        <v>7411115</v>
      </c>
    </row>
    <row r="29" spans="2:8">
      <c r="B29" s="217" t="s">
        <v>448</v>
      </c>
      <c r="C29" s="326">
        <f>+'5 b.sz.mell.'!F39</f>
        <v>1938774</v>
      </c>
      <c r="D29" s="326">
        <f>+'5 b.sz.mell.'!G39</f>
        <v>977813</v>
      </c>
    </row>
    <row r="30" spans="2:8">
      <c r="B30" s="216" t="s">
        <v>444</v>
      </c>
      <c r="C30" s="329">
        <f>+'5 b.sz.mell.'!F29</f>
        <v>0</v>
      </c>
      <c r="D30" s="329">
        <f>+'5 b.sz.mell.'!G29</f>
        <v>0</v>
      </c>
    </row>
    <row r="31" spans="2:8">
      <c r="B31" s="216" t="s">
        <v>449</v>
      </c>
      <c r="C31" s="329">
        <f>+'5 b.sz.mell.'!F49</f>
        <v>2800000</v>
      </c>
      <c r="D31" s="329">
        <f>+'5 b.sz.mell.'!G49</f>
        <v>2800000</v>
      </c>
    </row>
    <row r="32" spans="2:8">
      <c r="B32" s="216" t="s">
        <v>450</v>
      </c>
      <c r="C32" s="329">
        <f>+'5 b.sz.mell.'!F9</f>
        <v>0</v>
      </c>
      <c r="D32" s="329">
        <f>+'5 b.sz.mell.'!G9</f>
        <v>0</v>
      </c>
    </row>
    <row r="33" spans="2:14">
      <c r="B33" s="216" t="s">
        <v>445</v>
      </c>
      <c r="C33" s="329">
        <f>+'5 b.sz.mell.'!F21</f>
        <v>0</v>
      </c>
      <c r="D33" s="329">
        <f>+'5 b.sz.mell.'!G21</f>
        <v>0</v>
      </c>
    </row>
    <row r="34" spans="2:14">
      <c r="B34" s="216" t="s">
        <v>674</v>
      </c>
      <c r="C34" s="329">
        <f>+'5 b.sz.mell.'!F55</f>
        <v>2024525</v>
      </c>
      <c r="D34" s="329">
        <f>+'5 b.sz.mell.'!G55</f>
        <v>8082220</v>
      </c>
    </row>
    <row r="35" spans="2:14" ht="15.75" thickBot="1">
      <c r="B35" s="216" t="s">
        <v>503</v>
      </c>
      <c r="C35" s="329">
        <f>+'5 b.sz.mell.'!F6</f>
        <v>61262718</v>
      </c>
      <c r="D35" s="329">
        <f>+'5 b.sz.mell.'!G6</f>
        <v>55898283</v>
      </c>
    </row>
    <row r="36" spans="2:14" ht="19.899999999999999" customHeight="1" thickBot="1">
      <c r="B36" s="302" t="s">
        <v>392</v>
      </c>
      <c r="C36" s="327">
        <f>SUM(C26:C35)</f>
        <v>95791880</v>
      </c>
      <c r="D36" s="327">
        <f>SUM(D26:D35)</f>
        <v>113632066</v>
      </c>
      <c r="E36" s="156">
        <f>+'5 b.sz.mell.'!F61-'5 b.sz.mell.'!F36</f>
        <v>95791880</v>
      </c>
      <c r="F36" s="156">
        <f>+'5 b.sz.mell.'!G61-'5 b.sz.mell.'!G36</f>
        <v>113632066</v>
      </c>
    </row>
    <row r="37" spans="2:14">
      <c r="B37" s="217" t="s">
        <v>393</v>
      </c>
      <c r="C37" s="326">
        <v>7500000</v>
      </c>
      <c r="D37" s="326">
        <v>7500000</v>
      </c>
      <c r="E37" s="486"/>
      <c r="F37" s="486"/>
    </row>
    <row r="38" spans="2:14">
      <c r="B38" s="217" t="s">
        <v>394</v>
      </c>
      <c r="C38" s="326">
        <v>60000000</v>
      </c>
      <c r="D38" s="326">
        <v>60000000</v>
      </c>
      <c r="E38" s="185"/>
      <c r="F38" s="185"/>
    </row>
    <row r="39" spans="2:14">
      <c r="B39" s="217" t="s">
        <v>396</v>
      </c>
      <c r="C39" s="326">
        <v>100000</v>
      </c>
      <c r="D39" s="326">
        <v>100000</v>
      </c>
      <c r="E39" s="185"/>
      <c r="F39" s="185"/>
    </row>
    <row r="40" spans="2:14">
      <c r="B40" s="217" t="s">
        <v>397</v>
      </c>
      <c r="C40" s="326">
        <v>1000000</v>
      </c>
      <c r="D40" s="326">
        <v>1000000</v>
      </c>
      <c r="E40" s="185"/>
      <c r="F40" s="185"/>
    </row>
    <row r="41" spans="2:14">
      <c r="B41" s="217" t="s">
        <v>395</v>
      </c>
      <c r="C41" s="326">
        <v>6000000</v>
      </c>
      <c r="D41" s="326">
        <v>0</v>
      </c>
      <c r="E41" s="185"/>
      <c r="F41" s="185"/>
    </row>
    <row r="42" spans="2:14" ht="15.75" thickBot="1">
      <c r="B42" s="216" t="s">
        <v>398</v>
      </c>
      <c r="C42" s="329">
        <v>4670000</v>
      </c>
      <c r="D42" s="329">
        <v>4670000</v>
      </c>
      <c r="E42" s="185"/>
      <c r="F42" s="185"/>
    </row>
    <row r="43" spans="2:14" ht="19.899999999999999" customHeight="1" thickBot="1">
      <c r="B43" s="302" t="s">
        <v>178</v>
      </c>
      <c r="C43" s="327">
        <f>SUM(C37:C42)</f>
        <v>79270000</v>
      </c>
      <c r="D43" s="327">
        <f>SUM(D37:D42)</f>
        <v>73270000</v>
      </c>
      <c r="E43" s="485">
        <f>+'5 b.sz.mell.'!N61</f>
        <v>79270000</v>
      </c>
      <c r="F43" s="485">
        <f>+'5 b.sz.mell.'!O61</f>
        <v>73270000</v>
      </c>
    </row>
    <row r="44" spans="2:14">
      <c r="B44" s="217" t="s">
        <v>399</v>
      </c>
      <c r="C44" s="326">
        <v>0</v>
      </c>
      <c r="D44" s="326">
        <v>0</v>
      </c>
      <c r="E44" s="485"/>
      <c r="F44" s="485"/>
    </row>
    <row r="45" spans="2:14">
      <c r="B45" s="217" t="s">
        <v>544</v>
      </c>
      <c r="C45" s="326">
        <f>8630000+400000+40000+200000+50000</f>
        <v>9320000</v>
      </c>
      <c r="D45" s="326">
        <f>8630000+400000+40000+200000+50000</f>
        <v>9320000</v>
      </c>
      <c r="E45" s="185"/>
      <c r="F45" s="185"/>
      <c r="N45" s="602"/>
    </row>
    <row r="46" spans="2:14">
      <c r="B46" s="217" t="s">
        <v>403</v>
      </c>
      <c r="C46" s="326">
        <v>17150000</v>
      </c>
      <c r="D46" s="326">
        <v>17150000</v>
      </c>
      <c r="E46" s="185"/>
      <c r="F46" s="185"/>
      <c r="N46" s="602"/>
    </row>
    <row r="47" spans="2:14">
      <c r="B47" s="217" t="s">
        <v>407</v>
      </c>
      <c r="C47" s="326">
        <f>150000+600000</f>
        <v>750000</v>
      </c>
      <c r="D47" s="326">
        <f>150000+600000</f>
        <v>750000</v>
      </c>
      <c r="E47" s="185"/>
      <c r="F47" s="185"/>
      <c r="N47" s="602"/>
    </row>
    <row r="48" spans="2:14">
      <c r="B48" s="186" t="s">
        <v>402</v>
      </c>
      <c r="C48" s="328">
        <v>13800000</v>
      </c>
      <c r="D48" s="328">
        <v>13800000</v>
      </c>
      <c r="E48" s="185"/>
      <c r="F48" s="185"/>
      <c r="N48" s="602"/>
    </row>
    <row r="49" spans="2:14">
      <c r="B49" s="186" t="s">
        <v>401</v>
      </c>
      <c r="C49" s="328"/>
      <c r="D49" s="328"/>
      <c r="E49" s="185"/>
      <c r="F49" s="185"/>
      <c r="N49" s="602"/>
    </row>
    <row r="50" spans="2:14">
      <c r="B50" s="217" t="s">
        <v>404</v>
      </c>
      <c r="C50" s="326">
        <f>4675000+4735000</f>
        <v>9410000</v>
      </c>
      <c r="D50" s="326">
        <f>4675000+4735000</f>
        <v>9410000</v>
      </c>
      <c r="E50" s="185"/>
      <c r="F50" s="185"/>
      <c r="N50" s="602"/>
    </row>
    <row r="51" spans="2:14">
      <c r="B51" s="217" t="s">
        <v>405</v>
      </c>
      <c r="C51" s="326">
        <v>875000</v>
      </c>
      <c r="D51" s="326">
        <v>875000</v>
      </c>
      <c r="E51" s="185"/>
      <c r="F51" s="185"/>
      <c r="N51" s="602"/>
    </row>
    <row r="52" spans="2:14">
      <c r="B52" s="217" t="s">
        <v>406</v>
      </c>
      <c r="C52" s="326">
        <v>5000</v>
      </c>
      <c r="D52" s="326">
        <v>5000</v>
      </c>
      <c r="E52" s="185"/>
      <c r="F52" s="185"/>
      <c r="N52" s="602"/>
    </row>
    <row r="53" spans="2:14" ht="18.75" customHeight="1">
      <c r="B53" s="217" t="s">
        <v>400</v>
      </c>
      <c r="C53" s="326">
        <f>20000+3150000+70000+900000</f>
        <v>4140000</v>
      </c>
      <c r="D53" s="326">
        <f>20000+3150000+70000+900000</f>
        <v>4140000</v>
      </c>
      <c r="E53" s="185"/>
      <c r="F53" s="185"/>
      <c r="N53" s="602"/>
    </row>
    <row r="54" spans="2:14" ht="18.75" customHeight="1" thickBot="1">
      <c r="B54" s="502" t="s">
        <v>447</v>
      </c>
      <c r="C54" s="503">
        <v>0</v>
      </c>
      <c r="D54" s="503">
        <v>0</v>
      </c>
      <c r="E54" s="185"/>
      <c r="F54" s="185"/>
      <c r="I54" s="602"/>
    </row>
    <row r="55" spans="2:14" ht="19.899999999999999" customHeight="1" thickBot="1">
      <c r="B55" s="302" t="s">
        <v>179</v>
      </c>
      <c r="C55" s="327">
        <f>SUM(C44:C54)</f>
        <v>55450000</v>
      </c>
      <c r="D55" s="327">
        <f>SUM(D44:D54)</f>
        <v>55450000</v>
      </c>
      <c r="E55" s="486">
        <f>+'5 b.sz.mell.'!D61</f>
        <v>55450000</v>
      </c>
      <c r="F55" s="486">
        <f>+'5 b.sz.mell.'!E61</f>
        <v>55450000</v>
      </c>
      <c r="G55" s="156"/>
    </row>
    <row r="56" spans="2:14" ht="19.899999999999999" customHeight="1" thickBot="1">
      <c r="B56" s="284" t="s">
        <v>409</v>
      </c>
      <c r="C56" s="330">
        <v>0</v>
      </c>
      <c r="D56" s="330">
        <v>0</v>
      </c>
      <c r="E56" s="187"/>
      <c r="F56" s="187"/>
      <c r="I56" s="603"/>
    </row>
    <row r="57" spans="2:14" ht="19.899999999999999" customHeight="1" thickBot="1">
      <c r="B57" s="303" t="s">
        <v>244</v>
      </c>
      <c r="C57" s="327">
        <f>SUM(C56)</f>
        <v>0</v>
      </c>
      <c r="D57" s="327">
        <f>SUM(D56)</f>
        <v>0</v>
      </c>
      <c r="E57" s="486">
        <f>+C55+C57</f>
        <v>55450000</v>
      </c>
      <c r="F57" s="486">
        <f>+D55+D57</f>
        <v>55450000</v>
      </c>
    </row>
    <row r="58" spans="2:14" ht="19.899999999999999" hidden="1" customHeight="1">
      <c r="B58" s="285" t="s">
        <v>502</v>
      </c>
      <c r="C58" s="331">
        <v>0</v>
      </c>
      <c r="D58" s="331">
        <v>0</v>
      </c>
      <c r="E58" s="187"/>
      <c r="F58" s="187"/>
    </row>
    <row r="59" spans="2:14" ht="19.899999999999999" customHeight="1">
      <c r="B59" s="332" t="s">
        <v>446</v>
      </c>
      <c r="C59" s="333">
        <f>+'5 b.sz.mell.'!H27</f>
        <v>5096029</v>
      </c>
      <c r="D59" s="333">
        <v>5096029</v>
      </c>
      <c r="E59" s="187"/>
      <c r="F59" s="187"/>
    </row>
    <row r="60" spans="2:14" ht="19.899999999999999" customHeight="1">
      <c r="B60" s="286" t="s">
        <v>639</v>
      </c>
      <c r="C60" s="334">
        <v>0</v>
      </c>
      <c r="D60" s="334">
        <v>284433287</v>
      </c>
      <c r="E60" s="187"/>
      <c r="F60" s="187"/>
    </row>
    <row r="61" spans="2:14" ht="19.899999999999999" customHeight="1">
      <c r="B61" s="286" t="s">
        <v>640</v>
      </c>
      <c r="C61" s="334">
        <v>0</v>
      </c>
      <c r="D61" s="334">
        <v>8798088</v>
      </c>
      <c r="E61" s="187"/>
      <c r="F61" s="187"/>
    </row>
    <row r="62" spans="2:14" ht="19.899999999999999" customHeight="1" thickBot="1">
      <c r="B62" s="332" t="s">
        <v>641</v>
      </c>
      <c r="C62" s="333">
        <v>0</v>
      </c>
      <c r="D62" s="333">
        <v>154655790</v>
      </c>
      <c r="E62" s="187"/>
      <c r="F62" s="187"/>
    </row>
    <row r="63" spans="2:14" ht="19.899999999999999" customHeight="1">
      <c r="B63" s="497" t="s">
        <v>432</v>
      </c>
      <c r="C63" s="498">
        <f>SUM(C58:C62)</f>
        <v>5096029</v>
      </c>
      <c r="D63" s="498">
        <f>SUM(D58:D62)</f>
        <v>452983194</v>
      </c>
      <c r="E63" s="486">
        <f>+'5 b.sz.mell.'!H61</f>
        <v>5096029</v>
      </c>
      <c r="F63" s="486">
        <f>+'5 b.sz.mell.'!I61</f>
        <v>452983194</v>
      </c>
      <c r="G63" s="156">
        <f>+C63-E63</f>
        <v>0</v>
      </c>
    </row>
    <row r="64" spans="2:14">
      <c r="B64" s="286" t="s">
        <v>408</v>
      </c>
      <c r="C64" s="334">
        <f>+'5 b.sz.mell.'!J60+'5 b.sz.mell.'!J50+'5 b.sz.mell.'!J46+'5 b.sz.mell.'!J43+'5 b.sz.mell.'!J38</f>
        <v>225056072</v>
      </c>
      <c r="D64" s="334">
        <f>+'5 b.sz.mell.'!K60+'5 b.sz.mell.'!K50+'5 b.sz.mell.'!K46+'5 b.sz.mell.'!K43+'5 b.sz.mell.'!K38</f>
        <v>228996200</v>
      </c>
      <c r="E64" s="486">
        <f>+'5 b.sz.mell.'!J61</f>
        <v>225056072</v>
      </c>
      <c r="F64" s="486">
        <f>+'5 b.sz.mell.'!K61</f>
        <v>228996200</v>
      </c>
    </row>
    <row r="65" spans="1:10" ht="19.899999999999999" customHeight="1" thickBot="1">
      <c r="B65" s="189" t="s">
        <v>180</v>
      </c>
      <c r="C65" s="499">
        <f>SUM(C64)</f>
        <v>225056072</v>
      </c>
      <c r="D65" s="499">
        <f>SUM(D64)</f>
        <v>228996200</v>
      </c>
      <c r="E65" s="185"/>
      <c r="F65" s="185"/>
    </row>
    <row r="66" spans="1:10" ht="27" customHeight="1" thickBot="1">
      <c r="B66" s="189" t="s">
        <v>181</v>
      </c>
      <c r="C66" s="548">
        <f>SUM(C25,C36,C43,C55,C57,C63,C65)</f>
        <v>729439951</v>
      </c>
      <c r="D66" s="548">
        <f>SUM(D25,D36,D43,D55,D57,D63,D65)</f>
        <v>1210020337</v>
      </c>
      <c r="E66" s="486">
        <f>+'5 b.sz.mell.'!P61-'5 b.sz.mell.'!L61</f>
        <v>729439951</v>
      </c>
      <c r="F66" s="486">
        <f>+'5 b.sz.mell.'!Q61-'5 b.sz.mell.'!M61</f>
        <v>1210020337</v>
      </c>
    </row>
    <row r="67" spans="1:10">
      <c r="B67" s="190"/>
      <c r="C67" s="458">
        <f>+E66-C66</f>
        <v>0</v>
      </c>
      <c r="D67" s="458"/>
      <c r="E67" s="185"/>
      <c r="F67" s="185"/>
    </row>
    <row r="68" spans="1:10">
      <c r="B68" s="191"/>
      <c r="C68" s="437"/>
      <c r="D68" s="438" t="s">
        <v>663</v>
      </c>
      <c r="E68" s="192"/>
      <c r="F68" s="192"/>
    </row>
    <row r="69" spans="1:10" ht="36.6" customHeight="1">
      <c r="B69" s="526" t="s">
        <v>594</v>
      </c>
      <c r="E69" s="214"/>
      <c r="F69" s="614"/>
      <c r="G69" s="214"/>
      <c r="H69" s="214"/>
      <c r="I69" s="214"/>
      <c r="J69" s="182"/>
    </row>
    <row r="70" spans="1:10" ht="12.75" customHeight="1">
      <c r="A70" s="183"/>
      <c r="B70" s="84"/>
      <c r="E70" s="84"/>
      <c r="F70" s="84"/>
    </row>
    <row r="71" spans="1:10" ht="21.75" customHeight="1" thickBot="1">
      <c r="B71" s="527" t="s">
        <v>317</v>
      </c>
      <c r="E71" s="215"/>
      <c r="F71" s="215"/>
    </row>
    <row r="72" spans="1:10" ht="32.25" customHeight="1">
      <c r="B72" s="301" t="s">
        <v>182</v>
      </c>
      <c r="C72" s="184" t="s">
        <v>616</v>
      </c>
      <c r="D72" s="184" t="s">
        <v>617</v>
      </c>
      <c r="E72" s="193"/>
      <c r="F72" s="193"/>
    </row>
    <row r="73" spans="1:10">
      <c r="B73" s="212" t="s">
        <v>410</v>
      </c>
      <c r="C73" s="335">
        <f>+'5.a sz.mell.'!D66</f>
        <v>222999810</v>
      </c>
      <c r="D73" s="335">
        <f>+'5.a sz.mell.'!E66</f>
        <v>243442171</v>
      </c>
      <c r="E73" s="185"/>
      <c r="F73" s="185"/>
    </row>
    <row r="74" spans="1:10">
      <c r="B74" s="212" t="s">
        <v>183</v>
      </c>
      <c r="C74" s="335">
        <f>+'5.a sz.mell.'!F66</f>
        <v>37774837</v>
      </c>
      <c r="D74" s="335">
        <f>+'5.a sz.mell.'!G66</f>
        <v>40027658</v>
      </c>
      <c r="E74" s="194"/>
      <c r="F74" s="194"/>
    </row>
    <row r="75" spans="1:10" ht="25.5">
      <c r="B75" s="459" t="s">
        <v>451</v>
      </c>
      <c r="C75" s="335">
        <f>+'5.a sz.mell.'!H66</f>
        <v>200426841</v>
      </c>
      <c r="D75" s="335">
        <f>+'5.a sz.mell.'!I66</f>
        <v>271808127</v>
      </c>
      <c r="E75" s="195"/>
      <c r="F75" s="195"/>
    </row>
    <row r="76" spans="1:10">
      <c r="B76" s="212" t="s">
        <v>411</v>
      </c>
      <c r="C76" s="335">
        <f>+'5.a sz.mell.'!L66</f>
        <v>3147000</v>
      </c>
      <c r="D76" s="335">
        <f>+'5.a sz.mell.'!M66</f>
        <v>3147000</v>
      </c>
      <c r="E76" s="185"/>
      <c r="F76" s="185"/>
      <c r="G76" s="156"/>
    </row>
    <row r="77" spans="1:10">
      <c r="B77" s="212" t="s">
        <v>454</v>
      </c>
      <c r="C77" s="335">
        <v>0</v>
      </c>
      <c r="D77" s="335">
        <v>0</v>
      </c>
      <c r="E77" s="185"/>
      <c r="F77" s="185"/>
      <c r="G77" s="156"/>
    </row>
    <row r="78" spans="1:10">
      <c r="B78" s="212" t="s">
        <v>415</v>
      </c>
      <c r="C78" s="335">
        <f>+'5.a sz.mell.'!P66</f>
        <v>10751039</v>
      </c>
      <c r="D78" s="335">
        <f>+'5.a sz.mell.'!Q66</f>
        <v>10997076</v>
      </c>
      <c r="E78" s="185"/>
      <c r="F78" s="185"/>
    </row>
    <row r="79" spans="1:10">
      <c r="B79" s="212" t="s">
        <v>440</v>
      </c>
      <c r="C79" s="335">
        <f>+'5.a sz.mell.'!R66</f>
        <v>0</v>
      </c>
      <c r="D79" s="335">
        <f>+'5.a sz.mell.'!S66</f>
        <v>0</v>
      </c>
      <c r="E79" s="185"/>
      <c r="F79" s="185"/>
    </row>
    <row r="80" spans="1:10">
      <c r="B80" s="212" t="s">
        <v>452</v>
      </c>
      <c r="C80" s="335">
        <f>+E80-C81</f>
        <v>6570803</v>
      </c>
      <c r="D80" s="335">
        <f>+F80-D81</f>
        <v>7739996</v>
      </c>
      <c r="E80" s="645">
        <f>+'5.a sz.mell.'!J66</f>
        <v>95627898</v>
      </c>
      <c r="F80" s="645">
        <f>+'5.a sz.mell.'!K66</f>
        <v>96797091</v>
      </c>
    </row>
    <row r="81" spans="2:6" ht="15.75" thickBot="1">
      <c r="B81" s="213" t="s">
        <v>453</v>
      </c>
      <c r="C81" s="336">
        <f>+'5.a sz.mell.'!J26+2400000</f>
        <v>89057095</v>
      </c>
      <c r="D81" s="336">
        <f>+'5.a sz.mell.'!K26+2400000</f>
        <v>89057095</v>
      </c>
      <c r="E81" s="646"/>
      <c r="F81" s="646"/>
    </row>
    <row r="82" spans="2:6" ht="19.899999999999999" customHeight="1" thickBot="1">
      <c r="B82" s="300" t="s">
        <v>185</v>
      </c>
      <c r="C82" s="337">
        <f>SUM(C73:C81)</f>
        <v>570727425</v>
      </c>
      <c r="D82" s="337">
        <f>SUM(D73:D81)</f>
        <v>666219123</v>
      </c>
      <c r="E82" s="187"/>
      <c r="F82" s="187"/>
    </row>
    <row r="83" spans="2:6">
      <c r="B83" s="212" t="s">
        <v>412</v>
      </c>
      <c r="C83" s="338">
        <v>0</v>
      </c>
      <c r="D83" s="338">
        <v>0</v>
      </c>
      <c r="E83" s="187"/>
      <c r="F83" s="187"/>
    </row>
    <row r="84" spans="2:6" ht="15.75" thickBot="1">
      <c r="B84" s="213" t="s">
        <v>413</v>
      </c>
      <c r="C84" s="336">
        <f>+'5.a sz.mell.'!N66-C83</f>
        <v>98896424</v>
      </c>
      <c r="D84" s="336">
        <f>+'5.a sz.mell.'!O66-D83</f>
        <v>96983663</v>
      </c>
      <c r="E84" s="187"/>
      <c r="F84" s="187"/>
    </row>
    <row r="85" spans="2:6" ht="19.899999999999999" customHeight="1" thickBot="1">
      <c r="B85" s="300" t="s">
        <v>186</v>
      </c>
      <c r="C85" s="337">
        <f>SUM(C83:C84)</f>
        <v>98896424</v>
      </c>
      <c r="D85" s="337">
        <f>SUM(D83:D84)</f>
        <v>96983663</v>
      </c>
      <c r="E85" s="187"/>
      <c r="F85" s="187"/>
    </row>
    <row r="86" spans="2:6">
      <c r="B86" s="212" t="s">
        <v>434</v>
      </c>
      <c r="C86" s="338">
        <f>+'5.a sz.mell.'!T66</f>
        <v>13396044</v>
      </c>
      <c r="D86" s="338">
        <f>+'5.a sz.mell.'!U66</f>
        <v>246834689</v>
      </c>
      <c r="E86" s="185"/>
      <c r="F86" s="185"/>
    </row>
    <row r="87" spans="2:6">
      <c r="B87" s="213" t="s">
        <v>414</v>
      </c>
      <c r="C87" s="336">
        <f>+'5.a sz.mell.'!V66</f>
        <v>46420058</v>
      </c>
      <c r="D87" s="336">
        <f>+'5.a sz.mell.'!W66</f>
        <v>199982862</v>
      </c>
      <c r="E87" s="185"/>
      <c r="F87" s="185"/>
    </row>
    <row r="88" spans="2:6" ht="15.75" thickBot="1">
      <c r="B88" s="213" t="s">
        <v>242</v>
      </c>
      <c r="C88" s="336">
        <v>0</v>
      </c>
      <c r="D88" s="336">
        <v>0</v>
      </c>
      <c r="E88" s="185"/>
      <c r="F88" s="185"/>
    </row>
    <row r="89" spans="2:6" ht="19.899999999999999" customHeight="1" thickBot="1">
      <c r="B89" s="300" t="s">
        <v>187</v>
      </c>
      <c r="C89" s="337">
        <f>SUM(C86:C88)</f>
        <v>59816102</v>
      </c>
      <c r="D89" s="337">
        <f>SUM(D86:D88)</f>
        <v>446817551</v>
      </c>
      <c r="E89" s="185"/>
      <c r="F89" s="185"/>
    </row>
    <row r="90" spans="2:6" ht="24.6" customHeight="1" thickBot="1">
      <c r="B90" s="189" t="s">
        <v>188</v>
      </c>
      <c r="C90" s="339">
        <f>C82+C85+C89</f>
        <v>729439951</v>
      </c>
      <c r="D90" s="339">
        <f>D82+D85+D89</f>
        <v>1210020337</v>
      </c>
      <c r="E90" s="501">
        <f>+'5.a sz.mell.'!X66</f>
        <v>729439951</v>
      </c>
      <c r="F90" s="501"/>
    </row>
    <row r="91" spans="2:6">
      <c r="B91" s="87"/>
      <c r="E91" s="185"/>
      <c r="F91" s="185"/>
    </row>
    <row r="92" spans="2:6">
      <c r="B92" s="87"/>
      <c r="C92" s="458">
        <f>+C90-C66</f>
        <v>0</v>
      </c>
      <c r="D92" s="458"/>
      <c r="E92" s="185"/>
      <c r="F92" s="185"/>
    </row>
    <row r="93" spans="2:6">
      <c r="B93" s="87"/>
      <c r="E93" s="185"/>
      <c r="F93" s="185"/>
    </row>
    <row r="94" spans="2:6">
      <c r="B94" s="188"/>
      <c r="D94" s="438" t="s">
        <v>366</v>
      </c>
    </row>
    <row r="95" spans="2:6">
      <c r="B95" s="188"/>
    </row>
    <row r="96" spans="2:6">
      <c r="B96" s="188"/>
    </row>
    <row r="97" spans="2:2">
      <c r="B97" s="188"/>
    </row>
    <row r="98" spans="2:2" ht="41.25" customHeight="1">
      <c r="B98" s="188"/>
    </row>
    <row r="99" spans="2:2">
      <c r="B99" s="188"/>
    </row>
    <row r="100" spans="2:2">
      <c r="B100" s="188"/>
    </row>
    <row r="101" spans="2:2">
      <c r="B101" s="188"/>
    </row>
    <row r="102" spans="2:2">
      <c r="B102" s="188"/>
    </row>
    <row r="103" spans="2:2">
      <c r="B103" s="188"/>
    </row>
    <row r="104" spans="2:2">
      <c r="B104" s="188"/>
    </row>
    <row r="105" spans="2:2">
      <c r="B105" s="188"/>
    </row>
    <row r="106" spans="2:2">
      <c r="B106" s="188"/>
    </row>
    <row r="107" spans="2:2">
      <c r="B107" s="188"/>
    </row>
    <row r="108" spans="2:2">
      <c r="B108" s="188"/>
    </row>
    <row r="109" spans="2:2">
      <c r="B109" s="188"/>
    </row>
    <row r="110" spans="2:2">
      <c r="B110" s="188"/>
    </row>
    <row r="111" spans="2:2">
      <c r="B111" s="188"/>
    </row>
    <row r="112" spans="2:2">
      <c r="B112" s="188"/>
    </row>
    <row r="113" spans="2:2">
      <c r="B113" s="188"/>
    </row>
    <row r="114" spans="2:2">
      <c r="B114" s="188"/>
    </row>
    <row r="115" spans="2:2">
      <c r="B115" s="188"/>
    </row>
    <row r="116" spans="2:2">
      <c r="B116" s="188"/>
    </row>
    <row r="117" spans="2:2">
      <c r="B117" s="188"/>
    </row>
    <row r="118" spans="2:2">
      <c r="B118" s="188"/>
    </row>
    <row r="119" spans="2:2">
      <c r="B119" s="188"/>
    </row>
    <row r="120" spans="2:2">
      <c r="B120" s="188"/>
    </row>
    <row r="121" spans="2:2">
      <c r="B121" s="188"/>
    </row>
    <row r="122" spans="2:2">
      <c r="B122" s="188"/>
    </row>
    <row r="123" spans="2:2">
      <c r="B123" s="188"/>
    </row>
    <row r="124" spans="2:2">
      <c r="B124" s="188"/>
    </row>
    <row r="125" spans="2:2">
      <c r="B125" s="188"/>
    </row>
    <row r="126" spans="2:2">
      <c r="B126" s="188"/>
    </row>
    <row r="127" spans="2:2">
      <c r="B127" s="188"/>
    </row>
    <row r="128" spans="2:2">
      <c r="B128" s="188"/>
    </row>
    <row r="129" spans="2:2">
      <c r="B129" s="188"/>
    </row>
    <row r="130" spans="2:2">
      <c r="B130" s="188"/>
    </row>
    <row r="131" spans="2:2">
      <c r="B131" s="188"/>
    </row>
    <row r="132" spans="2:2">
      <c r="B132" s="188"/>
    </row>
    <row r="133" spans="2:2">
      <c r="B133" s="188"/>
    </row>
    <row r="134" spans="2:2">
      <c r="B134" s="188"/>
    </row>
    <row r="135" spans="2:2">
      <c r="B135" s="188"/>
    </row>
    <row r="136" spans="2:2">
      <c r="B136" s="188"/>
    </row>
    <row r="137" spans="2:2">
      <c r="B137" s="188"/>
    </row>
    <row r="138" spans="2:2">
      <c r="B138" s="188"/>
    </row>
    <row r="139" spans="2:2">
      <c r="B139" s="188"/>
    </row>
    <row r="140" spans="2:2">
      <c r="B140" s="188"/>
    </row>
    <row r="141" spans="2:2">
      <c r="B141" s="188"/>
    </row>
    <row r="142" spans="2:2">
      <c r="B142" s="188"/>
    </row>
    <row r="143" spans="2:2">
      <c r="B143" s="188"/>
    </row>
    <row r="144" spans="2:2">
      <c r="B144" s="188"/>
    </row>
    <row r="145" spans="2:2">
      <c r="B145" s="188"/>
    </row>
    <row r="146" spans="2:2">
      <c r="B146" s="188"/>
    </row>
    <row r="147" spans="2:2">
      <c r="B147" s="188"/>
    </row>
    <row r="148" spans="2:2">
      <c r="B148" s="188"/>
    </row>
    <row r="149" spans="2:2">
      <c r="B149" s="188"/>
    </row>
    <row r="150" spans="2:2">
      <c r="B150" s="188"/>
    </row>
    <row r="151" spans="2:2">
      <c r="B151" s="188"/>
    </row>
    <row r="152" spans="2:2">
      <c r="B152" s="188"/>
    </row>
    <row r="153" spans="2:2">
      <c r="B153" s="188"/>
    </row>
    <row r="154" spans="2:2">
      <c r="B154" s="188"/>
    </row>
    <row r="155" spans="2:2">
      <c r="B155" s="188"/>
    </row>
    <row r="156" spans="2:2">
      <c r="B156" s="188"/>
    </row>
    <row r="157" spans="2:2">
      <c r="B157" s="188"/>
    </row>
    <row r="158" spans="2:2">
      <c r="B158" s="188"/>
    </row>
    <row r="159" spans="2:2">
      <c r="B159" s="188"/>
    </row>
    <row r="160" spans="2:2">
      <c r="B160" s="188"/>
    </row>
    <row r="161" spans="2:2">
      <c r="B161" s="188"/>
    </row>
    <row r="162" spans="2:2">
      <c r="B162" s="188"/>
    </row>
    <row r="163" spans="2:2">
      <c r="B163" s="188"/>
    </row>
    <row r="164" spans="2:2">
      <c r="B164" s="188"/>
    </row>
    <row r="165" spans="2:2">
      <c r="B165" s="188"/>
    </row>
    <row r="166" spans="2:2">
      <c r="B166" s="188"/>
    </row>
    <row r="167" spans="2:2">
      <c r="B167" s="188"/>
    </row>
    <row r="168" spans="2:2">
      <c r="B168" s="188"/>
    </row>
    <row r="169" spans="2:2">
      <c r="B169" s="188"/>
    </row>
    <row r="170" spans="2:2">
      <c r="B170" s="188"/>
    </row>
    <row r="171" spans="2:2">
      <c r="B171" s="188"/>
    </row>
    <row r="172" spans="2:2">
      <c r="B172" s="188"/>
    </row>
    <row r="173" spans="2:2">
      <c r="B173" s="188"/>
    </row>
    <row r="174" spans="2:2">
      <c r="B174" s="188"/>
    </row>
    <row r="175" spans="2:2">
      <c r="B175" s="188"/>
    </row>
    <row r="176" spans="2:2">
      <c r="B176" s="188"/>
    </row>
    <row r="177" spans="2:2">
      <c r="B177" s="188"/>
    </row>
    <row r="178" spans="2:2">
      <c r="B178" s="188"/>
    </row>
    <row r="179" spans="2:2">
      <c r="B179" s="188"/>
    </row>
    <row r="180" spans="2:2">
      <c r="B180" s="188"/>
    </row>
    <row r="181" spans="2:2">
      <c r="B181" s="188"/>
    </row>
    <row r="182" spans="2:2">
      <c r="B182" s="188"/>
    </row>
    <row r="183" spans="2:2">
      <c r="B183" s="188"/>
    </row>
    <row r="184" spans="2:2">
      <c r="B184" s="188"/>
    </row>
    <row r="185" spans="2:2">
      <c r="B185" s="188"/>
    </row>
    <row r="186" spans="2:2">
      <c r="B186" s="188"/>
    </row>
    <row r="187" spans="2:2">
      <c r="B187" s="188"/>
    </row>
    <row r="188" spans="2:2">
      <c r="B188" s="188"/>
    </row>
    <row r="189" spans="2:2">
      <c r="B189" s="188"/>
    </row>
    <row r="190" spans="2:2">
      <c r="B190" s="188"/>
    </row>
    <row r="191" spans="2:2">
      <c r="B191" s="188"/>
    </row>
    <row r="192" spans="2:2">
      <c r="B192" s="188"/>
    </row>
    <row r="193" spans="2:2">
      <c r="B193" s="188"/>
    </row>
    <row r="194" spans="2:2">
      <c r="B194" s="188"/>
    </row>
    <row r="195" spans="2:2">
      <c r="B195" s="188"/>
    </row>
    <row r="196" spans="2:2">
      <c r="B196" s="188"/>
    </row>
    <row r="197" spans="2:2">
      <c r="B197" s="188"/>
    </row>
    <row r="198" spans="2:2">
      <c r="B198" s="188"/>
    </row>
    <row r="199" spans="2:2">
      <c r="B199" s="188"/>
    </row>
    <row r="200" spans="2:2">
      <c r="B200" s="188"/>
    </row>
    <row r="201" spans="2:2">
      <c r="B201" s="188"/>
    </row>
    <row r="202" spans="2:2">
      <c r="B202" s="188"/>
    </row>
    <row r="203" spans="2:2">
      <c r="B203" s="188"/>
    </row>
    <row r="204" spans="2:2">
      <c r="B204" s="188"/>
    </row>
    <row r="205" spans="2:2">
      <c r="B205" s="188"/>
    </row>
    <row r="206" spans="2:2">
      <c r="B206" s="188"/>
    </row>
    <row r="207" spans="2:2">
      <c r="B207" s="188"/>
    </row>
    <row r="208" spans="2:2">
      <c r="B208" s="188"/>
    </row>
    <row r="209" spans="2:2">
      <c r="B209" s="188"/>
    </row>
    <row r="210" spans="2:2">
      <c r="B210" s="188"/>
    </row>
    <row r="211" spans="2:2">
      <c r="B211" s="188"/>
    </row>
    <row r="212" spans="2:2">
      <c r="B212" s="188"/>
    </row>
    <row r="213" spans="2:2">
      <c r="B213" s="188"/>
    </row>
    <row r="214" spans="2:2">
      <c r="B214" s="188"/>
    </row>
    <row r="215" spans="2:2">
      <c r="B215" s="188"/>
    </row>
    <row r="216" spans="2:2">
      <c r="B216" s="188"/>
    </row>
    <row r="217" spans="2:2">
      <c r="B217" s="188"/>
    </row>
    <row r="218" spans="2:2">
      <c r="B218" s="188"/>
    </row>
    <row r="219" spans="2:2">
      <c r="B219" s="188"/>
    </row>
    <row r="220" spans="2:2">
      <c r="B220" s="188"/>
    </row>
    <row r="221" spans="2:2">
      <c r="B221" s="188"/>
    </row>
    <row r="222" spans="2:2">
      <c r="B222" s="188"/>
    </row>
    <row r="223" spans="2:2">
      <c r="B223" s="188"/>
    </row>
    <row r="224" spans="2:2">
      <c r="B224" s="188"/>
    </row>
    <row r="225" spans="2:2">
      <c r="B225" s="188"/>
    </row>
    <row r="226" spans="2:2">
      <c r="B226" s="188"/>
    </row>
    <row r="227" spans="2:2">
      <c r="B227" s="188"/>
    </row>
    <row r="228" spans="2:2">
      <c r="B228" s="188"/>
    </row>
    <row r="229" spans="2:2">
      <c r="B229" s="188"/>
    </row>
    <row r="230" spans="2:2">
      <c r="B230" s="188"/>
    </row>
    <row r="231" spans="2:2">
      <c r="B231" s="188"/>
    </row>
    <row r="232" spans="2:2">
      <c r="B232" s="188"/>
    </row>
    <row r="233" spans="2:2">
      <c r="B233" s="188"/>
    </row>
    <row r="234" spans="2:2">
      <c r="B234" s="188"/>
    </row>
    <row r="235" spans="2:2">
      <c r="B235" s="188"/>
    </row>
    <row r="236" spans="2:2">
      <c r="B236" s="188"/>
    </row>
    <row r="237" spans="2:2">
      <c r="B237" s="188"/>
    </row>
    <row r="238" spans="2:2">
      <c r="B238" s="188"/>
    </row>
    <row r="239" spans="2:2">
      <c r="B239" s="188"/>
    </row>
    <row r="240" spans="2:2">
      <c r="B240" s="188"/>
    </row>
    <row r="241" spans="2:2">
      <c r="B241" s="188"/>
    </row>
    <row r="242" spans="2:2">
      <c r="B242" s="188"/>
    </row>
    <row r="243" spans="2:2">
      <c r="B243" s="188"/>
    </row>
    <row r="244" spans="2:2">
      <c r="B244" s="188"/>
    </row>
    <row r="245" spans="2:2">
      <c r="B245" s="188"/>
    </row>
    <row r="246" spans="2:2">
      <c r="B246" s="188"/>
    </row>
    <row r="247" spans="2:2">
      <c r="B247" s="188"/>
    </row>
    <row r="248" spans="2:2">
      <c r="B248" s="188"/>
    </row>
    <row r="249" spans="2:2">
      <c r="B249" s="188"/>
    </row>
    <row r="250" spans="2:2">
      <c r="B250" s="188"/>
    </row>
    <row r="251" spans="2:2">
      <c r="B251" s="188"/>
    </row>
    <row r="252" spans="2:2">
      <c r="B252" s="188"/>
    </row>
    <row r="253" spans="2:2">
      <c r="B253" s="188"/>
    </row>
    <row r="254" spans="2:2">
      <c r="B254" s="188"/>
    </row>
    <row r="255" spans="2:2">
      <c r="B255" s="188"/>
    </row>
    <row r="256" spans="2:2">
      <c r="B256" s="188"/>
    </row>
    <row r="257" spans="2:2">
      <c r="B257" s="188"/>
    </row>
    <row r="258" spans="2:2">
      <c r="B258" s="188"/>
    </row>
    <row r="259" spans="2:2">
      <c r="B259" s="188"/>
    </row>
    <row r="260" spans="2:2">
      <c r="B260" s="188"/>
    </row>
    <row r="261" spans="2:2">
      <c r="B261" s="188"/>
    </row>
    <row r="262" spans="2:2">
      <c r="B262" s="188"/>
    </row>
    <row r="263" spans="2:2">
      <c r="B263" s="188"/>
    </row>
    <row r="264" spans="2:2">
      <c r="B264" s="188"/>
    </row>
    <row r="265" spans="2:2">
      <c r="B265" s="188"/>
    </row>
    <row r="266" spans="2:2">
      <c r="B266" s="188"/>
    </row>
    <row r="267" spans="2:2">
      <c r="B267" s="188"/>
    </row>
    <row r="268" spans="2:2">
      <c r="B268" s="188"/>
    </row>
    <row r="269" spans="2:2">
      <c r="B269" s="188"/>
    </row>
    <row r="270" spans="2:2">
      <c r="B270" s="188"/>
    </row>
    <row r="271" spans="2:2">
      <c r="B271" s="188"/>
    </row>
    <row r="272" spans="2:2">
      <c r="B272" s="188"/>
    </row>
    <row r="273" spans="2:2">
      <c r="B273" s="188"/>
    </row>
    <row r="274" spans="2:2">
      <c r="B274" s="188"/>
    </row>
    <row r="275" spans="2:2">
      <c r="B275" s="188"/>
    </row>
    <row r="276" spans="2:2">
      <c r="B276" s="188"/>
    </row>
    <row r="277" spans="2:2">
      <c r="B277" s="188"/>
    </row>
    <row r="278" spans="2:2">
      <c r="B278" s="188"/>
    </row>
    <row r="279" spans="2:2">
      <c r="B279" s="188"/>
    </row>
    <row r="280" spans="2:2">
      <c r="B280" s="188"/>
    </row>
    <row r="281" spans="2:2">
      <c r="B281" s="188"/>
    </row>
    <row r="282" spans="2:2">
      <c r="B282" s="188"/>
    </row>
    <row r="283" spans="2:2">
      <c r="B283" s="188"/>
    </row>
    <row r="284" spans="2:2">
      <c r="B284" s="188"/>
    </row>
    <row r="285" spans="2:2">
      <c r="B285" s="188"/>
    </row>
    <row r="286" spans="2:2">
      <c r="B286" s="188"/>
    </row>
    <row r="287" spans="2:2">
      <c r="B287" s="188"/>
    </row>
    <row r="288" spans="2:2">
      <c r="B288" s="188"/>
    </row>
    <row r="289" spans="2:2">
      <c r="B289" s="188"/>
    </row>
    <row r="290" spans="2:2">
      <c r="B290" s="188"/>
    </row>
    <row r="291" spans="2:2">
      <c r="B291" s="188"/>
    </row>
    <row r="292" spans="2:2">
      <c r="B292" s="188"/>
    </row>
    <row r="293" spans="2:2">
      <c r="B293" s="188"/>
    </row>
    <row r="294" spans="2:2">
      <c r="B294" s="188"/>
    </row>
    <row r="295" spans="2:2">
      <c r="B295" s="188"/>
    </row>
    <row r="296" spans="2:2">
      <c r="B296" s="188"/>
    </row>
    <row r="297" spans="2:2">
      <c r="B297" s="188"/>
    </row>
    <row r="298" spans="2:2">
      <c r="B298" s="188"/>
    </row>
    <row r="299" spans="2:2">
      <c r="B299" s="188"/>
    </row>
    <row r="300" spans="2:2">
      <c r="B300" s="188"/>
    </row>
    <row r="301" spans="2:2">
      <c r="B301" s="188"/>
    </row>
    <row r="302" spans="2:2">
      <c r="B302" s="188"/>
    </row>
    <row r="303" spans="2:2">
      <c r="B303" s="188"/>
    </row>
    <row r="304" spans="2:2">
      <c r="B304" s="188"/>
    </row>
    <row r="305" spans="2:2">
      <c r="B305" s="188"/>
    </row>
    <row r="306" spans="2:2">
      <c r="B306" s="188"/>
    </row>
    <row r="307" spans="2:2">
      <c r="B307" s="188"/>
    </row>
    <row r="308" spans="2:2">
      <c r="B308" s="188"/>
    </row>
    <row r="309" spans="2:2">
      <c r="B309" s="188"/>
    </row>
    <row r="310" spans="2:2">
      <c r="B310" s="188"/>
    </row>
    <row r="311" spans="2:2">
      <c r="B311" s="188"/>
    </row>
    <row r="312" spans="2:2">
      <c r="B312" s="188"/>
    </row>
    <row r="313" spans="2:2">
      <c r="B313" s="188"/>
    </row>
    <row r="314" spans="2:2">
      <c r="B314" s="188"/>
    </row>
    <row r="315" spans="2:2">
      <c r="B315" s="188"/>
    </row>
    <row r="316" spans="2:2">
      <c r="B316" s="188"/>
    </row>
    <row r="317" spans="2:2">
      <c r="B317" s="188"/>
    </row>
    <row r="318" spans="2:2">
      <c r="B318" s="188"/>
    </row>
    <row r="319" spans="2:2">
      <c r="B319" s="188"/>
    </row>
    <row r="320" spans="2:2">
      <c r="B320" s="188"/>
    </row>
    <row r="321" spans="2:2">
      <c r="B321" s="188"/>
    </row>
    <row r="322" spans="2:2">
      <c r="B322" s="188"/>
    </row>
    <row r="323" spans="2:2">
      <c r="B323" s="188"/>
    </row>
    <row r="324" spans="2:2">
      <c r="B324" s="188"/>
    </row>
    <row r="325" spans="2:2">
      <c r="B325" s="188"/>
    </row>
    <row r="326" spans="2:2">
      <c r="B326" s="188"/>
    </row>
    <row r="327" spans="2:2">
      <c r="B327" s="188"/>
    </row>
    <row r="328" spans="2:2">
      <c r="B328" s="188"/>
    </row>
    <row r="329" spans="2:2">
      <c r="B329" s="188"/>
    </row>
    <row r="330" spans="2:2">
      <c r="B330" s="188"/>
    </row>
    <row r="331" spans="2:2">
      <c r="B331" s="188"/>
    </row>
    <row r="332" spans="2:2">
      <c r="B332" s="188"/>
    </row>
    <row r="333" spans="2:2">
      <c r="B333" s="188"/>
    </row>
    <row r="334" spans="2:2">
      <c r="B334" s="188"/>
    </row>
    <row r="335" spans="2:2">
      <c r="B335" s="188"/>
    </row>
    <row r="336" spans="2:2">
      <c r="B336" s="188"/>
    </row>
    <row r="337" spans="2:2">
      <c r="B337" s="188"/>
    </row>
    <row r="338" spans="2:2">
      <c r="B338" s="188"/>
    </row>
    <row r="339" spans="2:2">
      <c r="B339" s="188"/>
    </row>
    <row r="340" spans="2:2">
      <c r="B340" s="188"/>
    </row>
    <row r="341" spans="2:2">
      <c r="B341" s="188"/>
    </row>
    <row r="342" spans="2:2">
      <c r="B342" s="188"/>
    </row>
    <row r="343" spans="2:2">
      <c r="B343" s="188"/>
    </row>
    <row r="344" spans="2:2">
      <c r="B344" s="188"/>
    </row>
    <row r="345" spans="2:2">
      <c r="B345" s="188"/>
    </row>
    <row r="346" spans="2:2">
      <c r="B346" s="188"/>
    </row>
    <row r="347" spans="2:2">
      <c r="B347" s="188"/>
    </row>
    <row r="348" spans="2:2">
      <c r="B348" s="188"/>
    </row>
    <row r="349" spans="2:2">
      <c r="B349" s="188"/>
    </row>
    <row r="350" spans="2:2">
      <c r="B350" s="188"/>
    </row>
    <row r="351" spans="2:2">
      <c r="B351" s="188"/>
    </row>
    <row r="352" spans="2:2">
      <c r="B352" s="188"/>
    </row>
    <row r="353" spans="2:2">
      <c r="B353" s="188"/>
    </row>
    <row r="354" spans="2:2">
      <c r="B354" s="188"/>
    </row>
    <row r="355" spans="2:2">
      <c r="B355" s="188"/>
    </row>
    <row r="356" spans="2:2">
      <c r="B356" s="188"/>
    </row>
    <row r="357" spans="2:2">
      <c r="B357" s="188"/>
    </row>
    <row r="358" spans="2:2">
      <c r="B358" s="188"/>
    </row>
    <row r="359" spans="2:2">
      <c r="B359" s="188"/>
    </row>
    <row r="360" spans="2:2">
      <c r="B360" s="188"/>
    </row>
    <row r="361" spans="2:2">
      <c r="B361" s="188"/>
    </row>
    <row r="362" spans="2:2">
      <c r="B362" s="188"/>
    </row>
    <row r="363" spans="2:2">
      <c r="B363" s="188"/>
    </row>
    <row r="364" spans="2:2">
      <c r="B364" s="188"/>
    </row>
    <row r="365" spans="2:2">
      <c r="B365" s="188"/>
    </row>
    <row r="366" spans="2:2">
      <c r="B366" s="188"/>
    </row>
    <row r="367" spans="2:2">
      <c r="B367" s="188"/>
    </row>
    <row r="368" spans="2:2">
      <c r="B368" s="188"/>
    </row>
    <row r="369" spans="2:2">
      <c r="B369" s="188"/>
    </row>
    <row r="370" spans="2:2">
      <c r="B370" s="188"/>
    </row>
    <row r="371" spans="2:2">
      <c r="B371" s="188"/>
    </row>
    <row r="372" spans="2:2">
      <c r="B372" s="188"/>
    </row>
    <row r="373" spans="2:2">
      <c r="B373" s="188"/>
    </row>
    <row r="374" spans="2:2">
      <c r="B374" s="188"/>
    </row>
    <row r="375" spans="2:2">
      <c r="B375" s="188"/>
    </row>
    <row r="376" spans="2:2">
      <c r="B376" s="188"/>
    </row>
    <row r="377" spans="2:2">
      <c r="B377" s="188"/>
    </row>
    <row r="378" spans="2:2">
      <c r="B378" s="188"/>
    </row>
    <row r="379" spans="2:2">
      <c r="B379" s="188"/>
    </row>
    <row r="380" spans="2:2">
      <c r="B380" s="188"/>
    </row>
    <row r="381" spans="2:2">
      <c r="B381" s="188"/>
    </row>
    <row r="382" spans="2:2">
      <c r="B382" s="188"/>
    </row>
    <row r="383" spans="2:2">
      <c r="B383" s="188"/>
    </row>
    <row r="384" spans="2:2">
      <c r="B384" s="188"/>
    </row>
    <row r="385" spans="2:2">
      <c r="B385" s="188"/>
    </row>
    <row r="386" spans="2:2">
      <c r="B386" s="188"/>
    </row>
    <row r="387" spans="2:2">
      <c r="B387" s="188"/>
    </row>
    <row r="388" spans="2:2">
      <c r="B388" s="188"/>
    </row>
    <row r="389" spans="2:2">
      <c r="B389" s="188"/>
    </row>
    <row r="390" spans="2:2">
      <c r="B390" s="188"/>
    </row>
    <row r="391" spans="2:2">
      <c r="B391" s="188"/>
    </row>
    <row r="392" spans="2:2">
      <c r="B392" s="188"/>
    </row>
    <row r="393" spans="2:2">
      <c r="B393" s="188"/>
    </row>
    <row r="394" spans="2:2">
      <c r="B394" s="188"/>
    </row>
    <row r="395" spans="2:2">
      <c r="B395" s="188"/>
    </row>
    <row r="396" spans="2:2">
      <c r="B396" s="188"/>
    </row>
    <row r="397" spans="2:2">
      <c r="B397" s="188"/>
    </row>
    <row r="398" spans="2:2">
      <c r="B398" s="188"/>
    </row>
    <row r="399" spans="2:2">
      <c r="B399" s="188"/>
    </row>
    <row r="400" spans="2:2">
      <c r="B400" s="188"/>
    </row>
    <row r="401" spans="2:2">
      <c r="B401" s="188"/>
    </row>
    <row r="402" spans="2:2">
      <c r="B402" s="188"/>
    </row>
    <row r="403" spans="2:2">
      <c r="B403" s="188"/>
    </row>
    <row r="404" spans="2:2">
      <c r="B404" s="188"/>
    </row>
    <row r="405" spans="2:2">
      <c r="B405" s="188"/>
    </row>
    <row r="406" spans="2:2">
      <c r="B406" s="188"/>
    </row>
    <row r="407" spans="2:2">
      <c r="B407" s="188"/>
    </row>
    <row r="408" spans="2:2">
      <c r="B408" s="188"/>
    </row>
    <row r="409" spans="2:2">
      <c r="B409" s="188"/>
    </row>
    <row r="410" spans="2:2">
      <c r="B410" s="188"/>
    </row>
    <row r="411" spans="2:2">
      <c r="B411" s="188"/>
    </row>
    <row r="412" spans="2:2">
      <c r="B412" s="188"/>
    </row>
    <row r="413" spans="2:2">
      <c r="B413" s="188"/>
    </row>
    <row r="414" spans="2:2">
      <c r="B414" s="188"/>
    </row>
    <row r="415" spans="2:2">
      <c r="B415" s="188"/>
    </row>
    <row r="416" spans="2:2">
      <c r="B416" s="188"/>
    </row>
    <row r="417" spans="2:2">
      <c r="B417" s="188"/>
    </row>
    <row r="418" spans="2:2">
      <c r="B418" s="188"/>
    </row>
    <row r="419" spans="2:2">
      <c r="B419" s="188"/>
    </row>
    <row r="420" spans="2:2">
      <c r="B420" s="188"/>
    </row>
    <row r="421" spans="2:2">
      <c r="B421" s="188"/>
    </row>
    <row r="422" spans="2:2">
      <c r="B422" s="188"/>
    </row>
    <row r="423" spans="2:2">
      <c r="B423" s="188"/>
    </row>
    <row r="424" spans="2:2">
      <c r="B424" s="188"/>
    </row>
    <row r="425" spans="2:2">
      <c r="B425" s="188"/>
    </row>
    <row r="426" spans="2:2">
      <c r="B426" s="188"/>
    </row>
    <row r="427" spans="2:2">
      <c r="B427" s="188"/>
    </row>
    <row r="428" spans="2:2">
      <c r="B428" s="188"/>
    </row>
    <row r="429" spans="2:2">
      <c r="B429" s="188"/>
    </row>
    <row r="430" spans="2:2">
      <c r="B430" s="188"/>
    </row>
    <row r="431" spans="2:2">
      <c r="B431" s="188"/>
    </row>
    <row r="432" spans="2:2">
      <c r="B432" s="188"/>
    </row>
    <row r="433" spans="2:2">
      <c r="B433" s="188"/>
    </row>
    <row r="434" spans="2:2">
      <c r="B434" s="188"/>
    </row>
    <row r="435" spans="2:2">
      <c r="B435" s="188"/>
    </row>
    <row r="436" spans="2:2">
      <c r="B436" s="188"/>
    </row>
    <row r="437" spans="2:2">
      <c r="B437" s="188"/>
    </row>
    <row r="438" spans="2:2">
      <c r="B438" s="188"/>
    </row>
    <row r="439" spans="2:2">
      <c r="B439" s="188"/>
    </row>
    <row r="440" spans="2:2">
      <c r="B440" s="188"/>
    </row>
    <row r="441" spans="2:2">
      <c r="B441" s="188"/>
    </row>
    <row r="442" spans="2:2">
      <c r="B442" s="188"/>
    </row>
    <row r="443" spans="2:2">
      <c r="B443" s="188"/>
    </row>
    <row r="444" spans="2:2">
      <c r="B444" s="188"/>
    </row>
    <row r="445" spans="2:2">
      <c r="B445" s="188"/>
    </row>
    <row r="446" spans="2:2">
      <c r="B446" s="188"/>
    </row>
    <row r="447" spans="2:2">
      <c r="B447" s="188"/>
    </row>
    <row r="448" spans="2:2">
      <c r="B448" s="188"/>
    </row>
    <row r="449" spans="2:2">
      <c r="B449" s="188"/>
    </row>
    <row r="450" spans="2:2">
      <c r="B450" s="188"/>
    </row>
    <row r="451" spans="2:2">
      <c r="B451" s="188"/>
    </row>
    <row r="452" spans="2:2">
      <c r="B452" s="188"/>
    </row>
    <row r="453" spans="2:2">
      <c r="B453" s="188"/>
    </row>
    <row r="454" spans="2:2">
      <c r="B454" s="188"/>
    </row>
    <row r="455" spans="2:2">
      <c r="B455" s="188"/>
    </row>
    <row r="456" spans="2:2">
      <c r="B456" s="188"/>
    </row>
    <row r="457" spans="2:2">
      <c r="B457" s="188"/>
    </row>
    <row r="458" spans="2:2">
      <c r="B458" s="188"/>
    </row>
    <row r="459" spans="2:2">
      <c r="B459" s="188"/>
    </row>
    <row r="460" spans="2:2">
      <c r="B460" s="188"/>
    </row>
    <row r="461" spans="2:2">
      <c r="B461" s="188"/>
    </row>
    <row r="462" spans="2:2">
      <c r="B462" s="188"/>
    </row>
    <row r="463" spans="2:2">
      <c r="B463" s="188"/>
    </row>
    <row r="464" spans="2:2">
      <c r="B464" s="188"/>
    </row>
    <row r="465" spans="2:2">
      <c r="B465" s="188"/>
    </row>
    <row r="466" spans="2:2">
      <c r="B466" s="188"/>
    </row>
    <row r="467" spans="2:2">
      <c r="B467" s="188"/>
    </row>
    <row r="468" spans="2:2">
      <c r="B468" s="188"/>
    </row>
    <row r="469" spans="2:2">
      <c r="B469" s="188"/>
    </row>
    <row r="470" spans="2:2">
      <c r="B470" s="188"/>
    </row>
    <row r="471" spans="2:2">
      <c r="B471" s="188"/>
    </row>
    <row r="472" spans="2:2">
      <c r="B472" s="188"/>
    </row>
    <row r="473" spans="2:2">
      <c r="B473" s="188"/>
    </row>
    <row r="474" spans="2:2">
      <c r="B474" s="188"/>
    </row>
    <row r="475" spans="2:2">
      <c r="B475" s="188"/>
    </row>
    <row r="476" spans="2:2">
      <c r="B476" s="188"/>
    </row>
    <row r="477" spans="2:2">
      <c r="B477" s="188"/>
    </row>
    <row r="478" spans="2:2">
      <c r="B478" s="188"/>
    </row>
    <row r="479" spans="2:2">
      <c r="B479" s="188"/>
    </row>
    <row r="480" spans="2:2">
      <c r="B480" s="188"/>
    </row>
    <row r="481" spans="2:2">
      <c r="B481" s="188"/>
    </row>
    <row r="482" spans="2:2">
      <c r="B482" s="188"/>
    </row>
    <row r="483" spans="2:2">
      <c r="B483" s="188"/>
    </row>
    <row r="484" spans="2:2">
      <c r="B484" s="188"/>
    </row>
    <row r="485" spans="2:2">
      <c r="B485" s="188"/>
    </row>
    <row r="486" spans="2:2">
      <c r="B486" s="188"/>
    </row>
    <row r="487" spans="2:2">
      <c r="B487" s="188"/>
    </row>
    <row r="488" spans="2:2">
      <c r="B488" s="188"/>
    </row>
    <row r="489" spans="2:2">
      <c r="B489" s="188"/>
    </row>
    <row r="490" spans="2:2">
      <c r="B490" s="188"/>
    </row>
    <row r="491" spans="2:2">
      <c r="B491" s="188"/>
    </row>
    <row r="492" spans="2:2">
      <c r="B492" s="188"/>
    </row>
    <row r="493" spans="2:2">
      <c r="B493" s="188"/>
    </row>
    <row r="494" spans="2:2">
      <c r="B494" s="188"/>
    </row>
    <row r="495" spans="2:2">
      <c r="B495" s="188"/>
    </row>
    <row r="496" spans="2:2">
      <c r="B496" s="188"/>
    </row>
    <row r="497" spans="2:2">
      <c r="B497" s="188"/>
    </row>
    <row r="498" spans="2:2">
      <c r="B498" s="188"/>
    </row>
    <row r="499" spans="2:2">
      <c r="B499" s="188"/>
    </row>
    <row r="500" spans="2:2">
      <c r="B500" s="188"/>
    </row>
    <row r="501" spans="2:2">
      <c r="B501" s="188"/>
    </row>
    <row r="502" spans="2:2">
      <c r="B502" s="188"/>
    </row>
    <row r="503" spans="2:2">
      <c r="B503" s="188"/>
    </row>
    <row r="504" spans="2:2">
      <c r="B504" s="188"/>
    </row>
    <row r="505" spans="2:2">
      <c r="B505" s="188"/>
    </row>
    <row r="506" spans="2:2">
      <c r="B506" s="188"/>
    </row>
    <row r="507" spans="2:2">
      <c r="B507" s="188"/>
    </row>
    <row r="508" spans="2:2">
      <c r="B508" s="188"/>
    </row>
    <row r="509" spans="2:2">
      <c r="B509" s="188"/>
    </row>
    <row r="510" spans="2:2">
      <c r="B510" s="188"/>
    </row>
    <row r="511" spans="2:2">
      <c r="B511" s="188"/>
    </row>
    <row r="512" spans="2:2">
      <c r="B512" s="188"/>
    </row>
    <row r="513" spans="2:2">
      <c r="B513" s="188"/>
    </row>
    <row r="514" spans="2:2">
      <c r="B514" s="188"/>
    </row>
    <row r="515" spans="2:2">
      <c r="B515" s="188"/>
    </row>
    <row r="516" spans="2:2">
      <c r="B516" s="188"/>
    </row>
    <row r="517" spans="2:2">
      <c r="B517" s="188"/>
    </row>
    <row r="518" spans="2:2">
      <c r="B518" s="188"/>
    </row>
    <row r="519" spans="2:2">
      <c r="B519" s="188"/>
    </row>
    <row r="520" spans="2:2">
      <c r="B520" s="188"/>
    </row>
    <row r="521" spans="2:2">
      <c r="B521" s="188"/>
    </row>
  </sheetData>
  <mergeCells count="7">
    <mergeCell ref="F14:F20"/>
    <mergeCell ref="A2:C2"/>
    <mergeCell ref="A1:C1"/>
    <mergeCell ref="E5:E12"/>
    <mergeCell ref="E80:E81"/>
    <mergeCell ref="E14:E20"/>
    <mergeCell ref="F80:F8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/>
  <rowBreaks count="1" manualBreakCount="1">
    <brk id="68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K29"/>
  <sheetViews>
    <sheetView zoomScaleNormal="100" workbookViewId="0">
      <selection activeCell="B32" sqref="B32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9.8554687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725" t="s">
        <v>536</v>
      </c>
      <c r="B1" s="725"/>
      <c r="C1" s="725"/>
      <c r="D1" s="725"/>
      <c r="E1" s="725"/>
      <c r="F1" s="725"/>
      <c r="G1" s="444"/>
      <c r="H1" s="444"/>
      <c r="I1" s="202"/>
      <c r="J1" s="202"/>
      <c r="K1" s="202"/>
    </row>
    <row r="2" spans="1:11" ht="15.75">
      <c r="A2" s="128"/>
      <c r="B2" s="128"/>
      <c r="C2" s="128"/>
      <c r="D2" s="128"/>
      <c r="E2" s="128"/>
      <c r="F2" s="128"/>
      <c r="G2" s="128"/>
      <c r="H2" s="128"/>
      <c r="I2" s="202"/>
      <c r="J2" s="202"/>
      <c r="K2" s="202"/>
    </row>
    <row r="3" spans="1:11" ht="30" customHeight="1">
      <c r="A3" s="739" t="s">
        <v>212</v>
      </c>
      <c r="B3" s="739"/>
      <c r="C3" s="739"/>
      <c r="D3" s="739"/>
      <c r="E3" s="739"/>
      <c r="F3" s="739"/>
      <c r="G3" s="612"/>
      <c r="H3" s="612"/>
      <c r="I3" s="221"/>
      <c r="J3" s="221"/>
      <c r="K3" s="221"/>
    </row>
    <row r="4" spans="1:11" ht="30" customHeight="1">
      <c r="A4" s="221"/>
      <c r="B4" s="221"/>
      <c r="C4" s="447"/>
      <c r="D4" s="221"/>
      <c r="E4" s="500"/>
      <c r="F4" s="221"/>
      <c r="G4" s="500"/>
      <c r="H4" s="221"/>
      <c r="I4" s="221"/>
      <c r="J4" s="221"/>
      <c r="K4" s="221"/>
    </row>
    <row r="5" spans="1:11" ht="30" customHeight="1" thickBot="1">
      <c r="E5" s="127" t="s">
        <v>317</v>
      </c>
    </row>
    <row r="6" spans="1:11" ht="30" customHeight="1" thickBot="1">
      <c r="A6" s="277" t="s">
        <v>65</v>
      </c>
      <c r="B6" s="740">
        <v>2020</v>
      </c>
      <c r="C6" s="741"/>
      <c r="D6" s="538">
        <v>2021</v>
      </c>
      <c r="E6" s="538">
        <v>2022</v>
      </c>
      <c r="F6" s="538">
        <v>2023</v>
      </c>
    </row>
    <row r="7" spans="1:11" ht="30" customHeight="1" thickBot="1">
      <c r="A7" s="467"/>
      <c r="B7" s="519" t="s">
        <v>370</v>
      </c>
      <c r="C7" s="519" t="s">
        <v>629</v>
      </c>
      <c r="D7" s="519" t="s">
        <v>370</v>
      </c>
      <c r="E7" s="519" t="s">
        <v>370</v>
      </c>
      <c r="F7" s="519" t="s">
        <v>370</v>
      </c>
    </row>
    <row r="8" spans="1:11" ht="15" customHeight="1">
      <c r="A8" s="207" t="s">
        <v>191</v>
      </c>
      <c r="B8" s="520">
        <f>+'2.sz.mell.'!C25</f>
        <v>268775970</v>
      </c>
      <c r="C8" s="520">
        <f>+'2.sz.mell.'!D25</f>
        <v>285688877</v>
      </c>
      <c r="D8" s="520">
        <v>310000000</v>
      </c>
      <c r="E8" s="520">
        <v>315000000</v>
      </c>
      <c r="F8" s="518">
        <v>320000000</v>
      </c>
    </row>
    <row r="9" spans="1:11" ht="30" customHeight="1">
      <c r="A9" s="208" t="s">
        <v>192</v>
      </c>
      <c r="B9" s="362">
        <f>+'2.sz.mell.'!C36</f>
        <v>95791880</v>
      </c>
      <c r="C9" s="362">
        <f>+'2.sz.mell.'!D36</f>
        <v>113632066</v>
      </c>
      <c r="D9" s="362">
        <v>34000000</v>
      </c>
      <c r="E9" s="362">
        <v>38000000</v>
      </c>
      <c r="F9" s="365">
        <v>42000000</v>
      </c>
    </row>
    <row r="10" spans="1:11" ht="15" customHeight="1">
      <c r="A10" s="209" t="s">
        <v>104</v>
      </c>
      <c r="B10" s="362">
        <f>+'2.sz.mell.'!C43</f>
        <v>79270000</v>
      </c>
      <c r="C10" s="362">
        <f>+'2.sz.mell.'!D43</f>
        <v>73270000</v>
      </c>
      <c r="D10" s="362">
        <v>60000000</v>
      </c>
      <c r="E10" s="362">
        <v>60000000</v>
      </c>
      <c r="F10" s="362">
        <v>60000000</v>
      </c>
    </row>
    <row r="11" spans="1:11" ht="15" customHeight="1">
      <c r="A11" s="209" t="s">
        <v>105</v>
      </c>
      <c r="B11" s="362">
        <f>+'2.sz.mell.'!C55</f>
        <v>55450000</v>
      </c>
      <c r="C11" s="362">
        <f>+'2.sz.mell.'!D55</f>
        <v>55450000</v>
      </c>
      <c r="D11" s="362">
        <v>48000000</v>
      </c>
      <c r="E11" s="362">
        <v>46000000</v>
      </c>
      <c r="F11" s="365">
        <v>45000000</v>
      </c>
    </row>
    <row r="12" spans="1:11" ht="15" customHeight="1">
      <c r="A12" s="209" t="s">
        <v>193</v>
      </c>
      <c r="B12" s="362">
        <f>+'2.sz.mell.'!C57</f>
        <v>0</v>
      </c>
      <c r="C12" s="362">
        <f>+'2.sz.mell.'!D57</f>
        <v>0</v>
      </c>
      <c r="D12" s="362">
        <v>0</v>
      </c>
      <c r="E12" s="362">
        <v>0</v>
      </c>
      <c r="F12" s="365">
        <v>0</v>
      </c>
    </row>
    <row r="13" spans="1:11" ht="15" customHeight="1">
      <c r="A13" s="209" t="s">
        <v>7</v>
      </c>
      <c r="B13" s="362">
        <v>0</v>
      </c>
      <c r="C13" s="362">
        <v>0</v>
      </c>
      <c r="D13" s="362">
        <v>0</v>
      </c>
      <c r="E13" s="362">
        <v>0</v>
      </c>
      <c r="F13" s="365">
        <v>0</v>
      </c>
    </row>
    <row r="14" spans="1:11" ht="15" customHeight="1">
      <c r="A14" s="209" t="s">
        <v>194</v>
      </c>
      <c r="B14" s="362">
        <f>+'2.sz.mell.'!C63</f>
        <v>5096029</v>
      </c>
      <c r="C14" s="362">
        <f>+'2.sz.mell.'!D63</f>
        <v>452983194</v>
      </c>
      <c r="D14" s="362">
        <v>5000000</v>
      </c>
      <c r="E14" s="362">
        <v>5000000</v>
      </c>
      <c r="F14" s="365">
        <v>0</v>
      </c>
    </row>
    <row r="15" spans="1:11" ht="15" customHeight="1" thickBot="1">
      <c r="A15" s="210" t="s">
        <v>195</v>
      </c>
      <c r="B15" s="363">
        <f>+'2.sz.mell.'!C65</f>
        <v>225056072</v>
      </c>
      <c r="C15" s="363">
        <f>+'2.sz.mell.'!D65</f>
        <v>228996200</v>
      </c>
      <c r="D15" s="363">
        <v>120000000</v>
      </c>
      <c r="E15" s="363">
        <v>80000000</v>
      </c>
      <c r="F15" s="366">
        <v>75000000</v>
      </c>
    </row>
    <row r="16" spans="1:11" ht="15" customHeight="1" thickBot="1">
      <c r="A16" s="211" t="s">
        <v>181</v>
      </c>
      <c r="B16" s="364">
        <f>SUM(B8:B15)</f>
        <v>729439951</v>
      </c>
      <c r="C16" s="364">
        <f>SUM(C8:C15)</f>
        <v>1210020337</v>
      </c>
      <c r="D16" s="364">
        <f t="shared" ref="D16:F16" si="0">SUM(D8:D15)</f>
        <v>577000000</v>
      </c>
      <c r="E16" s="364">
        <f t="shared" si="0"/>
        <v>544000000</v>
      </c>
      <c r="F16" s="364">
        <f t="shared" si="0"/>
        <v>542000000</v>
      </c>
    </row>
    <row r="17" spans="1:8" ht="30" customHeight="1" thickBot="1">
      <c r="B17" s="320"/>
      <c r="C17" s="320"/>
      <c r="D17" s="320"/>
      <c r="E17" s="320"/>
      <c r="F17" s="320"/>
    </row>
    <row r="18" spans="1:8" ht="15" customHeight="1">
      <c r="A18" s="207" t="s">
        <v>17</v>
      </c>
      <c r="B18" s="367">
        <f>+'2.sz.mell.'!C73</f>
        <v>222999810</v>
      </c>
      <c r="C18" s="367">
        <f>+'2.sz.mell.'!D73</f>
        <v>243442171</v>
      </c>
      <c r="D18" s="372">
        <v>220000000</v>
      </c>
      <c r="E18" s="373">
        <v>220000000</v>
      </c>
      <c r="F18" s="374">
        <v>220000000</v>
      </c>
    </row>
    <row r="19" spans="1:8" ht="15" customHeight="1">
      <c r="A19" s="209" t="s">
        <v>196</v>
      </c>
      <c r="B19" s="368">
        <f>+'2.sz.mell.'!C74</f>
        <v>37774837</v>
      </c>
      <c r="C19" s="368">
        <f>+'2.sz.mell.'!D74</f>
        <v>40027658</v>
      </c>
      <c r="D19" s="375">
        <v>35000000</v>
      </c>
      <c r="E19" s="375">
        <v>35000000</v>
      </c>
      <c r="F19" s="375">
        <v>35000000</v>
      </c>
    </row>
    <row r="20" spans="1:8" ht="15" customHeight="1">
      <c r="A20" s="209" t="s">
        <v>19</v>
      </c>
      <c r="B20" s="368">
        <f>+'2.sz.mell.'!C75</f>
        <v>200426841</v>
      </c>
      <c r="C20" s="368">
        <f>+'2.sz.mell.'!D75</f>
        <v>271808127</v>
      </c>
      <c r="D20" s="375">
        <f>16000000+137000000-D25</f>
        <v>152476284</v>
      </c>
      <c r="E20" s="376">
        <f>13000000+140000000-E25</f>
        <v>152449986</v>
      </c>
      <c r="F20" s="377">
        <f>150000000-F25</f>
        <v>149471743</v>
      </c>
    </row>
    <row r="21" spans="1:8" ht="15" customHeight="1">
      <c r="A21" s="209" t="s">
        <v>474</v>
      </c>
      <c r="B21" s="368">
        <f>+'2.sz.mell.'!C77</f>
        <v>0</v>
      </c>
      <c r="C21" s="368">
        <f>+'2.sz.mell.'!D77</f>
        <v>0</v>
      </c>
      <c r="D21" s="375">
        <v>0</v>
      </c>
      <c r="E21" s="376">
        <v>0</v>
      </c>
      <c r="F21" s="377">
        <v>0</v>
      </c>
    </row>
    <row r="22" spans="1:8" ht="15" customHeight="1">
      <c r="A22" s="209" t="s">
        <v>184</v>
      </c>
      <c r="B22" s="368">
        <f>+'2.sz.mell.'!C76</f>
        <v>3147000</v>
      </c>
      <c r="C22" s="368">
        <f>+'2.sz.mell.'!D76</f>
        <v>3147000</v>
      </c>
      <c r="D22" s="375">
        <v>4000000</v>
      </c>
      <c r="E22" s="376">
        <v>5000000</v>
      </c>
      <c r="F22" s="377">
        <v>6000000</v>
      </c>
    </row>
    <row r="23" spans="1:8" ht="15" customHeight="1">
      <c r="A23" s="209" t="s">
        <v>110</v>
      </c>
      <c r="B23" s="368">
        <f>+'2.sz.mell.'!C80+'2.sz.mell.'!C81</f>
        <v>95627898</v>
      </c>
      <c r="C23" s="368">
        <f>+'2.sz.mell.'!D80+'2.sz.mell.'!D81</f>
        <v>96797091</v>
      </c>
      <c r="D23" s="375">
        <v>76000000</v>
      </c>
      <c r="E23" s="376">
        <v>78000000</v>
      </c>
      <c r="F23" s="377">
        <v>82000000</v>
      </c>
    </row>
    <row r="24" spans="1:8" ht="15" customHeight="1">
      <c r="A24" s="209" t="s">
        <v>330</v>
      </c>
      <c r="B24" s="368">
        <f>+'2.sz.mell.'!C78</f>
        <v>10751039</v>
      </c>
      <c r="C24" s="368">
        <f>+'2.sz.mell.'!D78</f>
        <v>10997076</v>
      </c>
      <c r="D24" s="375">
        <v>0</v>
      </c>
      <c r="E24" s="376">
        <v>0</v>
      </c>
      <c r="F24" s="377">
        <v>0</v>
      </c>
    </row>
    <row r="25" spans="1:8" ht="15" customHeight="1">
      <c r="A25" s="209" t="s">
        <v>473</v>
      </c>
      <c r="B25" s="368">
        <f>+'2.sz.mell.'!C79</f>
        <v>0</v>
      </c>
      <c r="C25" s="368">
        <f>+'2.sz.mell.'!D79</f>
        <v>0</v>
      </c>
      <c r="D25" s="521">
        <v>523716</v>
      </c>
      <c r="E25" s="376">
        <v>550014</v>
      </c>
      <c r="F25" s="377">
        <v>528257</v>
      </c>
    </row>
    <row r="26" spans="1:8" ht="15" customHeight="1">
      <c r="A26" s="209" t="s">
        <v>111</v>
      </c>
      <c r="B26" s="368">
        <f>+'2.sz.mell.'!C83+'2.sz.mell.'!C84</f>
        <v>98896424</v>
      </c>
      <c r="C26" s="368">
        <f>+'2.sz.mell.'!D83+'2.sz.mell.'!D84</f>
        <v>96983663</v>
      </c>
      <c r="D26" s="375">
        <v>5000000</v>
      </c>
      <c r="E26" s="376">
        <v>5000000</v>
      </c>
      <c r="F26" s="377">
        <v>5000000</v>
      </c>
    </row>
    <row r="27" spans="1:8" ht="15" customHeight="1" thickBot="1">
      <c r="A27" s="210" t="s">
        <v>60</v>
      </c>
      <c r="B27" s="369">
        <f>+'2.sz.mell.'!C89</f>
        <v>59816102</v>
      </c>
      <c r="C27" s="369">
        <f>+'2.sz.mell.'!D89</f>
        <v>446817551</v>
      </c>
      <c r="D27" s="378">
        <f>116500000-32500000</f>
        <v>84000000</v>
      </c>
      <c r="E27" s="379">
        <f>77200000-29200000</f>
        <v>48000000</v>
      </c>
      <c r="F27" s="380">
        <f>76000000-32000000</f>
        <v>44000000</v>
      </c>
    </row>
    <row r="28" spans="1:8" ht="15" customHeight="1" thickBot="1">
      <c r="A28" s="211" t="s">
        <v>188</v>
      </c>
      <c r="B28" s="370">
        <f>SUM(B18:B27)</f>
        <v>729439951</v>
      </c>
      <c r="C28" s="370">
        <f>SUM(C18:C27)</f>
        <v>1210020337</v>
      </c>
      <c r="D28" s="381">
        <f t="shared" ref="D28:F28" si="1">SUM(D18:D27)</f>
        <v>577000000</v>
      </c>
      <c r="E28" s="381">
        <f t="shared" si="1"/>
        <v>544000000</v>
      </c>
      <c r="F28" s="381">
        <f t="shared" si="1"/>
        <v>542000000</v>
      </c>
    </row>
    <row r="29" spans="1:8" ht="30" customHeight="1">
      <c r="C29" s="371"/>
      <c r="D29" s="371"/>
      <c r="E29" s="371"/>
      <c r="F29" s="371"/>
      <c r="G29" s="371"/>
      <c r="H29" s="371"/>
    </row>
  </sheetData>
  <mergeCells count="3">
    <mergeCell ref="A3:F3"/>
    <mergeCell ref="A1:F1"/>
    <mergeCell ref="B6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8" fitToHeight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B1:J27"/>
  <sheetViews>
    <sheetView topLeftCell="A4" zoomScaleNormal="100" workbookViewId="0">
      <selection activeCell="D27" sqref="D27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742" t="s">
        <v>539</v>
      </c>
      <c r="C1" s="743"/>
      <c r="D1" s="743"/>
      <c r="E1" s="743"/>
      <c r="F1" s="743"/>
      <c r="G1" s="743"/>
      <c r="H1" s="743"/>
    </row>
    <row r="3" spans="2:10">
      <c r="B3" s="727" t="s">
        <v>190</v>
      </c>
      <c r="C3" s="727"/>
      <c r="D3" s="727"/>
      <c r="E3" s="727"/>
      <c r="F3" s="727"/>
      <c r="G3" s="727"/>
      <c r="H3" s="727"/>
      <c r="I3" s="229"/>
    </row>
    <row r="4" spans="2:10" ht="30" customHeight="1">
      <c r="B4" s="744" t="s">
        <v>346</v>
      </c>
      <c r="C4" s="745"/>
      <c r="D4" s="745"/>
      <c r="E4" s="745"/>
      <c r="F4" s="745"/>
      <c r="G4" s="745"/>
      <c r="H4" s="745"/>
      <c r="I4" s="234"/>
      <c r="J4" s="234"/>
    </row>
    <row r="5" spans="2:10" ht="30" customHeight="1">
      <c r="B5" s="282"/>
      <c r="C5" s="283"/>
      <c r="D5" s="504"/>
      <c r="E5" s="283"/>
      <c r="F5" s="283"/>
      <c r="G5" s="283"/>
      <c r="H5" s="283"/>
      <c r="I5" s="283"/>
      <c r="J5" s="283"/>
    </row>
    <row r="6" spans="2:10">
      <c r="B6" s="229"/>
      <c r="C6" s="229"/>
      <c r="D6" s="229"/>
      <c r="E6" s="229"/>
      <c r="F6" s="229"/>
      <c r="G6" s="299" t="s">
        <v>317</v>
      </c>
      <c r="I6" s="229"/>
    </row>
    <row r="7" spans="2:10">
      <c r="B7" s="230"/>
      <c r="C7" s="592">
        <v>2020</v>
      </c>
      <c r="D7" s="592"/>
      <c r="E7" s="382">
        <v>2021</v>
      </c>
      <c r="F7" s="382">
        <v>2022</v>
      </c>
      <c r="G7" s="382">
        <v>2023</v>
      </c>
      <c r="H7" s="382">
        <v>2024</v>
      </c>
    </row>
    <row r="8" spans="2:10">
      <c r="B8" s="522"/>
      <c r="C8" s="519" t="s">
        <v>370</v>
      </c>
      <c r="D8" s="519" t="s">
        <v>629</v>
      </c>
      <c r="E8" s="519" t="s">
        <v>370</v>
      </c>
      <c r="F8" s="519" t="s">
        <v>370</v>
      </c>
      <c r="G8" s="519" t="s">
        <v>370</v>
      </c>
      <c r="H8" s="519" t="s">
        <v>370</v>
      </c>
    </row>
    <row r="9" spans="2:10">
      <c r="B9" s="231" t="s">
        <v>57</v>
      </c>
      <c r="C9" s="321"/>
      <c r="D9" s="321"/>
      <c r="E9" s="385"/>
      <c r="F9" s="385"/>
      <c r="G9" s="385"/>
      <c r="H9" s="385"/>
    </row>
    <row r="10" spans="2:10">
      <c r="B10" s="230" t="s">
        <v>660</v>
      </c>
      <c r="C10" s="383">
        <f>+'2.sz.mell.'!C38+'2.sz.mell.'!C37</f>
        <v>67500000</v>
      </c>
      <c r="D10" s="383">
        <f>+'2.sz.mell.'!D38+'2.sz.mell.'!D37</f>
        <v>67500000</v>
      </c>
      <c r="E10" s="383">
        <v>45000000</v>
      </c>
      <c r="F10" s="383">
        <v>45000000</v>
      </c>
      <c r="G10" s="383">
        <v>40000000</v>
      </c>
      <c r="H10" s="383">
        <v>40000000</v>
      </c>
    </row>
    <row r="11" spans="2:10" ht="45">
      <c r="B11" s="232" t="s">
        <v>197</v>
      </c>
      <c r="C11" s="384">
        <v>0</v>
      </c>
      <c r="D11" s="384">
        <v>0</v>
      </c>
      <c r="E11" s="384">
        <v>0</v>
      </c>
      <c r="F11" s="384">
        <v>0</v>
      </c>
      <c r="G11" s="384">
        <v>0</v>
      </c>
      <c r="H11" s="384">
        <v>0</v>
      </c>
    </row>
    <row r="12" spans="2:10" ht="16.5" customHeight="1">
      <c r="B12" s="232" t="s">
        <v>198</v>
      </c>
      <c r="C12" s="383">
        <f>+'5 b.sz.mell.'!D16+'5 b.sz.mell.'!D18</f>
        <v>17145000</v>
      </c>
      <c r="D12" s="383">
        <f>+'5 b.sz.mell.'!E16+'5 b.sz.mell.'!E18</f>
        <v>17145000</v>
      </c>
      <c r="E12" s="383">
        <v>11000000</v>
      </c>
      <c r="F12" s="383">
        <v>11000000</v>
      </c>
      <c r="G12" s="383">
        <v>11000000</v>
      </c>
      <c r="H12" s="383">
        <v>11000000</v>
      </c>
    </row>
    <row r="13" spans="2:10" ht="45" customHeight="1">
      <c r="B13" s="232" t="s">
        <v>199</v>
      </c>
      <c r="C13" s="384">
        <v>0</v>
      </c>
      <c r="D13" s="384">
        <v>0</v>
      </c>
      <c r="E13" s="384">
        <v>0</v>
      </c>
      <c r="F13" s="384">
        <v>0</v>
      </c>
      <c r="G13" s="384">
        <v>0</v>
      </c>
      <c r="H13" s="384">
        <v>0</v>
      </c>
    </row>
    <row r="14" spans="2:10">
      <c r="B14" s="232" t="s">
        <v>200</v>
      </c>
      <c r="C14" s="383">
        <f>+'2.sz.mell.'!C39</f>
        <v>100000</v>
      </c>
      <c r="D14" s="383">
        <f>+'2.sz.mell.'!D39</f>
        <v>100000</v>
      </c>
      <c r="E14" s="383">
        <f>+'2.sz.mell.'!E39</f>
        <v>0</v>
      </c>
      <c r="F14" s="383">
        <f>+'2.sz.mell.'!G39</f>
        <v>0</v>
      </c>
      <c r="G14" s="383">
        <f>+'2.sz.mell.'!H39</f>
        <v>0</v>
      </c>
      <c r="H14" s="383">
        <f>+'2.sz.mell.'!I39</f>
        <v>0</v>
      </c>
    </row>
    <row r="15" spans="2:10" ht="15" customHeight="1">
      <c r="B15" s="232" t="s">
        <v>201</v>
      </c>
      <c r="C15" s="383">
        <v>0</v>
      </c>
      <c r="D15" s="383">
        <v>0</v>
      </c>
      <c r="E15" s="383">
        <v>0</v>
      </c>
      <c r="F15" s="383">
        <v>0</v>
      </c>
      <c r="G15" s="383">
        <v>0</v>
      </c>
      <c r="H15" s="383">
        <v>0</v>
      </c>
    </row>
    <row r="16" spans="2:10">
      <c r="B16" s="233" t="s">
        <v>202</v>
      </c>
      <c r="C16" s="383">
        <f t="shared" ref="C16:H16" si="0">SUM(C10:C15)</f>
        <v>84745000</v>
      </c>
      <c r="D16" s="383">
        <f t="shared" ref="D16" si="1">SUM(D10:D15)</f>
        <v>84745000</v>
      </c>
      <c r="E16" s="383">
        <f t="shared" si="0"/>
        <v>56000000</v>
      </c>
      <c r="F16" s="383">
        <f t="shared" si="0"/>
        <v>56000000</v>
      </c>
      <c r="G16" s="383">
        <f t="shared" si="0"/>
        <v>51000000</v>
      </c>
      <c r="H16" s="383">
        <f t="shared" si="0"/>
        <v>51000000</v>
      </c>
    </row>
    <row r="17" spans="2:8" hidden="1">
      <c r="B17" s="232"/>
      <c r="C17" s="383"/>
      <c r="D17" s="383"/>
      <c r="E17" s="383"/>
      <c r="F17" s="383"/>
      <c r="G17" s="383"/>
      <c r="H17" s="383"/>
    </row>
    <row r="18" spans="2:8">
      <c r="B18" s="230"/>
      <c r="C18" s="383"/>
      <c r="D18" s="383"/>
      <c r="E18" s="383"/>
      <c r="F18" s="383"/>
      <c r="G18" s="383"/>
      <c r="H18" s="383"/>
    </row>
    <row r="19" spans="2:8">
      <c r="B19" s="231" t="s">
        <v>203</v>
      </c>
      <c r="C19" s="383"/>
      <c r="D19" s="383"/>
      <c r="E19" s="383"/>
      <c r="F19" s="383"/>
      <c r="G19" s="383"/>
      <c r="H19" s="383"/>
    </row>
    <row r="20" spans="2:8">
      <c r="B20" s="232" t="s">
        <v>204</v>
      </c>
      <c r="C20" s="383">
        <v>0</v>
      </c>
      <c r="D20" s="383">
        <v>0</v>
      </c>
      <c r="E20" s="383">
        <v>0</v>
      </c>
      <c r="F20" s="383">
        <v>0</v>
      </c>
      <c r="G20" s="383">
        <v>0</v>
      </c>
      <c r="H20" s="383">
        <v>0</v>
      </c>
    </row>
    <row r="21" spans="2:8">
      <c r="B21" s="232" t="s">
        <v>205</v>
      </c>
      <c r="C21" s="383">
        <v>0</v>
      </c>
      <c r="D21" s="383">
        <v>0</v>
      </c>
      <c r="E21" s="383">
        <v>0</v>
      </c>
      <c r="F21" s="383">
        <v>0</v>
      </c>
      <c r="G21" s="383">
        <v>0</v>
      </c>
      <c r="H21" s="383">
        <v>0</v>
      </c>
    </row>
    <row r="22" spans="2:8">
      <c r="B22" s="232" t="s">
        <v>206</v>
      </c>
      <c r="C22" s="383">
        <v>0</v>
      </c>
      <c r="D22" s="383">
        <v>0</v>
      </c>
      <c r="E22" s="383">
        <v>0</v>
      </c>
      <c r="F22" s="383">
        <v>0</v>
      </c>
      <c r="G22" s="383">
        <v>0</v>
      </c>
      <c r="H22" s="383">
        <v>0</v>
      </c>
    </row>
    <row r="23" spans="2:8">
      <c r="B23" s="232" t="s">
        <v>207</v>
      </c>
      <c r="C23" s="383">
        <f>+'14.sz.mell.'!B13</f>
        <v>1331122</v>
      </c>
      <c r="D23" s="383">
        <f>+C23</f>
        <v>1331122</v>
      </c>
      <c r="E23" s="383">
        <f>+'14.sz.mell.'!C13</f>
        <v>749866</v>
      </c>
      <c r="F23" s="383">
        <f>+'14.sz.mell.'!D13</f>
        <v>749865.27</v>
      </c>
      <c r="G23" s="383">
        <f>+'14.sz.mell.'!E13</f>
        <v>312447</v>
      </c>
      <c r="H23" s="383">
        <v>0</v>
      </c>
    </row>
    <row r="24" spans="2:8" ht="30.75" hidden="1" customHeight="1">
      <c r="B24" s="232" t="s">
        <v>208</v>
      </c>
      <c r="C24" s="384">
        <v>0</v>
      </c>
      <c r="D24" s="384">
        <v>0</v>
      </c>
      <c r="E24" s="384">
        <v>0</v>
      </c>
      <c r="F24" s="384">
        <v>0</v>
      </c>
      <c r="G24" s="384">
        <v>0</v>
      </c>
      <c r="H24" s="384">
        <v>0</v>
      </c>
    </row>
    <row r="25" spans="2:8" ht="30" hidden="1">
      <c r="B25" s="232" t="s">
        <v>209</v>
      </c>
      <c r="C25" s="384">
        <v>0</v>
      </c>
      <c r="D25" s="384">
        <v>0</v>
      </c>
      <c r="E25" s="384">
        <v>0</v>
      </c>
      <c r="F25" s="384">
        <v>0</v>
      </c>
      <c r="G25" s="384">
        <v>0</v>
      </c>
      <c r="H25" s="384">
        <v>0</v>
      </c>
    </row>
    <row r="26" spans="2:8" ht="18.75" customHeight="1">
      <c r="B26" s="232" t="s">
        <v>210</v>
      </c>
      <c r="C26" s="383">
        <f>+'13.sz.mell'!B10</f>
        <v>1900000</v>
      </c>
      <c r="D26" s="383">
        <f>+C26</f>
        <v>1900000</v>
      </c>
      <c r="E26" s="383">
        <f>+'13.sz.mell'!B10</f>
        <v>1900000</v>
      </c>
      <c r="F26" s="383">
        <f>+'13.sz.mell'!D10</f>
        <v>1900000</v>
      </c>
      <c r="G26" s="383">
        <f>+'13.sz.mell'!E10</f>
        <v>1800000</v>
      </c>
      <c r="H26" s="383">
        <f>+'13.sz.mell'!F10</f>
        <v>1750000</v>
      </c>
    </row>
    <row r="27" spans="2:8">
      <c r="B27" s="233" t="s">
        <v>202</v>
      </c>
      <c r="C27" s="383">
        <f t="shared" ref="C27:H27" si="2">SUM(C20:C26)</f>
        <v>3231122</v>
      </c>
      <c r="D27" s="383">
        <f t="shared" ref="D27" si="3">SUM(D20:D26)</f>
        <v>3231122</v>
      </c>
      <c r="E27" s="383">
        <f t="shared" si="2"/>
        <v>2649866</v>
      </c>
      <c r="F27" s="383">
        <f t="shared" si="2"/>
        <v>2649865.27</v>
      </c>
      <c r="G27" s="383">
        <f t="shared" si="2"/>
        <v>2112447</v>
      </c>
      <c r="H27" s="383">
        <f t="shared" si="2"/>
        <v>1750000</v>
      </c>
    </row>
  </sheetData>
  <mergeCells count="3">
    <mergeCell ref="B1:H1"/>
    <mergeCell ref="B4:H4"/>
    <mergeCell ref="B3:H3"/>
  </mergeCells>
  <phoneticPr fontId="0" type="noConversion"/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Q47"/>
  <sheetViews>
    <sheetView view="pageBreakPreview" zoomScale="140" zoomScaleNormal="140" zoomScaleSheetLayoutView="140" workbookViewId="0">
      <selection activeCell="B32" sqref="B32"/>
    </sheetView>
  </sheetViews>
  <sheetFormatPr defaultRowHeight="15.75"/>
  <cols>
    <col min="1" max="1" width="1" style="2" customWidth="1"/>
    <col min="2" max="2" width="42.5703125" style="2" customWidth="1"/>
    <col min="3" max="3" width="13.5703125" style="2" customWidth="1"/>
    <col min="4" max="4" width="14.7109375" style="2" customWidth="1"/>
    <col min="5" max="5" width="13" style="2" customWidth="1"/>
    <col min="6" max="6" width="15.28515625" style="2" customWidth="1"/>
    <col min="7" max="16384" width="9.140625" style="2"/>
  </cols>
  <sheetData>
    <row r="1" spans="1:17" ht="22.5" customHeight="1">
      <c r="A1" s="632" t="s">
        <v>664</v>
      </c>
      <c r="B1" s="632"/>
      <c r="C1" s="632"/>
      <c r="D1" s="632"/>
      <c r="E1" s="1"/>
      <c r="F1" s="1"/>
      <c r="G1" s="1"/>
    </row>
    <row r="2" spans="1:17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>
      <c r="A3" s="651" t="s">
        <v>546</v>
      </c>
      <c r="B3" s="651"/>
      <c r="C3" s="651"/>
      <c r="D3" s="651"/>
      <c r="E3" s="279"/>
      <c r="F3" s="279"/>
      <c r="G3" s="218"/>
    </row>
    <row r="4" spans="1:17">
      <c r="B4" s="649"/>
      <c r="C4" s="649"/>
      <c r="D4" s="649"/>
    </row>
    <row r="5" spans="1:17">
      <c r="C5" s="650"/>
      <c r="D5" s="650"/>
    </row>
    <row r="6" spans="1:17" s="4" customFormat="1" ht="21" customHeight="1">
      <c r="B6" s="647" t="s">
        <v>0</v>
      </c>
      <c r="C6" s="648"/>
      <c r="D6" s="648"/>
      <c r="E6" s="648"/>
      <c r="F6" s="648"/>
      <c r="G6" s="5"/>
    </row>
    <row r="7" spans="1:17" s="4" customFormat="1" ht="42" customHeight="1" thickBot="1">
      <c r="B7" s="275" t="s">
        <v>1</v>
      </c>
      <c r="C7" s="276" t="s">
        <v>347</v>
      </c>
      <c r="D7" s="276" t="s">
        <v>545</v>
      </c>
      <c r="E7" s="276" t="s">
        <v>618</v>
      </c>
      <c r="F7" s="276" t="s">
        <v>620</v>
      </c>
    </row>
    <row r="8" spans="1:17" s="5" customFormat="1" ht="15" customHeight="1">
      <c r="B8" s="6" t="s">
        <v>2</v>
      </c>
      <c r="C8" s="287">
        <v>51891000</v>
      </c>
      <c r="D8" s="287">
        <v>55885000</v>
      </c>
      <c r="E8" s="287">
        <f>+'2.sz.mell.'!C55</f>
        <v>55450000</v>
      </c>
      <c r="F8" s="287">
        <f>+'2.sz.mell.'!D55</f>
        <v>55450000</v>
      </c>
    </row>
    <row r="9" spans="1:17" s="5" customFormat="1" ht="15" customHeight="1">
      <c r="B9" s="7" t="s">
        <v>320</v>
      </c>
      <c r="C9" s="288">
        <v>59270000</v>
      </c>
      <c r="D9" s="288">
        <v>59270000</v>
      </c>
      <c r="E9" s="288">
        <f>+'2.sz.mell.'!C43</f>
        <v>79270000</v>
      </c>
      <c r="F9" s="288">
        <f>+'2.sz.mell.'!D43</f>
        <v>73270000</v>
      </c>
    </row>
    <row r="10" spans="1:17" s="5" customFormat="1" ht="15" customHeight="1">
      <c r="B10" s="8" t="s">
        <v>316</v>
      </c>
      <c r="C10" s="439">
        <f>268051083+318000</f>
        <v>268369083</v>
      </c>
      <c r="D10" s="439">
        <v>285025510</v>
      </c>
      <c r="E10" s="439">
        <f>+'2.sz.mell.'!C25+'2.sz.mell.'!C57</f>
        <v>268775970</v>
      </c>
      <c r="F10" s="439">
        <f>+'2.sz.mell.'!D25+'2.sz.mell.'!D57</f>
        <v>285688877</v>
      </c>
    </row>
    <row r="11" spans="1:17" s="5" customFormat="1" ht="15" customHeight="1">
      <c r="B11" s="8" t="s">
        <v>321</v>
      </c>
      <c r="C11" s="439">
        <f>24579725</f>
        <v>24579725</v>
      </c>
      <c r="D11" s="439">
        <v>54625927</v>
      </c>
      <c r="E11" s="439">
        <f>+'2.sz.mell.'!C36</f>
        <v>95791880</v>
      </c>
      <c r="F11" s="439">
        <f>+'2.sz.mell.'!D36</f>
        <v>113632066</v>
      </c>
    </row>
    <row r="12" spans="1:17" s="5" customFormat="1" ht="15" customHeight="1">
      <c r="B12" s="8" t="s">
        <v>3</v>
      </c>
      <c r="C12" s="289">
        <v>13848000</v>
      </c>
      <c r="D12" s="289">
        <v>14981900</v>
      </c>
      <c r="E12" s="289">
        <f>+'2.sz.mell.'!C26</f>
        <v>20354748</v>
      </c>
      <c r="F12" s="289">
        <f>+'2.sz.mell.'!D26</f>
        <v>20354748</v>
      </c>
    </row>
    <row r="13" spans="1:17" s="5" customFormat="1" ht="15" customHeight="1">
      <c r="B13" s="9" t="s">
        <v>4</v>
      </c>
      <c r="C13" s="290">
        <v>81549342</v>
      </c>
      <c r="D13" s="290">
        <v>215097476</v>
      </c>
      <c r="E13" s="290">
        <f>+'2.sz.mell.'!C64-'3.sz.mell.'!E23</f>
        <v>108873310</v>
      </c>
      <c r="F13" s="290">
        <f>+'2.sz.mell.'!D64-'3.sz.mell.'!F23</f>
        <v>112813438</v>
      </c>
      <c r="H13" s="5">
        <f>4999736+1835000+84924+2999999+14999998+8266429+45378440+4508070+24944510+8165656</f>
        <v>116182762</v>
      </c>
    </row>
    <row r="14" spans="1:17" s="5" customFormat="1" ht="15" customHeight="1">
      <c r="B14" s="16" t="s">
        <v>342</v>
      </c>
      <c r="C14" s="290">
        <v>0</v>
      </c>
      <c r="D14" s="290">
        <v>0</v>
      </c>
      <c r="E14" s="290">
        <v>0</v>
      </c>
      <c r="F14" s="290">
        <v>0</v>
      </c>
    </row>
    <row r="15" spans="1:17" s="5" customFormat="1" ht="15" customHeight="1" thickBot="1">
      <c r="B15" s="9" t="s">
        <v>5</v>
      </c>
      <c r="C15" s="290">
        <v>0</v>
      </c>
      <c r="D15" s="290">
        <v>0</v>
      </c>
      <c r="E15" s="290">
        <v>0</v>
      </c>
      <c r="F15" s="290">
        <v>0</v>
      </c>
    </row>
    <row r="16" spans="1:17" s="10" customFormat="1" ht="15" customHeight="1" thickBot="1">
      <c r="B16" s="11" t="s">
        <v>6</v>
      </c>
      <c r="C16" s="291">
        <f>C8+C9+C10+C11+C13+C15</f>
        <v>485659150</v>
      </c>
      <c r="D16" s="291">
        <f>D8+D9+D10+D11+D13+D15</f>
        <v>669903913</v>
      </c>
      <c r="E16" s="291">
        <f>E8+E9+E10+E11+E13+E15</f>
        <v>608161160</v>
      </c>
      <c r="F16" s="291">
        <f>F8+F9+F10+F11+F13+F15</f>
        <v>640854381</v>
      </c>
    </row>
    <row r="17" spans="2:6" s="5" customFormat="1" ht="15" customHeight="1">
      <c r="B17" s="12" t="s">
        <v>7</v>
      </c>
      <c r="C17" s="287">
        <v>0</v>
      </c>
      <c r="D17" s="287">
        <v>0</v>
      </c>
      <c r="E17" s="287">
        <v>0</v>
      </c>
      <c r="F17" s="287">
        <v>0</v>
      </c>
    </row>
    <row r="18" spans="2:6" s="5" customFormat="1" ht="15" customHeight="1">
      <c r="B18" s="8" t="s">
        <v>8</v>
      </c>
      <c r="C18" s="288">
        <v>0</v>
      </c>
      <c r="D18" s="288">
        <v>0</v>
      </c>
      <c r="E18" s="288">
        <v>0</v>
      </c>
      <c r="F18" s="288">
        <v>0</v>
      </c>
    </row>
    <row r="19" spans="2:6" s="5" customFormat="1" ht="15" customHeight="1">
      <c r="B19" s="8" t="s">
        <v>9</v>
      </c>
      <c r="C19" s="289"/>
      <c r="D19" s="289"/>
      <c r="E19" s="289"/>
      <c r="F19" s="289"/>
    </row>
    <row r="20" spans="2:6" s="5" customFormat="1" ht="15" customHeight="1">
      <c r="B20" s="8" t="s">
        <v>10</v>
      </c>
      <c r="C20" s="289">
        <f>246525100+32758134</f>
        <v>279283234</v>
      </c>
      <c r="D20" s="289">
        <v>108818441</v>
      </c>
      <c r="E20" s="289">
        <f>+'2.sz.mell.'!C63</f>
        <v>5096029</v>
      </c>
      <c r="F20" s="289">
        <f>+'2.sz.mell.'!D63</f>
        <v>452983194</v>
      </c>
    </row>
    <row r="21" spans="2:6" s="5" customFormat="1" ht="15" customHeight="1">
      <c r="B21" s="8" t="s">
        <v>11</v>
      </c>
      <c r="C21" s="289">
        <v>0</v>
      </c>
      <c r="D21" s="289">
        <v>0</v>
      </c>
      <c r="E21" s="289">
        <v>0</v>
      </c>
      <c r="F21" s="289">
        <v>0</v>
      </c>
    </row>
    <row r="22" spans="2:6" s="5" customFormat="1" ht="15" customHeight="1">
      <c r="B22" s="8" t="s">
        <v>12</v>
      </c>
      <c r="C22" s="289">
        <v>0</v>
      </c>
      <c r="D22" s="289">
        <v>0</v>
      </c>
      <c r="E22" s="289">
        <v>0</v>
      </c>
      <c r="F22" s="289">
        <v>0</v>
      </c>
    </row>
    <row r="23" spans="2:6" s="5" customFormat="1" ht="15" customHeight="1" thickBot="1">
      <c r="B23" s="9" t="s">
        <v>13</v>
      </c>
      <c r="C23" s="290">
        <v>83953371</v>
      </c>
      <c r="D23" s="290">
        <v>201851422</v>
      </c>
      <c r="E23" s="290">
        <v>116182762</v>
      </c>
      <c r="F23" s="290">
        <v>116182762</v>
      </c>
    </row>
    <row r="24" spans="2:6" s="10" customFormat="1" ht="15" customHeight="1" thickBot="1">
      <c r="B24" s="11" t="s">
        <v>14</v>
      </c>
      <c r="C24" s="291">
        <f>SUM(C17:C23)</f>
        <v>363236605</v>
      </c>
      <c r="D24" s="291">
        <f>SUM(D17:D23)</f>
        <v>310669863</v>
      </c>
      <c r="E24" s="291">
        <f>SUM(E17:E23)</f>
        <v>121278791</v>
      </c>
      <c r="F24" s="291">
        <f>SUM(F17:F23)</f>
        <v>569165956</v>
      </c>
    </row>
    <row r="25" spans="2:6" s="10" customFormat="1" ht="15" customHeight="1" thickBot="1">
      <c r="B25" s="13" t="s">
        <v>15</v>
      </c>
      <c r="C25" s="292">
        <f>+C24+C16</f>
        <v>848895755</v>
      </c>
      <c r="D25" s="292">
        <f>+D24+D16</f>
        <v>980573776</v>
      </c>
      <c r="E25" s="292">
        <f>+E24+E16</f>
        <v>729439951</v>
      </c>
      <c r="F25" s="292">
        <f>+F24+F16</f>
        <v>1210020337</v>
      </c>
    </row>
    <row r="26" spans="2:6" s="10" customFormat="1" ht="15" customHeight="1">
      <c r="B26" s="273"/>
      <c r="C26" s="274"/>
      <c r="D26" s="274"/>
    </row>
    <row r="27" spans="2:6" s="4" customFormat="1" ht="15" customHeight="1"/>
    <row r="28" spans="2:6" s="4" customFormat="1" ht="15" customHeight="1">
      <c r="C28" s="650"/>
      <c r="D28" s="650"/>
    </row>
    <row r="29" spans="2:6" s="4" customFormat="1" ht="21" customHeight="1">
      <c r="B29" s="647" t="s">
        <v>16</v>
      </c>
      <c r="C29" s="648"/>
      <c r="D29" s="648"/>
      <c r="E29" s="648"/>
      <c r="F29" s="648"/>
    </row>
    <row r="30" spans="2:6" s="4" customFormat="1" ht="39" thickBot="1">
      <c r="B30" s="275" t="s">
        <v>1</v>
      </c>
      <c r="C30" s="276" t="s">
        <v>347</v>
      </c>
      <c r="D30" s="276" t="s">
        <v>545</v>
      </c>
      <c r="E30" s="276" t="s">
        <v>618</v>
      </c>
      <c r="F30" s="276" t="s">
        <v>619</v>
      </c>
    </row>
    <row r="31" spans="2:6" s="4" customFormat="1" ht="15" customHeight="1">
      <c r="B31" s="14" t="s">
        <v>17</v>
      </c>
      <c r="C31" s="293">
        <v>172604200</v>
      </c>
      <c r="D31" s="293">
        <v>212285909</v>
      </c>
      <c r="E31" s="293">
        <f>+'5.a sz.mell.'!D66</f>
        <v>222999810</v>
      </c>
      <c r="F31" s="293">
        <f>+'5.a sz.mell.'!E66</f>
        <v>243442171</v>
      </c>
    </row>
    <row r="32" spans="2:6" s="4" customFormat="1" ht="15" customHeight="1">
      <c r="B32" s="15" t="s">
        <v>18</v>
      </c>
      <c r="C32" s="294">
        <v>32695500</v>
      </c>
      <c r="D32" s="294">
        <v>39599062</v>
      </c>
      <c r="E32" s="294">
        <f>+'5.a sz.mell.'!F66</f>
        <v>37774837</v>
      </c>
      <c r="F32" s="294">
        <f>+'5.a sz.mell.'!G66</f>
        <v>40027658</v>
      </c>
    </row>
    <row r="33" spans="2:6" s="4" customFormat="1" ht="15" customHeight="1">
      <c r="B33" s="15" t="s">
        <v>19</v>
      </c>
      <c r="C33" s="294">
        <v>135629000</v>
      </c>
      <c r="D33" s="294">
        <v>243566668</v>
      </c>
      <c r="E33" s="294">
        <f>+'5.a sz.mell.'!H66</f>
        <v>200426841</v>
      </c>
      <c r="F33" s="294">
        <f>+'5.a sz.mell.'!I66</f>
        <v>271808127</v>
      </c>
    </row>
    <row r="34" spans="2:6" s="4" customFormat="1" ht="15" customHeight="1">
      <c r="B34" s="15" t="s">
        <v>20</v>
      </c>
      <c r="C34" s="294">
        <f>72104709+2880000</f>
        <v>74984709</v>
      </c>
      <c r="D34" s="294">
        <v>84567133</v>
      </c>
      <c r="E34" s="294">
        <f>+'2.sz.mell.'!C80+'2.sz.mell.'!C81</f>
        <v>95627898</v>
      </c>
      <c r="F34" s="294">
        <f>+'2.sz.mell.'!D80+'2.sz.mell.'!D81</f>
        <v>96797091</v>
      </c>
    </row>
    <row r="35" spans="2:6" s="4" customFormat="1" ht="15" customHeight="1">
      <c r="B35" s="16" t="s">
        <v>318</v>
      </c>
      <c r="C35" s="294">
        <v>3781000</v>
      </c>
      <c r="D35" s="294">
        <v>4767000</v>
      </c>
      <c r="E35" s="294">
        <f>+'5.a sz.mell.'!L66</f>
        <v>3147000</v>
      </c>
      <c r="F35" s="294">
        <f>+'5.a sz.mell.'!M66</f>
        <v>3147000</v>
      </c>
    </row>
    <row r="36" spans="2:6" s="4" customFormat="1" ht="15" customHeight="1">
      <c r="B36" s="16" t="s">
        <v>455</v>
      </c>
      <c r="C36" s="295">
        <v>0</v>
      </c>
      <c r="D36" s="295">
        <v>0</v>
      </c>
      <c r="E36" s="295">
        <f>+'2.sz.mell.'!C77</f>
        <v>0</v>
      </c>
      <c r="F36" s="295">
        <f>+'2.sz.mell.'!D77</f>
        <v>0</v>
      </c>
    </row>
    <row r="37" spans="2:6" s="4" customFormat="1" ht="15" customHeight="1">
      <c r="B37" s="16" t="s">
        <v>319</v>
      </c>
      <c r="C37" s="295">
        <v>9649634</v>
      </c>
      <c r="D37" s="295">
        <v>10420711</v>
      </c>
      <c r="E37" s="295">
        <f>+'5.a sz.mell.'!P66</f>
        <v>10751039</v>
      </c>
      <c r="F37" s="295">
        <f>+'5.a sz.mell.'!Q66</f>
        <v>10997076</v>
      </c>
    </row>
    <row r="38" spans="2:6" s="4" customFormat="1" ht="15" customHeight="1">
      <c r="B38" s="16" t="s">
        <v>456</v>
      </c>
      <c r="C38" s="295">
        <v>0</v>
      </c>
      <c r="D38" s="295">
        <v>1643568</v>
      </c>
      <c r="E38" s="295">
        <f>+'2.sz.mell.'!C79</f>
        <v>0</v>
      </c>
      <c r="F38" s="295">
        <f>+'2.sz.mell.'!D79</f>
        <v>0</v>
      </c>
    </row>
    <row r="39" spans="2:6" s="4" customFormat="1" ht="15" customHeight="1">
      <c r="B39" s="16" t="s">
        <v>21</v>
      </c>
      <c r="C39" s="295">
        <v>1415952</v>
      </c>
      <c r="D39" s="295">
        <v>0</v>
      </c>
      <c r="E39" s="295">
        <f>+'2.sz.mell.'!C83</f>
        <v>0</v>
      </c>
      <c r="F39" s="295">
        <f>+'2.sz.mell.'!D83</f>
        <v>0</v>
      </c>
    </row>
    <row r="40" spans="2:6" s="4" customFormat="1" ht="15" customHeight="1" thickBot="1">
      <c r="B40" s="16" t="s">
        <v>22</v>
      </c>
      <c r="C40" s="296">
        <v>90687347</v>
      </c>
      <c r="D40" s="296">
        <v>107151973</v>
      </c>
      <c r="E40" s="296">
        <f>+'2.sz.mell.'!C84</f>
        <v>98896424</v>
      </c>
      <c r="F40" s="296">
        <f>+'2.sz.mell.'!D84</f>
        <v>96983663</v>
      </c>
    </row>
    <row r="41" spans="2:6" s="4" customFormat="1" ht="15" customHeight="1" thickBot="1">
      <c r="B41" s="17" t="s">
        <v>23</v>
      </c>
      <c r="C41" s="297">
        <f>SUM(C31:C40)</f>
        <v>521447342</v>
      </c>
      <c r="D41" s="297">
        <f>SUM(D31:D40)</f>
        <v>704002024</v>
      </c>
      <c r="E41" s="297">
        <f>SUM(E31:E40)</f>
        <v>669623849</v>
      </c>
      <c r="F41" s="297">
        <f>SUM(F31:F40)</f>
        <v>763202786</v>
      </c>
    </row>
    <row r="42" spans="2:6" s="4" customFormat="1" ht="15" customHeight="1">
      <c r="B42" s="14" t="s">
        <v>24</v>
      </c>
      <c r="C42" s="293">
        <v>50435066</v>
      </c>
      <c r="D42" s="293">
        <v>42859926</v>
      </c>
      <c r="E42" s="293">
        <f>+'5.a sz.mell.'!V66</f>
        <v>46420058</v>
      </c>
      <c r="F42" s="293">
        <f>+'5.a sz.mell.'!W66</f>
        <v>199982862</v>
      </c>
    </row>
    <row r="43" spans="2:6" s="4" customFormat="1" ht="15" customHeight="1">
      <c r="B43" s="15" t="s">
        <v>299</v>
      </c>
      <c r="C43" s="294">
        <v>277013347</v>
      </c>
      <c r="D43" s="294">
        <v>233711826</v>
      </c>
      <c r="E43" s="294">
        <f>+'5.a sz.mell.'!T66</f>
        <v>13396044</v>
      </c>
      <c r="F43" s="294">
        <f>+'5.a sz.mell.'!U66</f>
        <v>246834689</v>
      </c>
    </row>
    <row r="44" spans="2:6" s="4" customFormat="1" ht="15" customHeight="1" thickBot="1">
      <c r="B44" s="16" t="s">
        <v>298</v>
      </c>
      <c r="C44" s="295">
        <v>0</v>
      </c>
      <c r="D44" s="295">
        <v>0</v>
      </c>
      <c r="E44" s="295">
        <v>0</v>
      </c>
      <c r="F44" s="295">
        <v>0</v>
      </c>
    </row>
    <row r="45" spans="2:6" s="4" customFormat="1" ht="15" customHeight="1" thickBot="1">
      <c r="B45" s="17" t="s">
        <v>25</v>
      </c>
      <c r="C45" s="297">
        <f>SUM(C42:C44)</f>
        <v>327448413</v>
      </c>
      <c r="D45" s="297">
        <f>SUM(D42:D44)</f>
        <v>276571752</v>
      </c>
      <c r="E45" s="297">
        <f>SUM(E42:E44)</f>
        <v>59816102</v>
      </c>
      <c r="F45" s="297">
        <f>SUM(F42:F44)</f>
        <v>446817551</v>
      </c>
    </row>
    <row r="46" spans="2:6" s="19" customFormat="1" ht="18.75" customHeight="1" thickBot="1">
      <c r="B46" s="18" t="s">
        <v>26</v>
      </c>
      <c r="C46" s="298">
        <f>SUM(C41,C45)</f>
        <v>848895755</v>
      </c>
      <c r="D46" s="298">
        <f>SUM(D41,D45)</f>
        <v>980573776</v>
      </c>
      <c r="E46" s="298">
        <f>SUM(E41,E45)</f>
        <v>729439951</v>
      </c>
      <c r="F46" s="298">
        <f>SUM(F41,F45)</f>
        <v>1210020337</v>
      </c>
    </row>
    <row r="47" spans="2:6">
      <c r="E47" s="505"/>
      <c r="F47" s="505"/>
    </row>
  </sheetData>
  <mergeCells count="7">
    <mergeCell ref="B29:F29"/>
    <mergeCell ref="A1:D1"/>
    <mergeCell ref="B4:D4"/>
    <mergeCell ref="C5:D5"/>
    <mergeCell ref="C28:D28"/>
    <mergeCell ref="A3:D3"/>
    <mergeCell ref="B6:F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6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BB29"/>
  <sheetViews>
    <sheetView view="pageBreakPreview" zoomScaleNormal="100" zoomScaleSheetLayoutView="100" workbookViewId="0">
      <selection activeCell="B32" sqref="B32"/>
    </sheetView>
  </sheetViews>
  <sheetFormatPr defaultRowHeight="15"/>
  <cols>
    <col min="1" max="1" width="4.140625" style="34" bestFit="1" customWidth="1"/>
    <col min="2" max="2" width="40" style="34" customWidth="1"/>
    <col min="3" max="12" width="17.7109375" style="27" customWidth="1"/>
    <col min="13" max="18" width="15" style="27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7" ht="15" customHeight="1">
      <c r="A1" s="632" t="s">
        <v>665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63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7" ht="30.75" customHeight="1">
      <c r="A2" s="664" t="s">
        <v>547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131"/>
      <c r="R2" s="131"/>
      <c r="S2" s="131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7">
      <c r="A3" s="24"/>
      <c r="B3" s="25"/>
      <c r="C3" s="26"/>
      <c r="D3" s="26"/>
      <c r="E3" s="26"/>
      <c r="F3" s="26"/>
      <c r="G3" s="26"/>
      <c r="H3" s="26"/>
      <c r="I3" s="26"/>
      <c r="K3" s="26"/>
      <c r="L3" s="26"/>
      <c r="M3" s="26"/>
      <c r="O3" s="26"/>
      <c r="P3" s="26"/>
      <c r="R3" s="280" t="s">
        <v>317</v>
      </c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7" ht="24.6" customHeight="1" thickBot="1">
      <c r="A4" s="652" t="s">
        <v>27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7" ht="103.15" customHeight="1" thickBot="1">
      <c r="A5" s="665" t="s">
        <v>29</v>
      </c>
      <c r="B5" s="665"/>
      <c r="C5" s="654" t="s">
        <v>30</v>
      </c>
      <c r="D5" s="655"/>
      <c r="E5" s="654" t="s">
        <v>31</v>
      </c>
      <c r="F5" s="655"/>
      <c r="G5" s="654" t="s">
        <v>32</v>
      </c>
      <c r="H5" s="655"/>
      <c r="I5" s="654" t="s">
        <v>457</v>
      </c>
      <c r="J5" s="655"/>
      <c r="K5" s="656" t="s">
        <v>238</v>
      </c>
      <c r="L5" s="657"/>
      <c r="M5" s="654" t="s">
        <v>219</v>
      </c>
      <c r="N5" s="655"/>
      <c r="O5" s="654" t="s">
        <v>372</v>
      </c>
      <c r="P5" s="655"/>
      <c r="Q5" s="654" t="s">
        <v>459</v>
      </c>
      <c r="R5" s="655"/>
      <c r="U5" s="29"/>
      <c r="V5" s="29"/>
      <c r="W5" s="29"/>
      <c r="X5" s="29"/>
      <c r="Y5" s="29"/>
      <c r="Z5" s="29"/>
      <c r="AA5" s="29"/>
      <c r="AB5" s="29"/>
      <c r="AC5" s="29"/>
      <c r="AD5" s="661"/>
      <c r="AE5" s="661"/>
      <c r="AF5" s="661"/>
      <c r="AG5" s="30"/>
      <c r="AH5" s="30"/>
      <c r="AI5" s="30"/>
      <c r="AJ5" s="21"/>
      <c r="AK5" s="21"/>
      <c r="AL5" s="21"/>
    </row>
    <row r="6" spans="1:47" ht="36" customHeight="1" thickBot="1">
      <c r="A6" s="222" t="s">
        <v>36</v>
      </c>
      <c r="B6" s="223"/>
      <c r="C6" s="549" t="s">
        <v>37</v>
      </c>
      <c r="D6" s="469" t="s">
        <v>643</v>
      </c>
      <c r="E6" s="549" t="s">
        <v>37</v>
      </c>
      <c r="F6" s="469" t="s">
        <v>643</v>
      </c>
      <c r="G6" s="549" t="s">
        <v>37</v>
      </c>
      <c r="H6" s="469" t="s">
        <v>643</v>
      </c>
      <c r="I6" s="549" t="s">
        <v>37</v>
      </c>
      <c r="J6" s="469" t="s">
        <v>643</v>
      </c>
      <c r="K6" s="549" t="s">
        <v>37</v>
      </c>
      <c r="L6" s="469" t="s">
        <v>643</v>
      </c>
      <c r="M6" s="549" t="s">
        <v>37</v>
      </c>
      <c r="N6" s="469" t="s">
        <v>643</v>
      </c>
      <c r="O6" s="549" t="s">
        <v>37</v>
      </c>
      <c r="P6" s="469" t="s">
        <v>643</v>
      </c>
      <c r="Q6" s="549" t="s">
        <v>37</v>
      </c>
      <c r="R6" s="469" t="s">
        <v>643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1"/>
      <c r="AI6" s="21"/>
      <c r="AJ6" s="21"/>
      <c r="AK6" s="21"/>
      <c r="AL6" s="21"/>
    </row>
    <row r="7" spans="1:47" s="471" customFormat="1" ht="30" customHeight="1" thickBot="1">
      <c r="A7" s="455" t="s">
        <v>38</v>
      </c>
      <c r="B7" s="470" t="s">
        <v>190</v>
      </c>
      <c r="C7" s="454">
        <f>+'5 b.sz.mell.'!D38</f>
        <v>30970000</v>
      </c>
      <c r="D7" s="454">
        <f>+'5 b.sz.mell.'!E38</f>
        <v>30970000</v>
      </c>
      <c r="E7" s="454">
        <f>+'5 b.sz.mell.'!N38</f>
        <v>79200000</v>
      </c>
      <c r="F7" s="454">
        <f>+'5 b.sz.mell.'!O38</f>
        <v>73200000</v>
      </c>
      <c r="G7" s="454">
        <f>+'5 b.sz.mell.'!F38</f>
        <v>357804551</v>
      </c>
      <c r="H7" s="454">
        <f>+'5 b.sz.mell.'!G38</f>
        <v>387460910</v>
      </c>
      <c r="I7" s="456">
        <v>0</v>
      </c>
      <c r="J7" s="456">
        <v>0</v>
      </c>
      <c r="K7" s="473">
        <f>+'5 b.sz.mell.'!L38</f>
        <v>0</v>
      </c>
      <c r="L7" s="473">
        <f>+'5 b.sz.mell.'!M38</f>
        <v>0</v>
      </c>
      <c r="M7" s="454">
        <f>+'5 b.sz.mell.'!J38</f>
        <v>222081812</v>
      </c>
      <c r="N7" s="454">
        <f>+'5 b.sz.mell.'!K38</f>
        <v>226021940</v>
      </c>
      <c r="O7" s="468">
        <f t="shared" ref="O7:P11" si="0">+C7+E7+G7+I7+K7+M7</f>
        <v>690056363</v>
      </c>
      <c r="P7" s="468">
        <f t="shared" si="0"/>
        <v>717652850</v>
      </c>
      <c r="Q7" s="478">
        <f t="shared" ref="Q7:R11" si="1">+O7-K7</f>
        <v>690056363</v>
      </c>
      <c r="R7" s="478">
        <f t="shared" si="1"/>
        <v>717652850</v>
      </c>
      <c r="S7" s="27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1"/>
      <c r="AF7" s="31"/>
      <c r="AG7" s="31"/>
    </row>
    <row r="8" spans="1:47" s="471" customFormat="1" ht="30" customHeight="1" thickBot="1">
      <c r="A8" s="455" t="s">
        <v>39</v>
      </c>
      <c r="B8" s="470" t="s">
        <v>40</v>
      </c>
      <c r="C8" s="454">
        <f>+'5 b.sz.mell.'!D43</f>
        <v>1100000</v>
      </c>
      <c r="D8" s="454">
        <f>+'5 b.sz.mell.'!E43</f>
        <v>1100000</v>
      </c>
      <c r="E8" s="454">
        <f>+'5 b.sz.mell.'!N43</f>
        <v>70000</v>
      </c>
      <c r="F8" s="454">
        <f>+'5 b.sz.mell.'!O43</f>
        <v>70000</v>
      </c>
      <c r="G8" s="454">
        <f>+'5 b.sz.mell.'!F43</f>
        <v>1938774</v>
      </c>
      <c r="H8" s="454">
        <f>+'5 b.sz.mell.'!G43</f>
        <v>977813</v>
      </c>
      <c r="I8" s="456">
        <v>0</v>
      </c>
      <c r="J8" s="456">
        <v>0</v>
      </c>
      <c r="K8" s="473">
        <f>+'5 b.sz.mell.'!L43</f>
        <v>98457518</v>
      </c>
      <c r="L8" s="473">
        <f>+'5 b.sz.mell.'!M43</f>
        <v>99418479</v>
      </c>
      <c r="M8" s="454">
        <f>+'5 b.sz.mell.'!J43</f>
        <v>1129708</v>
      </c>
      <c r="N8" s="454">
        <f>+'5 b.sz.mell.'!K43</f>
        <v>1129708</v>
      </c>
      <c r="O8" s="468">
        <f t="shared" si="0"/>
        <v>102696000</v>
      </c>
      <c r="P8" s="468">
        <f t="shared" si="0"/>
        <v>102696000</v>
      </c>
      <c r="Q8" s="478">
        <f t="shared" si="1"/>
        <v>4238482</v>
      </c>
      <c r="R8" s="478">
        <f t="shared" si="1"/>
        <v>3277521</v>
      </c>
      <c r="S8" s="27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1"/>
      <c r="AF8" s="31"/>
      <c r="AG8" s="31"/>
    </row>
    <row r="9" spans="1:47" s="471" customFormat="1" ht="30" customHeight="1" thickBot="1">
      <c r="A9" s="455" t="s">
        <v>41</v>
      </c>
      <c r="B9" s="470" t="s">
        <v>215</v>
      </c>
      <c r="C9" s="454">
        <f>+'5 b.sz.mell.'!D46</f>
        <v>150000</v>
      </c>
      <c r="D9" s="454">
        <f>+'5 b.sz.mell.'!E46</f>
        <v>150000</v>
      </c>
      <c r="E9" s="454">
        <f>+'5 b.sz.mell.'!N46</f>
        <v>0</v>
      </c>
      <c r="F9" s="454">
        <f>+'5 b.sz.mell.'!O46</f>
        <v>0</v>
      </c>
      <c r="G9" s="454">
        <f>+'5 b.sz.mell.'!F46</f>
        <v>0</v>
      </c>
      <c r="H9" s="454">
        <f>+'5 b.sz.mell.'!G46</f>
        <v>0</v>
      </c>
      <c r="I9" s="456">
        <v>0</v>
      </c>
      <c r="J9" s="456">
        <v>0</v>
      </c>
      <c r="K9" s="473">
        <f>+'5 b.sz.mell.'!L46</f>
        <v>16645148</v>
      </c>
      <c r="L9" s="473">
        <f>+'5 b.sz.mell.'!M46</f>
        <v>16645148</v>
      </c>
      <c r="M9" s="454">
        <f>+'5 b.sz.mell.'!J46</f>
        <v>146107</v>
      </c>
      <c r="N9" s="454">
        <f>+'5 b.sz.mell.'!K46</f>
        <v>146107</v>
      </c>
      <c r="O9" s="468">
        <f t="shared" si="0"/>
        <v>16941255</v>
      </c>
      <c r="P9" s="468">
        <f t="shared" si="0"/>
        <v>16941255</v>
      </c>
      <c r="Q9" s="478">
        <f t="shared" si="1"/>
        <v>296107</v>
      </c>
      <c r="R9" s="478">
        <f t="shared" si="1"/>
        <v>296107</v>
      </c>
      <c r="S9" s="27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1"/>
      <c r="AF9" s="31"/>
      <c r="AG9" s="31"/>
    </row>
    <row r="10" spans="1:47" s="471" customFormat="1" ht="30" customHeight="1" thickBot="1">
      <c r="A10" s="455" t="s">
        <v>43</v>
      </c>
      <c r="B10" s="470" t="s">
        <v>216</v>
      </c>
      <c r="C10" s="454">
        <f>+'5 b.sz.mell.'!D50</f>
        <v>110000</v>
      </c>
      <c r="D10" s="454">
        <f>+'5 b.sz.mell.'!E50</f>
        <v>110000</v>
      </c>
      <c r="E10" s="454">
        <f>+'5 b.sz.mell.'!N50</f>
        <v>0</v>
      </c>
      <c r="F10" s="454">
        <f>+'5 b.sz.mell.'!O50</f>
        <v>0</v>
      </c>
      <c r="G10" s="454">
        <f>+'5 b.sz.mell.'!F50</f>
        <v>2800000</v>
      </c>
      <c r="H10" s="454">
        <f>+'5 b.sz.mell.'!G50</f>
        <v>2800000</v>
      </c>
      <c r="I10" s="456">
        <v>0</v>
      </c>
      <c r="J10" s="456">
        <v>0</v>
      </c>
      <c r="K10" s="473">
        <f>+'5 b.sz.mell.'!L50</f>
        <v>3562176</v>
      </c>
      <c r="L10" s="473">
        <f>+'5 b.sz.mell.'!M50</f>
        <v>3562176</v>
      </c>
      <c r="M10" s="454">
        <f>+'5 b.sz.mell.'!J50</f>
        <v>300944</v>
      </c>
      <c r="N10" s="454">
        <f>+'5 b.sz.mell.'!K50</f>
        <v>300944</v>
      </c>
      <c r="O10" s="468">
        <f t="shared" si="0"/>
        <v>6773120</v>
      </c>
      <c r="P10" s="468">
        <f t="shared" si="0"/>
        <v>6773120</v>
      </c>
      <c r="Q10" s="478">
        <f t="shared" si="1"/>
        <v>3210944</v>
      </c>
      <c r="R10" s="478">
        <f t="shared" si="1"/>
        <v>3210944</v>
      </c>
      <c r="S10" s="27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1"/>
      <c r="AF10" s="31"/>
      <c r="AG10" s="31"/>
    </row>
    <row r="11" spans="1:47" s="471" customFormat="1" ht="30" customHeight="1" thickBot="1">
      <c r="A11" s="455" t="s">
        <v>211</v>
      </c>
      <c r="B11" s="472" t="s">
        <v>220</v>
      </c>
      <c r="C11" s="454">
        <f>+'5 b.sz.mell.'!D60</f>
        <v>23120000</v>
      </c>
      <c r="D11" s="454">
        <f>+'5 b.sz.mell.'!E60</f>
        <v>23120000</v>
      </c>
      <c r="E11" s="454">
        <f>+'5 b.sz.mell.'!N60</f>
        <v>0</v>
      </c>
      <c r="F11" s="454">
        <f>+'5 b.sz.mell.'!O60</f>
        <v>0</v>
      </c>
      <c r="G11" s="454">
        <f>+'5 b.sz.mell.'!F60</f>
        <v>2024525</v>
      </c>
      <c r="H11" s="454">
        <f>+'5 b.sz.mell.'!G60</f>
        <v>8082220</v>
      </c>
      <c r="I11" s="456">
        <v>0</v>
      </c>
      <c r="J11" s="456">
        <v>0</v>
      </c>
      <c r="K11" s="473">
        <f>+'5 b.sz.mell.'!L60</f>
        <v>100562722</v>
      </c>
      <c r="L11" s="473">
        <f>+'5 b.sz.mell.'!M60</f>
        <v>100562722</v>
      </c>
      <c r="M11" s="454">
        <f>+'5 b.sz.mell.'!J60</f>
        <v>1397501</v>
      </c>
      <c r="N11" s="454">
        <f>+'5 b.sz.mell.'!K60</f>
        <v>1397501</v>
      </c>
      <c r="O11" s="468">
        <f t="shared" si="0"/>
        <v>127104748</v>
      </c>
      <c r="P11" s="468">
        <f t="shared" si="0"/>
        <v>133162443</v>
      </c>
      <c r="Q11" s="478">
        <f t="shared" si="1"/>
        <v>26542026</v>
      </c>
      <c r="R11" s="478">
        <f t="shared" si="1"/>
        <v>32599721</v>
      </c>
      <c r="S11" s="27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1"/>
      <c r="AF11" s="31"/>
      <c r="AG11" s="31"/>
    </row>
    <row r="12" spans="1:47" s="471" customFormat="1" ht="36.75" customHeight="1" thickBot="1">
      <c r="A12" s="662" t="s">
        <v>44</v>
      </c>
      <c r="B12" s="662"/>
      <c r="C12" s="453">
        <f t="shared" ref="C12:K12" si="2">SUM(C7:C11)</f>
        <v>55450000</v>
      </c>
      <c r="D12" s="453">
        <f t="shared" ref="D12" si="3">SUM(D7:D11)</f>
        <v>55450000</v>
      </c>
      <c r="E12" s="453">
        <f t="shared" si="2"/>
        <v>79270000</v>
      </c>
      <c r="F12" s="453">
        <f t="shared" ref="F12" si="4">SUM(F7:F11)</f>
        <v>73270000</v>
      </c>
      <c r="G12" s="453">
        <f t="shared" si="2"/>
        <v>364567850</v>
      </c>
      <c r="H12" s="453">
        <f t="shared" ref="H12" si="5">SUM(H7:H11)</f>
        <v>399320943</v>
      </c>
      <c r="I12" s="453">
        <f t="shared" si="2"/>
        <v>0</v>
      </c>
      <c r="J12" s="453">
        <f t="shared" ref="J12" si="6">SUM(J7:J11)</f>
        <v>0</v>
      </c>
      <c r="K12" s="453">
        <f t="shared" si="2"/>
        <v>219227564</v>
      </c>
      <c r="L12" s="453">
        <f t="shared" ref="L12" si="7">SUM(L7:L11)</f>
        <v>220188525</v>
      </c>
      <c r="M12" s="453">
        <f t="shared" ref="M12:R12" si="8">SUM(M7:M11)</f>
        <v>225056072</v>
      </c>
      <c r="N12" s="453">
        <f t="shared" si="8"/>
        <v>228996200</v>
      </c>
      <c r="O12" s="468">
        <f t="shared" si="8"/>
        <v>943571486</v>
      </c>
      <c r="P12" s="468">
        <f t="shared" si="8"/>
        <v>977225668</v>
      </c>
      <c r="Q12" s="478">
        <f t="shared" si="8"/>
        <v>724343922</v>
      </c>
      <c r="R12" s="478">
        <f t="shared" si="8"/>
        <v>757037143</v>
      </c>
      <c r="S12" s="27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47">
      <c r="AM13" s="27"/>
      <c r="AN13" s="27"/>
      <c r="AO13" s="27"/>
      <c r="AP13" s="27"/>
      <c r="AQ13" s="27"/>
      <c r="AR13" s="27"/>
      <c r="AS13" s="27"/>
      <c r="AT13" s="27"/>
      <c r="AU13" s="27"/>
    </row>
    <row r="14" spans="1:47" hidden="1">
      <c r="E14" s="27">
        <f>+'5 b.sz.mell.'!D61</f>
        <v>55450000</v>
      </c>
      <c r="F14" s="27">
        <f>+'5 b.sz.mell.'!E61</f>
        <v>55450000</v>
      </c>
      <c r="I14" s="27">
        <f>+'5 b.sz.mell.'!N61</f>
        <v>79270000</v>
      </c>
      <c r="J14" s="27">
        <f>+'5 b.sz.mell.'!O61</f>
        <v>73270000</v>
      </c>
      <c r="M14" s="27">
        <f>+'5 b.sz.mell.'!F61</f>
        <v>364567850</v>
      </c>
      <c r="N14" s="27">
        <f>+'5 b.sz.mell.'!G61</f>
        <v>399320943</v>
      </c>
      <c r="T14" s="27">
        <f>+'5 b.sz.mell.'!P61-'5 b.sz.mell.'!H61</f>
        <v>943571486</v>
      </c>
      <c r="V14" s="27">
        <f>+'5 b.sz.mell.'!P61-'5 b.sz.mell.'!H61-'5 b.sz.mell.'!L61</f>
        <v>724343922</v>
      </c>
      <c r="AM14" s="27"/>
      <c r="AN14" s="27"/>
      <c r="AO14" s="27"/>
      <c r="AP14" s="27"/>
      <c r="AQ14" s="27"/>
      <c r="AR14" s="27"/>
      <c r="AS14" s="27"/>
      <c r="AT14" s="27"/>
      <c r="AU14" s="27"/>
    </row>
    <row r="15" spans="1:47">
      <c r="C15" s="27">
        <f>+'5 b.sz.mell.'!D61</f>
        <v>55450000</v>
      </c>
      <c r="D15" s="27">
        <f>+'5 b.sz.mell.'!E61</f>
        <v>55450000</v>
      </c>
      <c r="E15" s="27">
        <f>+'5 b.sz.mell.'!N61</f>
        <v>79270000</v>
      </c>
      <c r="F15" s="27">
        <f>+'5 b.sz.mell.'!O61</f>
        <v>73270000</v>
      </c>
      <c r="G15" s="27">
        <f>+'5 b.sz.mell.'!F61</f>
        <v>364567850</v>
      </c>
      <c r="H15" s="27">
        <f>+'5 b.sz.mell.'!G61</f>
        <v>399320943</v>
      </c>
      <c r="I15" s="27">
        <v>0</v>
      </c>
      <c r="J15" s="27">
        <v>0</v>
      </c>
      <c r="K15" s="27">
        <f>+'5 b.sz.mell.'!L61</f>
        <v>219227564</v>
      </c>
      <c r="L15" s="27">
        <f>+'5 b.sz.mell.'!M61</f>
        <v>220188525</v>
      </c>
      <c r="M15" s="27">
        <f>+'5 b.sz.mell.'!J61</f>
        <v>225056072</v>
      </c>
      <c r="N15" s="27">
        <f>+'5 b.sz.mell.'!K61</f>
        <v>228996200</v>
      </c>
      <c r="O15" s="27">
        <f>+'5 b.sz.mell.'!P61-'5 b.sz.mell.'!H61</f>
        <v>943571486</v>
      </c>
      <c r="P15" s="27">
        <f>+'5 b.sz.mell.'!Q61-'5 b.sz.mell.'!I61</f>
        <v>977225668</v>
      </c>
      <c r="Q15" s="27">
        <f>+'5 b.sz.mell.'!J63-'5 b.sz.mell.'!H61</f>
        <v>724343922</v>
      </c>
      <c r="R15" s="27">
        <f>+'5 b.sz.mell.'!K63-'5 b.sz.mell.'!I61</f>
        <v>-452983194</v>
      </c>
      <c r="AM15" s="27"/>
      <c r="AN15" s="27"/>
      <c r="AO15" s="27"/>
      <c r="AP15" s="27"/>
      <c r="AQ15" s="27"/>
      <c r="AR15" s="27"/>
      <c r="AS15" s="27"/>
      <c r="AT15" s="27"/>
      <c r="AU15" s="27"/>
    </row>
    <row r="16" spans="1:47">
      <c r="AM16" s="27"/>
      <c r="AN16" s="27"/>
    </row>
    <row r="17" spans="1:54" ht="15.75" customHeight="1" thickBot="1">
      <c r="A17" s="652" t="s">
        <v>28</v>
      </c>
      <c r="B17" s="653"/>
      <c r="C17" s="653"/>
      <c r="D17" s="653"/>
      <c r="E17" s="653"/>
      <c r="F17" s="653"/>
      <c r="G17" s="653"/>
      <c r="H17" s="653"/>
      <c r="I17" s="653"/>
      <c r="J17" s="653"/>
      <c r="K17" s="653"/>
      <c r="L17" s="653"/>
      <c r="M17" s="666"/>
      <c r="N17" s="666"/>
      <c r="O17" s="666"/>
      <c r="P17" s="666"/>
      <c r="Q17" s="666"/>
      <c r="R17" s="666"/>
      <c r="S17" s="666"/>
      <c r="T17" s="666"/>
      <c r="AM17" s="27"/>
      <c r="AN17" s="27"/>
      <c r="AO17" s="27"/>
      <c r="AP17" s="27"/>
      <c r="AQ17" s="27"/>
    </row>
    <row r="18" spans="1:54" ht="99.95" customHeight="1" thickBot="1">
      <c r="A18" s="659" t="s">
        <v>29</v>
      </c>
      <c r="B18" s="660"/>
      <c r="C18" s="654" t="s">
        <v>280</v>
      </c>
      <c r="D18" s="655"/>
      <c r="E18" s="654" t="s">
        <v>217</v>
      </c>
      <c r="F18" s="655"/>
      <c r="G18" s="654" t="s">
        <v>218</v>
      </c>
      <c r="H18" s="655"/>
      <c r="I18" s="654" t="s">
        <v>33</v>
      </c>
      <c r="J18" s="655"/>
      <c r="K18" s="656" t="s">
        <v>239</v>
      </c>
      <c r="L18" s="657"/>
      <c r="M18" s="654" t="s">
        <v>34</v>
      </c>
      <c r="N18" s="655"/>
      <c r="O18" s="654" t="s">
        <v>458</v>
      </c>
      <c r="P18" s="655"/>
      <c r="Q18" s="654" t="s">
        <v>319</v>
      </c>
      <c r="R18" s="655"/>
      <c r="S18" s="654" t="s">
        <v>35</v>
      </c>
      <c r="T18" s="655"/>
      <c r="U18" s="654" t="s">
        <v>241</v>
      </c>
      <c r="V18" s="655"/>
      <c r="W18" s="32"/>
      <c r="X18" s="32"/>
      <c r="Y18" s="32"/>
      <c r="Z18" s="32"/>
      <c r="AA18" s="32"/>
      <c r="AB18" s="32"/>
      <c r="AC18" s="32"/>
      <c r="AM18" s="27"/>
      <c r="AN18" s="27"/>
      <c r="AO18" s="27"/>
      <c r="AP18" s="27"/>
      <c r="AQ18" s="27"/>
      <c r="AR18" s="27"/>
      <c r="AS18" s="27"/>
      <c r="AT18" s="27"/>
    </row>
    <row r="19" spans="1:54" ht="26.25" thickBot="1">
      <c r="A19" s="222" t="s">
        <v>36</v>
      </c>
      <c r="B19" s="223"/>
      <c r="C19" s="469" t="s">
        <v>240</v>
      </c>
      <c r="D19" s="469" t="s">
        <v>643</v>
      </c>
      <c r="E19" s="469" t="s">
        <v>240</v>
      </c>
      <c r="F19" s="469" t="s">
        <v>643</v>
      </c>
      <c r="G19" s="469" t="s">
        <v>240</v>
      </c>
      <c r="H19" s="469" t="s">
        <v>643</v>
      </c>
      <c r="I19" s="469" t="s">
        <v>240</v>
      </c>
      <c r="J19" s="469" t="s">
        <v>643</v>
      </c>
      <c r="K19" s="469" t="s">
        <v>240</v>
      </c>
      <c r="L19" s="469" t="s">
        <v>643</v>
      </c>
      <c r="M19" s="469" t="s">
        <v>240</v>
      </c>
      <c r="N19" s="469" t="s">
        <v>643</v>
      </c>
      <c r="O19" s="469" t="s">
        <v>240</v>
      </c>
      <c r="P19" s="469" t="s">
        <v>643</v>
      </c>
      <c r="Q19" s="469" t="s">
        <v>240</v>
      </c>
      <c r="R19" s="469" t="s">
        <v>643</v>
      </c>
      <c r="S19" s="469" t="s">
        <v>240</v>
      </c>
      <c r="T19" s="469" t="s">
        <v>643</v>
      </c>
      <c r="U19" s="469" t="s">
        <v>240</v>
      </c>
      <c r="V19" s="469" t="s">
        <v>240</v>
      </c>
      <c r="AM19" s="27"/>
      <c r="AN19" s="27"/>
      <c r="AO19" s="27"/>
      <c r="AP19" s="27"/>
      <c r="AQ19" s="27"/>
      <c r="AR19" s="27"/>
      <c r="AS19" s="27"/>
      <c r="AT19" s="27"/>
    </row>
    <row r="20" spans="1:54" ht="30" customHeight="1" thickBot="1">
      <c r="A20" s="224" t="s">
        <v>38</v>
      </c>
      <c r="B20" s="225" t="s">
        <v>190</v>
      </c>
      <c r="C20" s="454">
        <f>+'5.a sz.mell.'!D43</f>
        <v>85892556</v>
      </c>
      <c r="D20" s="454">
        <f>+'5.a sz.mell.'!E43</f>
        <v>100475917</v>
      </c>
      <c r="E20" s="474">
        <f>+'5.a sz.mell.'!F43</f>
        <v>14003768</v>
      </c>
      <c r="F20" s="474">
        <f>+'5.a sz.mell.'!G43</f>
        <v>15335901</v>
      </c>
      <c r="G20" s="474">
        <f>+'5.a sz.mell.'!H43</f>
        <v>108751841</v>
      </c>
      <c r="H20" s="474">
        <f>+'5.a sz.mell.'!I43</f>
        <v>181168683</v>
      </c>
      <c r="I20" s="474">
        <f>+'5.a sz.mell.'!J43</f>
        <v>95507898</v>
      </c>
      <c r="J20" s="474">
        <f>+'5.a sz.mell.'!K43</f>
        <v>96677091</v>
      </c>
      <c r="K20" s="475">
        <f>+'5 b.sz.mell.'!L61</f>
        <v>219227564</v>
      </c>
      <c r="L20" s="475">
        <f>+'5 b.sz.mell.'!M61</f>
        <v>220188525</v>
      </c>
      <c r="M20" s="474">
        <f>+'5.a sz.mell.'!L66</f>
        <v>3147000</v>
      </c>
      <c r="N20" s="474">
        <f>+'5.a sz.mell.'!M66</f>
        <v>3147000</v>
      </c>
      <c r="O20" s="477">
        <f>+'5.a sz.mell.'!R43</f>
        <v>0</v>
      </c>
      <c r="P20" s="477">
        <f>+'5.a sz.mell.'!S43</f>
        <v>0</v>
      </c>
      <c r="Q20" s="474">
        <f>+'5.a sz.mell.'!P66</f>
        <v>10751039</v>
      </c>
      <c r="R20" s="474">
        <f>+'5.a sz.mell.'!Q66</f>
        <v>10997076</v>
      </c>
      <c r="S20" s="476">
        <f t="shared" ref="S20:T25" si="9">+Q20+M20+K20+I20+G20+E20+C20+O20</f>
        <v>537281666</v>
      </c>
      <c r="T20" s="476">
        <f t="shared" si="9"/>
        <v>627990193</v>
      </c>
      <c r="U20" s="476">
        <f t="shared" ref="U20:V25" si="10">+S20-K20</f>
        <v>318054102</v>
      </c>
      <c r="V20" s="476">
        <f t="shared" si="10"/>
        <v>407801668</v>
      </c>
      <c r="AM20" s="27"/>
      <c r="AN20" s="27"/>
      <c r="AO20" s="27"/>
      <c r="AP20" s="27"/>
      <c r="AQ20" s="27"/>
      <c r="AR20" s="27"/>
      <c r="AS20" s="27"/>
      <c r="AT20" s="27"/>
    </row>
    <row r="21" spans="1:54" ht="30" customHeight="1" thickBot="1">
      <c r="A21" s="224" t="s">
        <v>39</v>
      </c>
      <c r="B21" s="225" t="s">
        <v>40</v>
      </c>
      <c r="C21" s="454">
        <f>+'5.a sz.mell.'!D47</f>
        <v>75004000</v>
      </c>
      <c r="D21" s="454">
        <f>+'5.a sz.mell.'!E47</f>
        <v>75540275</v>
      </c>
      <c r="E21" s="474">
        <f>+'5.a sz.mell.'!F47</f>
        <v>13211000</v>
      </c>
      <c r="F21" s="474">
        <f>+'5.a sz.mell.'!G47</f>
        <v>13216000</v>
      </c>
      <c r="G21" s="474">
        <f>+'5.a sz.mell.'!H47</f>
        <v>14100000</v>
      </c>
      <c r="H21" s="474">
        <f>+'5.a sz.mell.'!I47</f>
        <v>13518212</v>
      </c>
      <c r="I21" s="474">
        <f>+'5.a sz.mell.'!J47</f>
        <v>0</v>
      </c>
      <c r="J21" s="474">
        <f>+'5.a sz.mell.'!K47</f>
        <v>0</v>
      </c>
      <c r="K21" s="475"/>
      <c r="L21" s="475"/>
      <c r="M21" s="474">
        <v>0</v>
      </c>
      <c r="N21" s="474">
        <v>0</v>
      </c>
      <c r="O21" s="474">
        <f>+'5.a sz.mell.'!R47</f>
        <v>0</v>
      </c>
      <c r="P21" s="474">
        <f>+'5.a sz.mell.'!S47</f>
        <v>0</v>
      </c>
      <c r="Q21" s="474">
        <v>0</v>
      </c>
      <c r="R21" s="474">
        <v>0</v>
      </c>
      <c r="S21" s="476">
        <f t="shared" si="9"/>
        <v>102315000</v>
      </c>
      <c r="T21" s="476">
        <f t="shared" si="9"/>
        <v>102274487</v>
      </c>
      <c r="U21" s="476">
        <f t="shared" si="10"/>
        <v>102315000</v>
      </c>
      <c r="V21" s="476">
        <f t="shared" si="10"/>
        <v>102274487</v>
      </c>
      <c r="AM21" s="27"/>
      <c r="AN21" s="27"/>
      <c r="AO21" s="27"/>
      <c r="AP21" s="27"/>
      <c r="AQ21" s="27"/>
      <c r="AR21" s="27"/>
      <c r="AS21" s="27"/>
      <c r="AT21" s="27"/>
    </row>
    <row r="22" spans="1:54" ht="30" customHeight="1" thickBot="1">
      <c r="A22" s="224" t="s">
        <v>41</v>
      </c>
      <c r="B22" s="225" t="s">
        <v>42</v>
      </c>
      <c r="C22" s="454">
        <f>+'5.a sz.mell.'!D52</f>
        <v>6786600</v>
      </c>
      <c r="D22" s="454">
        <f>+'5.a sz.mell.'!E52</f>
        <v>6846750</v>
      </c>
      <c r="E22" s="474">
        <f>+'5.a sz.mell.'!F52</f>
        <v>1019655</v>
      </c>
      <c r="F22" s="474">
        <f>+'5.a sz.mell.'!G52</f>
        <v>1019655</v>
      </c>
      <c r="G22" s="474">
        <f>+'5.a sz.mell.'!H52</f>
        <v>9015000</v>
      </c>
      <c r="H22" s="474">
        <f>+'5.a sz.mell.'!I52</f>
        <v>8681800</v>
      </c>
      <c r="I22" s="474">
        <f>+'5.a sz.mell.'!J52</f>
        <v>120000</v>
      </c>
      <c r="J22" s="474">
        <f>+'5.a sz.mell.'!K52</f>
        <v>120000</v>
      </c>
      <c r="K22" s="475"/>
      <c r="L22" s="475"/>
      <c r="M22" s="474">
        <v>0</v>
      </c>
      <c r="N22" s="474">
        <v>0</v>
      </c>
      <c r="O22" s="474">
        <f>+'5.a sz.mell.'!R52</f>
        <v>0</v>
      </c>
      <c r="P22" s="474">
        <f>+'5.a sz.mell.'!S52</f>
        <v>0</v>
      </c>
      <c r="Q22" s="474">
        <v>0</v>
      </c>
      <c r="R22" s="474">
        <v>0</v>
      </c>
      <c r="S22" s="476">
        <f t="shared" si="9"/>
        <v>16941255</v>
      </c>
      <c r="T22" s="476">
        <f t="shared" si="9"/>
        <v>16668205</v>
      </c>
      <c r="U22" s="476">
        <f t="shared" si="10"/>
        <v>16941255</v>
      </c>
      <c r="V22" s="476">
        <f t="shared" si="10"/>
        <v>16668205</v>
      </c>
      <c r="AM22" s="27"/>
      <c r="AN22" s="27"/>
      <c r="AO22" s="27"/>
      <c r="AP22" s="27"/>
      <c r="AQ22" s="27"/>
      <c r="AR22" s="27"/>
      <c r="AS22" s="27"/>
      <c r="AT22" s="27"/>
    </row>
    <row r="23" spans="1:54" ht="30" customHeight="1" thickBot="1">
      <c r="A23" s="224" t="s">
        <v>43</v>
      </c>
      <c r="B23" s="225" t="s">
        <v>216</v>
      </c>
      <c r="C23" s="454">
        <f>+'5.a sz.mell.'!D55</f>
        <v>3642400</v>
      </c>
      <c r="D23" s="454">
        <f>+'5.a sz.mell.'!E55</f>
        <v>3672475</v>
      </c>
      <c r="E23" s="474">
        <f>+'5.a sz.mell.'!F55</f>
        <v>619920</v>
      </c>
      <c r="F23" s="474">
        <f>+'5.a sz.mell.'!G55</f>
        <v>619920</v>
      </c>
      <c r="G23" s="474">
        <f>+'5.a sz.mell.'!H55</f>
        <v>2460000</v>
      </c>
      <c r="H23" s="474">
        <f>+'5.a sz.mell.'!I55</f>
        <v>2429925</v>
      </c>
      <c r="I23" s="474">
        <v>0</v>
      </c>
      <c r="J23" s="474">
        <v>0</v>
      </c>
      <c r="K23" s="475"/>
      <c r="L23" s="475"/>
      <c r="M23" s="474">
        <v>0</v>
      </c>
      <c r="N23" s="474">
        <v>0</v>
      </c>
      <c r="O23" s="474">
        <f>+'5.a sz.mell.'!R55</f>
        <v>0</v>
      </c>
      <c r="P23" s="474">
        <f>+'5.a sz.mell.'!S55</f>
        <v>0</v>
      </c>
      <c r="Q23" s="474">
        <v>0</v>
      </c>
      <c r="R23" s="474">
        <v>0</v>
      </c>
      <c r="S23" s="476">
        <f t="shared" si="9"/>
        <v>6722320</v>
      </c>
      <c r="T23" s="476">
        <f t="shared" si="9"/>
        <v>6722320</v>
      </c>
      <c r="U23" s="476">
        <f t="shared" si="10"/>
        <v>6722320</v>
      </c>
      <c r="V23" s="476">
        <f t="shared" si="10"/>
        <v>6722320</v>
      </c>
      <c r="AM23" s="27"/>
      <c r="AN23" s="27"/>
      <c r="AO23" s="27"/>
      <c r="AP23" s="27"/>
      <c r="AQ23" s="27"/>
      <c r="AR23" s="27"/>
      <c r="AS23" s="27"/>
      <c r="AT23" s="27"/>
    </row>
    <row r="24" spans="1:54" ht="30" customHeight="1" thickBot="1">
      <c r="A24" s="224" t="s">
        <v>211</v>
      </c>
      <c r="B24" s="226" t="s">
        <v>220</v>
      </c>
      <c r="C24" s="454">
        <f>+'5.a sz.mell.'!D65</f>
        <v>51674254</v>
      </c>
      <c r="D24" s="454">
        <f>+'5.a sz.mell.'!E65</f>
        <v>56906754</v>
      </c>
      <c r="E24" s="474">
        <f>+'5.a sz.mell.'!F65</f>
        <v>8920494</v>
      </c>
      <c r="F24" s="474">
        <f>+'5.a sz.mell.'!G65</f>
        <v>9836182</v>
      </c>
      <c r="G24" s="474">
        <f>+'5.a sz.mell.'!H65</f>
        <v>66100000</v>
      </c>
      <c r="H24" s="474">
        <f>+'5.a sz.mell.'!I65</f>
        <v>66009507</v>
      </c>
      <c r="I24" s="474">
        <v>0</v>
      </c>
      <c r="J24" s="474">
        <v>0</v>
      </c>
      <c r="K24" s="475"/>
      <c r="L24" s="475"/>
      <c r="M24" s="474">
        <v>0</v>
      </c>
      <c r="N24" s="474">
        <v>0</v>
      </c>
      <c r="O24" s="474">
        <f>+'5.a sz.mell.'!R65</f>
        <v>0</v>
      </c>
      <c r="P24" s="474">
        <f>+'5.a sz.mell.'!S65</f>
        <v>0</v>
      </c>
      <c r="Q24" s="474">
        <v>0</v>
      </c>
      <c r="R24" s="474">
        <v>0</v>
      </c>
      <c r="S24" s="476">
        <f t="shared" si="9"/>
        <v>126694748</v>
      </c>
      <c r="T24" s="476">
        <f t="shared" si="9"/>
        <v>132752443</v>
      </c>
      <c r="U24" s="476">
        <f t="shared" si="10"/>
        <v>126694748</v>
      </c>
      <c r="V24" s="476">
        <f t="shared" si="10"/>
        <v>132752443</v>
      </c>
      <c r="AM24" s="27"/>
      <c r="AN24" s="27"/>
      <c r="AO24" s="27"/>
      <c r="AP24" s="27"/>
      <c r="AQ24" s="27"/>
      <c r="AR24" s="27"/>
      <c r="AS24" s="27"/>
      <c r="AT24" s="27"/>
    </row>
    <row r="25" spans="1:54" ht="15.75" thickBot="1">
      <c r="A25" s="658" t="s">
        <v>44</v>
      </c>
      <c r="B25" s="658"/>
      <c r="C25" s="453">
        <f>SUM(C20:C24)</f>
        <v>222999810</v>
      </c>
      <c r="D25" s="453">
        <f>SUM(D20:D24)</f>
        <v>243442171</v>
      </c>
      <c r="E25" s="477">
        <f>SUM(E20:E24)</f>
        <v>37774837</v>
      </c>
      <c r="F25" s="477">
        <f>SUM(F20:F24)</f>
        <v>40027658</v>
      </c>
      <c r="G25" s="477">
        <f t="shared" ref="G25:H25" si="11">SUM(G20:G24)</f>
        <v>200426841</v>
      </c>
      <c r="H25" s="477">
        <f t="shared" si="11"/>
        <v>271808127</v>
      </c>
      <c r="I25" s="477">
        <f t="shared" ref="I25:J25" si="12">SUM(I20:I24)</f>
        <v>95627898</v>
      </c>
      <c r="J25" s="477">
        <f t="shared" si="12"/>
        <v>96797091</v>
      </c>
      <c r="K25" s="477">
        <f t="shared" ref="K25:L25" si="13">SUM(K20:K24)</f>
        <v>219227564</v>
      </c>
      <c r="L25" s="477">
        <f t="shared" si="13"/>
        <v>220188525</v>
      </c>
      <c r="M25" s="477">
        <f t="shared" ref="M25:Q25" si="14">SUM(M20:M24)</f>
        <v>3147000</v>
      </c>
      <c r="N25" s="477">
        <f t="shared" ref="N25" si="15">SUM(N20:N24)</f>
        <v>3147000</v>
      </c>
      <c r="O25" s="477">
        <f t="shared" si="14"/>
        <v>0</v>
      </c>
      <c r="P25" s="477">
        <f t="shared" ref="P25" si="16">SUM(P20:P24)</f>
        <v>0</v>
      </c>
      <c r="Q25" s="477">
        <f t="shared" si="14"/>
        <v>10751039</v>
      </c>
      <c r="R25" s="477">
        <f t="shared" ref="R25" si="17">SUM(R20:R24)</f>
        <v>10997076</v>
      </c>
      <c r="S25" s="476">
        <f t="shared" si="9"/>
        <v>789954989</v>
      </c>
      <c r="T25" s="476">
        <f t="shared" si="9"/>
        <v>886407648</v>
      </c>
      <c r="U25" s="476">
        <f t="shared" si="10"/>
        <v>570727425</v>
      </c>
      <c r="V25" s="476">
        <f t="shared" si="10"/>
        <v>666219123</v>
      </c>
      <c r="AM25" s="27"/>
      <c r="AN25" s="27"/>
      <c r="AO25" s="27"/>
      <c r="AP25" s="27"/>
      <c r="AQ25" s="27"/>
      <c r="AR25" s="27"/>
      <c r="AS25" s="27"/>
      <c r="AT25" s="27"/>
    </row>
    <row r="26" spans="1:54"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1:54">
      <c r="C27" s="27">
        <f>+'5.a sz.mell.'!D66</f>
        <v>222999810</v>
      </c>
      <c r="D27" s="27">
        <f>+'5.a sz.mell.'!E66</f>
        <v>243442171</v>
      </c>
      <c r="E27" s="27">
        <f>+'5.a sz.mell.'!F66</f>
        <v>37774837</v>
      </c>
      <c r="F27" s="27">
        <f>+'5.a sz.mell.'!G66</f>
        <v>40027658</v>
      </c>
      <c r="G27" s="27">
        <f>+'5.a sz.mell.'!H66</f>
        <v>200426841</v>
      </c>
      <c r="H27" s="27">
        <f>+'5.a sz.mell.'!I66</f>
        <v>271808127</v>
      </c>
      <c r="I27" s="27">
        <f>+'5.a sz.mell.'!J66</f>
        <v>95627898</v>
      </c>
      <c r="J27" s="27">
        <f>+'5.a sz.mell.'!K66</f>
        <v>96797091</v>
      </c>
      <c r="K27" s="27">
        <f>+'5 b.sz.mell.'!L61</f>
        <v>219227564</v>
      </c>
      <c r="L27" s="27">
        <f>+'5 b.sz.mell.'!M61</f>
        <v>220188525</v>
      </c>
      <c r="M27" s="27">
        <f>+'5.a sz.mell.'!L66</f>
        <v>3147000</v>
      </c>
      <c r="N27" s="27">
        <f>+'5.a sz.mell.'!M66</f>
        <v>3147000</v>
      </c>
      <c r="O27" s="27">
        <f>+'5.a sz.mell.'!R66</f>
        <v>0</v>
      </c>
      <c r="P27" s="27">
        <f>+'5.a sz.mell.'!S66</f>
        <v>0</v>
      </c>
      <c r="Q27" s="27">
        <f>+'5.a sz.mell.'!P66</f>
        <v>10751039</v>
      </c>
      <c r="R27" s="27">
        <f>+'5.a sz.mell.'!Q66</f>
        <v>10997076</v>
      </c>
      <c r="S27" s="27">
        <f>+'5.a sz.mell.'!X66-'5.a sz.mell.'!N66-'5.a sz.mell.'!T66</f>
        <v>617147483</v>
      </c>
      <c r="T27" s="27">
        <f>+'5.a sz.mell.'!Y66-'5.a sz.mell.'!O66-'5.a sz.mell.'!U66</f>
        <v>866201985</v>
      </c>
      <c r="U27" s="27">
        <f>+'5.a sz.mell.'!X66-'5.a sz.mell.'!V66-'5.a sz.mell.'!T66-'5.a sz.mell.'!N66</f>
        <v>570727425</v>
      </c>
      <c r="V27" s="27">
        <f>+'5.a sz.mell.'!Y66-'5.a sz.mell.'!W66-'5.a sz.mell.'!U66-'5.a sz.mell.'!O66</f>
        <v>666219123</v>
      </c>
      <c r="AM27" s="27"/>
      <c r="AN27" s="27"/>
      <c r="AO27" s="27"/>
      <c r="AP27" s="27"/>
    </row>
    <row r="28" spans="1:54">
      <c r="Q28" s="550" t="s">
        <v>504</v>
      </c>
      <c r="R28" s="550"/>
      <c r="S28" s="550" t="s">
        <v>504</v>
      </c>
      <c r="T28" s="550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4">
      <c r="AM29" s="27"/>
    </row>
  </sheetData>
  <mergeCells count="27">
    <mergeCell ref="A25:B25"/>
    <mergeCell ref="A18:B18"/>
    <mergeCell ref="AD5:AF5"/>
    <mergeCell ref="A12:B12"/>
    <mergeCell ref="A1:P1"/>
    <mergeCell ref="A2:P2"/>
    <mergeCell ref="A5:B5"/>
    <mergeCell ref="A17:T17"/>
    <mergeCell ref="K5:L5"/>
    <mergeCell ref="I5:J5"/>
    <mergeCell ref="G5:H5"/>
    <mergeCell ref="E5:F5"/>
    <mergeCell ref="C5:D5"/>
    <mergeCell ref="C18:D18"/>
    <mergeCell ref="G18:H18"/>
    <mergeCell ref="U18:V18"/>
    <mergeCell ref="A4:R4"/>
    <mergeCell ref="O5:P5"/>
    <mergeCell ref="M5:N5"/>
    <mergeCell ref="Q5:R5"/>
    <mergeCell ref="S18:T18"/>
    <mergeCell ref="Q18:R18"/>
    <mergeCell ref="E18:F18"/>
    <mergeCell ref="K18:L18"/>
    <mergeCell ref="I18:J18"/>
    <mergeCell ref="O18:P18"/>
    <mergeCell ref="M18:N18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AE70"/>
  <sheetViews>
    <sheetView zoomScale="70" zoomScaleNormal="70" workbookViewId="0">
      <pane xSplit="2" ySplit="5" topLeftCell="C33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4" width="16" style="39" customWidth="1"/>
    <col min="5" max="5" width="14.42578125" style="39" customWidth="1"/>
    <col min="6" max="6" width="15.28515625" style="39" customWidth="1"/>
    <col min="7" max="7" width="14.85546875" style="39" customWidth="1"/>
    <col min="8" max="8" width="16.85546875" style="39" customWidth="1"/>
    <col min="9" max="9" width="14.85546875" style="39" customWidth="1"/>
    <col min="10" max="11" width="18.28515625" style="39" customWidth="1"/>
    <col min="12" max="12" width="15.42578125" style="493" customWidth="1"/>
    <col min="13" max="13" width="16" style="493" customWidth="1"/>
    <col min="14" max="14" width="18" style="39" customWidth="1"/>
    <col min="15" max="15" width="13.85546875" style="39" customWidth="1"/>
    <col min="16" max="16" width="15.85546875" style="39" customWidth="1"/>
    <col min="17" max="17" width="16.7109375" style="39" customWidth="1"/>
    <col min="18" max="19" width="14.42578125" style="39" customWidth="1"/>
    <col min="20" max="20" width="14" style="39" customWidth="1"/>
    <col min="21" max="21" width="15.28515625" style="45" customWidth="1"/>
    <col min="22" max="22" width="14.28515625" style="39" customWidth="1"/>
    <col min="23" max="23" width="16.140625" style="37" customWidth="1"/>
    <col min="24" max="24" width="15" style="37" customWidth="1"/>
    <col min="25" max="25" width="16.28515625" style="37" customWidth="1"/>
    <col min="26" max="26" width="9.7109375" style="37" customWidth="1"/>
    <col min="27" max="27" width="13.42578125" style="37" customWidth="1"/>
    <col min="28" max="16384" width="8.85546875" style="37"/>
  </cols>
  <sheetData>
    <row r="1" spans="1:31" ht="15.75">
      <c r="A1" s="632" t="s">
        <v>666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35"/>
      <c r="P1" s="35"/>
      <c r="Q1" s="35"/>
      <c r="R1" s="35"/>
      <c r="S1" s="35"/>
      <c r="T1" s="35"/>
      <c r="U1" s="35"/>
      <c r="V1" s="36"/>
      <c r="W1" s="35" t="s">
        <v>45</v>
      </c>
      <c r="X1" s="36"/>
    </row>
    <row r="2" spans="1:31" ht="33.75" customHeight="1">
      <c r="A2" s="669" t="s">
        <v>540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38"/>
    </row>
    <row r="3" spans="1:3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91"/>
      <c r="M3" s="49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2"/>
      <c r="AA3" s="42"/>
      <c r="AB3" s="43"/>
      <c r="AC3" s="39"/>
    </row>
    <row r="4" spans="1:31" ht="21" customHeight="1" thickBot="1">
      <c r="A4" s="670" t="s">
        <v>46</v>
      </c>
      <c r="B4" s="672" t="s">
        <v>315</v>
      </c>
      <c r="C4" s="674" t="s">
        <v>47</v>
      </c>
      <c r="D4" s="676"/>
      <c r="E4" s="676"/>
      <c r="F4" s="676"/>
      <c r="G4" s="676"/>
      <c r="H4" s="676"/>
      <c r="I4" s="676"/>
      <c r="J4" s="676"/>
      <c r="K4" s="676"/>
      <c r="L4" s="676"/>
      <c r="M4" s="613"/>
      <c r="N4" s="613"/>
      <c r="O4" s="613"/>
      <c r="P4" s="613"/>
      <c r="Q4" s="613"/>
      <c r="R4" s="613"/>
      <c r="S4" s="613"/>
      <c r="T4" s="613"/>
      <c r="U4" s="613"/>
      <c r="V4" s="494"/>
      <c r="W4" s="494"/>
      <c r="X4" s="677" t="s">
        <v>494</v>
      </c>
      <c r="Y4" s="677" t="s">
        <v>606</v>
      </c>
      <c r="Z4" s="667" t="s">
        <v>607</v>
      </c>
      <c r="AA4" s="667" t="s">
        <v>608</v>
      </c>
    </row>
    <row r="5" spans="1:31" ht="114" customHeight="1" thickBot="1">
      <c r="A5" s="671"/>
      <c r="B5" s="673"/>
      <c r="C5" s="675"/>
      <c r="D5" s="252" t="s">
        <v>478</v>
      </c>
      <c r="E5" s="252" t="s">
        <v>596</v>
      </c>
      <c r="F5" s="252" t="s">
        <v>475</v>
      </c>
      <c r="G5" s="252" t="s">
        <v>597</v>
      </c>
      <c r="H5" s="252" t="s">
        <v>476</v>
      </c>
      <c r="I5" s="252" t="s">
        <v>598</v>
      </c>
      <c r="J5" s="252" t="s">
        <v>439</v>
      </c>
      <c r="K5" s="252" t="s">
        <v>599</v>
      </c>
      <c r="L5" s="252" t="s">
        <v>437</v>
      </c>
      <c r="M5" s="252" t="s">
        <v>600</v>
      </c>
      <c r="N5" s="482" t="s">
        <v>477</v>
      </c>
      <c r="O5" s="482" t="s">
        <v>601</v>
      </c>
      <c r="P5" s="252" t="s">
        <v>436</v>
      </c>
      <c r="Q5" s="252" t="s">
        <v>602</v>
      </c>
      <c r="R5" s="252" t="s">
        <v>438</v>
      </c>
      <c r="S5" s="252" t="s">
        <v>603</v>
      </c>
      <c r="T5" s="492" t="s">
        <v>479</v>
      </c>
      <c r="U5" s="492" t="s">
        <v>604</v>
      </c>
      <c r="V5" s="492" t="s">
        <v>480</v>
      </c>
      <c r="W5" s="492" t="s">
        <v>605</v>
      </c>
      <c r="X5" s="678"/>
      <c r="Y5" s="678"/>
      <c r="Z5" s="668"/>
      <c r="AA5" s="668"/>
    </row>
    <row r="6" spans="1:31" ht="16.5" thickBot="1">
      <c r="A6" s="680" t="s">
        <v>38</v>
      </c>
      <c r="B6" s="253" t="s">
        <v>221</v>
      </c>
      <c r="C6" s="227" t="s">
        <v>264</v>
      </c>
      <c r="D6" s="391">
        <v>16177039</v>
      </c>
      <c r="E6" s="391">
        <v>17273839</v>
      </c>
      <c r="F6" s="391">
        <v>2851185</v>
      </c>
      <c r="G6" s="391">
        <v>3021189</v>
      </c>
      <c r="H6" s="391">
        <f>220000+400000+150000+100000+250000+2600000+20000+450000+40000</f>
        <v>4230000</v>
      </c>
      <c r="I6" s="391">
        <f>220000+400000+150000+100000+250000+2600000+20000+450000+40000</f>
        <v>4230000</v>
      </c>
      <c r="J6" s="391">
        <v>0</v>
      </c>
      <c r="K6" s="391">
        <v>0</v>
      </c>
      <c r="L6" s="392">
        <v>0</v>
      </c>
      <c r="M6" s="392">
        <v>0</v>
      </c>
      <c r="N6" s="391">
        <v>0</v>
      </c>
      <c r="O6" s="391">
        <v>0</v>
      </c>
      <c r="P6" s="392">
        <v>0</v>
      </c>
      <c r="Q6" s="392">
        <v>0</v>
      </c>
      <c r="R6" s="391">
        <v>0</v>
      </c>
      <c r="S6" s="391">
        <v>0</v>
      </c>
      <c r="T6" s="440">
        <v>0</v>
      </c>
      <c r="U6" s="440">
        <v>0</v>
      </c>
      <c r="V6" s="440">
        <v>0</v>
      </c>
      <c r="W6" s="440">
        <v>0</v>
      </c>
      <c r="X6" s="393">
        <f>+V6+T5:T6+R6+P6+N6+L6+J6+H6+F6+D6</f>
        <v>23258224</v>
      </c>
      <c r="Y6" s="393">
        <f>+W6+U6+S6+Q6+O6+M6+K6+I6+G6+E6</f>
        <v>24525028</v>
      </c>
      <c r="Z6" s="430">
        <v>1</v>
      </c>
      <c r="AA6" s="430">
        <v>1</v>
      </c>
    </row>
    <row r="7" spans="1:31" ht="16.5" thickBot="1">
      <c r="A7" s="680"/>
      <c r="B7" s="253" t="s">
        <v>245</v>
      </c>
      <c r="C7" s="227" t="s">
        <v>325</v>
      </c>
      <c r="D7" s="391">
        <v>0</v>
      </c>
      <c r="E7" s="391">
        <v>0</v>
      </c>
      <c r="F7" s="391">
        <v>0</v>
      </c>
      <c r="G7" s="391">
        <v>0</v>
      </c>
      <c r="H7" s="391">
        <f>120000+80000+50000+450000+150000</f>
        <v>850000</v>
      </c>
      <c r="I7" s="391">
        <f>120000+80000+50000+450000+150000</f>
        <v>850000</v>
      </c>
      <c r="J7" s="391">
        <v>0</v>
      </c>
      <c r="K7" s="391">
        <v>0</v>
      </c>
      <c r="L7" s="392">
        <v>0</v>
      </c>
      <c r="M7" s="392">
        <v>0</v>
      </c>
      <c r="N7" s="397">
        <v>0</v>
      </c>
      <c r="O7" s="397">
        <v>0</v>
      </c>
      <c r="P7" s="392">
        <v>0</v>
      </c>
      <c r="Q7" s="392">
        <v>0</v>
      </c>
      <c r="R7" s="391">
        <v>0</v>
      </c>
      <c r="S7" s="391">
        <v>0</v>
      </c>
      <c r="T7" s="440">
        <v>0</v>
      </c>
      <c r="U7" s="440">
        <v>0</v>
      </c>
      <c r="V7" s="440">
        <v>0</v>
      </c>
      <c r="W7" s="440">
        <v>0</v>
      </c>
      <c r="X7" s="393">
        <f t="shared" ref="X7:X66" si="0">+V7+T6:T7+R7+P7+N7+L7+J7+H7+F7+D7</f>
        <v>850000</v>
      </c>
      <c r="Y7" s="393">
        <f t="shared" ref="Y7:Y66" si="1">+W7+U7+S7+Q7+O7+M7+K7+I7+G7+E7</f>
        <v>850000</v>
      </c>
      <c r="Z7" s="430">
        <v>0</v>
      </c>
      <c r="AA7" s="430">
        <v>0</v>
      </c>
    </row>
    <row r="8" spans="1:31" ht="16.5" thickBot="1">
      <c r="A8" s="680"/>
      <c r="B8" s="253" t="s">
        <v>246</v>
      </c>
      <c r="C8" s="395" t="s">
        <v>265</v>
      </c>
      <c r="D8" s="391">
        <v>0</v>
      </c>
      <c r="E8" s="391">
        <v>0</v>
      </c>
      <c r="F8" s="391">
        <v>0</v>
      </c>
      <c r="G8" s="391">
        <v>0</v>
      </c>
      <c r="H8" s="391">
        <f>1500000+15000+130000+350000+850000+12054083+2450000+3934797+500000+20000</f>
        <v>21803880</v>
      </c>
      <c r="I8" s="391">
        <v>24772913</v>
      </c>
      <c r="J8" s="391">
        <v>0</v>
      </c>
      <c r="K8" s="391">
        <v>0</v>
      </c>
      <c r="L8" s="392">
        <v>0</v>
      </c>
      <c r="M8" s="392">
        <v>0</v>
      </c>
      <c r="N8" s="391">
        <v>8344429</v>
      </c>
      <c r="O8" s="391">
        <v>8309524</v>
      </c>
      <c r="P8" s="392">
        <v>0</v>
      </c>
      <c r="Q8" s="392">
        <v>0</v>
      </c>
      <c r="R8" s="391">
        <v>0</v>
      </c>
      <c r="S8" s="391">
        <v>0</v>
      </c>
      <c r="T8" s="440">
        <v>3400000</v>
      </c>
      <c r="U8" s="440">
        <v>4282000</v>
      </c>
      <c r="V8" s="440">
        <f>1200000+350000</f>
        <v>1550000</v>
      </c>
      <c r="W8" s="440">
        <v>1674000</v>
      </c>
      <c r="X8" s="393">
        <f t="shared" si="0"/>
        <v>35098309</v>
      </c>
      <c r="Y8" s="393">
        <f t="shared" si="1"/>
        <v>39038437</v>
      </c>
      <c r="Z8" s="430">
        <v>0</v>
      </c>
      <c r="AA8" s="430">
        <v>0</v>
      </c>
    </row>
    <row r="9" spans="1:31" s="595" customFormat="1" ht="16.5" thickBot="1">
      <c r="A9" s="680"/>
      <c r="B9" s="396" t="s">
        <v>416</v>
      </c>
      <c r="C9" s="395" t="s">
        <v>417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2">
        <v>0</v>
      </c>
      <c r="M9" s="392">
        <v>0</v>
      </c>
      <c r="N9" s="391">
        <v>0</v>
      </c>
      <c r="O9" s="391">
        <v>0</v>
      </c>
      <c r="P9" s="392">
        <v>0</v>
      </c>
      <c r="Q9" s="392">
        <v>0</v>
      </c>
      <c r="R9" s="391">
        <v>0</v>
      </c>
      <c r="S9" s="391">
        <v>0</v>
      </c>
      <c r="T9" s="391">
        <v>0</v>
      </c>
      <c r="U9" s="391">
        <v>0</v>
      </c>
      <c r="V9" s="391">
        <v>0</v>
      </c>
      <c r="W9" s="391">
        <v>0</v>
      </c>
      <c r="X9" s="393">
        <f t="shared" si="0"/>
        <v>0</v>
      </c>
      <c r="Y9" s="393">
        <f t="shared" si="1"/>
        <v>0</v>
      </c>
      <c r="Z9" s="430">
        <v>0</v>
      </c>
      <c r="AA9" s="430">
        <v>0</v>
      </c>
    </row>
    <row r="10" spans="1:31" s="595" customFormat="1" ht="16.5" thickBot="1">
      <c r="A10" s="680"/>
      <c r="B10" s="396" t="s">
        <v>248</v>
      </c>
      <c r="C10" s="394" t="s">
        <v>267</v>
      </c>
      <c r="D10" s="391">
        <v>3668850</v>
      </c>
      <c r="E10" s="391">
        <v>7775461</v>
      </c>
      <c r="F10" s="391">
        <v>321023</v>
      </c>
      <c r="G10" s="391">
        <v>706255</v>
      </c>
      <c r="H10" s="391">
        <v>0</v>
      </c>
      <c r="I10" s="391">
        <v>478753</v>
      </c>
      <c r="J10" s="391">
        <v>0</v>
      </c>
      <c r="K10" s="391">
        <v>0</v>
      </c>
      <c r="L10" s="392">
        <v>0</v>
      </c>
      <c r="M10" s="392">
        <v>0</v>
      </c>
      <c r="N10" s="391">
        <v>1350319</v>
      </c>
      <c r="O10" s="391">
        <v>1350319</v>
      </c>
      <c r="P10" s="392">
        <v>0</v>
      </c>
      <c r="Q10" s="392">
        <v>0</v>
      </c>
      <c r="R10" s="391">
        <v>0</v>
      </c>
      <c r="S10" s="391">
        <v>0</v>
      </c>
      <c r="T10" s="440">
        <v>0</v>
      </c>
      <c r="U10" s="440">
        <v>0</v>
      </c>
      <c r="V10" s="440">
        <v>0</v>
      </c>
      <c r="W10" s="440">
        <v>0</v>
      </c>
      <c r="X10" s="393">
        <f t="shared" si="0"/>
        <v>5340192</v>
      </c>
      <c r="Y10" s="393">
        <f t="shared" si="1"/>
        <v>10310788</v>
      </c>
      <c r="Z10" s="430">
        <v>15</v>
      </c>
      <c r="AA10" s="430">
        <v>9</v>
      </c>
    </row>
    <row r="11" spans="1:31" s="595" customFormat="1" ht="16.5" thickBot="1">
      <c r="A11" s="680"/>
      <c r="B11" s="396" t="s">
        <v>367</v>
      </c>
      <c r="C11" s="394" t="s">
        <v>368</v>
      </c>
      <c r="D11" s="391">
        <v>2935080</v>
      </c>
      <c r="E11" s="391">
        <v>11813905</v>
      </c>
      <c r="F11" s="391">
        <v>256820</v>
      </c>
      <c r="G11" s="391">
        <v>1033717</v>
      </c>
      <c r="H11" s="391">
        <v>0</v>
      </c>
      <c r="I11" s="391">
        <v>3185532</v>
      </c>
      <c r="J11" s="391">
        <v>0</v>
      </c>
      <c r="K11" s="391">
        <v>0</v>
      </c>
      <c r="L11" s="392">
        <v>0</v>
      </c>
      <c r="M11" s="392">
        <v>0</v>
      </c>
      <c r="N11" s="391">
        <v>0</v>
      </c>
      <c r="O11" s="391">
        <v>0</v>
      </c>
      <c r="P11" s="392">
        <v>0</v>
      </c>
      <c r="Q11" s="392">
        <v>0</v>
      </c>
      <c r="R11" s="391">
        <v>0</v>
      </c>
      <c r="S11" s="391">
        <v>0</v>
      </c>
      <c r="T11" s="391">
        <v>0</v>
      </c>
      <c r="U11" s="391">
        <v>0</v>
      </c>
      <c r="V11" s="391">
        <v>0</v>
      </c>
      <c r="W11" s="391">
        <v>0</v>
      </c>
      <c r="X11" s="393">
        <f t="shared" si="0"/>
        <v>3191900</v>
      </c>
      <c r="Y11" s="393">
        <f t="shared" si="1"/>
        <v>16033154</v>
      </c>
      <c r="Z11" s="430">
        <v>13</v>
      </c>
      <c r="AA11" s="430">
        <f>5+7</f>
        <v>12</v>
      </c>
    </row>
    <row r="12" spans="1:31" s="595" customFormat="1" ht="16.5" thickBot="1">
      <c r="A12" s="680"/>
      <c r="B12" s="396" t="s">
        <v>249</v>
      </c>
      <c r="C12" s="394" t="s">
        <v>268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91">
        <v>0</v>
      </c>
      <c r="L12" s="392">
        <v>0</v>
      </c>
      <c r="M12" s="392">
        <v>0</v>
      </c>
      <c r="N12" s="391">
        <v>0</v>
      </c>
      <c r="O12" s="391">
        <v>0</v>
      </c>
      <c r="P12" s="392">
        <v>0</v>
      </c>
      <c r="Q12" s="392">
        <v>0</v>
      </c>
      <c r="R12" s="391">
        <v>0</v>
      </c>
      <c r="S12" s="391">
        <v>0</v>
      </c>
      <c r="T12" s="440">
        <v>0</v>
      </c>
      <c r="U12" s="440">
        <v>0</v>
      </c>
      <c r="V12" s="440">
        <v>0</v>
      </c>
      <c r="W12" s="440">
        <v>0</v>
      </c>
      <c r="X12" s="393">
        <f t="shared" si="0"/>
        <v>0</v>
      </c>
      <c r="Y12" s="393">
        <f t="shared" si="1"/>
        <v>0</v>
      </c>
      <c r="Z12" s="430">
        <v>0</v>
      </c>
      <c r="AA12" s="430">
        <v>0</v>
      </c>
    </row>
    <row r="13" spans="1:31" s="595" customFormat="1" ht="16.5" thickBot="1">
      <c r="A13" s="680"/>
      <c r="B13" s="496" t="s">
        <v>250</v>
      </c>
      <c r="C13" s="394" t="s">
        <v>326</v>
      </c>
      <c r="D13" s="391">
        <v>0</v>
      </c>
      <c r="E13" s="391">
        <v>0</v>
      </c>
      <c r="F13" s="391">
        <v>0</v>
      </c>
      <c r="G13" s="391">
        <v>0</v>
      </c>
      <c r="H13" s="391">
        <f>700000+550000+400000+50000</f>
        <v>1700000</v>
      </c>
      <c r="I13" s="391">
        <f>700000+550000+400000+50000</f>
        <v>1700000</v>
      </c>
      <c r="J13" s="391">
        <v>0</v>
      </c>
      <c r="K13" s="391">
        <v>0</v>
      </c>
      <c r="L13" s="392">
        <v>0</v>
      </c>
      <c r="M13" s="392">
        <v>0</v>
      </c>
      <c r="N13" s="391">
        <v>0</v>
      </c>
      <c r="O13" s="391">
        <v>0</v>
      </c>
      <c r="P13" s="392">
        <v>0</v>
      </c>
      <c r="Q13" s="392">
        <v>0</v>
      </c>
      <c r="R13" s="391">
        <v>0</v>
      </c>
      <c r="S13" s="391">
        <v>0</v>
      </c>
      <c r="T13" s="440">
        <v>0</v>
      </c>
      <c r="U13" s="440">
        <v>0</v>
      </c>
      <c r="V13" s="440">
        <f>6020000+1625400</f>
        <v>7645400</v>
      </c>
      <c r="W13" s="440">
        <f>6020000+1625400</f>
        <v>7645400</v>
      </c>
      <c r="X13" s="393">
        <f t="shared" si="0"/>
        <v>9345400</v>
      </c>
      <c r="Y13" s="393">
        <f t="shared" si="1"/>
        <v>9345400</v>
      </c>
      <c r="Z13" s="430">
        <v>0</v>
      </c>
      <c r="AA13" s="430">
        <v>0</v>
      </c>
    </row>
    <row r="14" spans="1:31" s="595" customFormat="1" ht="16.5" thickBot="1">
      <c r="A14" s="680"/>
      <c r="B14" s="496" t="s">
        <v>634</v>
      </c>
      <c r="C14" s="394" t="s">
        <v>635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  <c r="L14" s="392">
        <v>0</v>
      </c>
      <c r="M14" s="392">
        <v>0</v>
      </c>
      <c r="N14" s="391">
        <v>0</v>
      </c>
      <c r="O14" s="391">
        <v>0</v>
      </c>
      <c r="P14" s="392">
        <v>0</v>
      </c>
      <c r="Q14" s="392">
        <v>0</v>
      </c>
      <c r="R14" s="391">
        <v>0</v>
      </c>
      <c r="S14" s="391">
        <v>0</v>
      </c>
      <c r="T14" s="440">
        <v>0</v>
      </c>
      <c r="U14" s="440">
        <v>0</v>
      </c>
      <c r="V14" s="440">
        <v>0</v>
      </c>
      <c r="W14" s="440">
        <v>154655790</v>
      </c>
      <c r="X14" s="393">
        <f t="shared" ref="X14" si="2">+V14+T13:T14+R14+P14+N14+L14+J14+H14+F14+D14</f>
        <v>0</v>
      </c>
      <c r="Y14" s="393">
        <f t="shared" ref="Y14" si="3">+W14+U14+S14+Q14+O14+M14+K14+I14+G14+E14</f>
        <v>154655790</v>
      </c>
      <c r="Z14" s="430">
        <v>0</v>
      </c>
      <c r="AA14" s="430">
        <v>0</v>
      </c>
    </row>
    <row r="15" spans="1:31" s="595" customFormat="1" ht="16.5" thickBot="1">
      <c r="A15" s="680"/>
      <c r="B15" s="396" t="s">
        <v>251</v>
      </c>
      <c r="C15" s="394" t="s">
        <v>327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1">
        <v>0</v>
      </c>
      <c r="J15" s="391">
        <v>140000</v>
      </c>
      <c r="K15" s="391">
        <v>140000</v>
      </c>
      <c r="L15" s="392">
        <v>0</v>
      </c>
      <c r="M15" s="392">
        <v>0</v>
      </c>
      <c r="N15" s="391">
        <v>0</v>
      </c>
      <c r="O15" s="391">
        <v>0</v>
      </c>
      <c r="P15" s="392">
        <v>0</v>
      </c>
      <c r="Q15" s="392">
        <v>0</v>
      </c>
      <c r="R15" s="391">
        <v>0</v>
      </c>
      <c r="S15" s="391">
        <v>0</v>
      </c>
      <c r="T15" s="391">
        <v>0</v>
      </c>
      <c r="U15" s="391">
        <v>0</v>
      </c>
      <c r="V15" s="391">
        <v>0</v>
      </c>
      <c r="W15" s="391">
        <v>0</v>
      </c>
      <c r="X15" s="393">
        <f>+V15+T13:T15+R15+P15+N15+L15+J15+H15+F15+D15</f>
        <v>140000</v>
      </c>
      <c r="Y15" s="393">
        <f t="shared" si="1"/>
        <v>140000</v>
      </c>
      <c r="Z15" s="430">
        <v>0</v>
      </c>
      <c r="AA15" s="430">
        <v>0</v>
      </c>
    </row>
    <row r="16" spans="1:31" s="595" customFormat="1" ht="16.5" thickBot="1">
      <c r="A16" s="680"/>
      <c r="B16" s="396" t="s">
        <v>252</v>
      </c>
      <c r="C16" s="394" t="s">
        <v>269</v>
      </c>
      <c r="D16" s="391">
        <v>0</v>
      </c>
      <c r="E16" s="391">
        <v>0</v>
      </c>
      <c r="F16" s="391">
        <v>0</v>
      </c>
      <c r="G16" s="391">
        <v>0</v>
      </c>
      <c r="H16" s="391">
        <v>2255000</v>
      </c>
      <c r="I16" s="391">
        <v>2871111</v>
      </c>
      <c r="J16" s="391">
        <v>0</v>
      </c>
      <c r="K16" s="391">
        <v>0</v>
      </c>
      <c r="L16" s="392">
        <v>0</v>
      </c>
      <c r="M16" s="392">
        <v>0</v>
      </c>
      <c r="N16" s="391">
        <v>24944510</v>
      </c>
      <c r="O16" s="391">
        <v>24328399</v>
      </c>
      <c r="P16" s="392">
        <v>0</v>
      </c>
      <c r="Q16" s="392">
        <v>0</v>
      </c>
      <c r="R16" s="391">
        <v>0</v>
      </c>
      <c r="S16" s="391">
        <v>0</v>
      </c>
      <c r="T16" s="391">
        <v>0</v>
      </c>
      <c r="U16" s="391">
        <v>0</v>
      </c>
      <c r="V16" s="391">
        <v>15240000</v>
      </c>
      <c r="W16" s="391">
        <v>15240000</v>
      </c>
      <c r="X16" s="393">
        <f t="shared" si="0"/>
        <v>42439510</v>
      </c>
      <c r="Y16" s="393">
        <f t="shared" si="1"/>
        <v>42439510</v>
      </c>
      <c r="Z16" s="430">
        <v>0</v>
      </c>
      <c r="AA16" s="430">
        <v>0</v>
      </c>
    </row>
    <row r="17" spans="1:27" s="595" customFormat="1" ht="16.5" thickBot="1">
      <c r="A17" s="680"/>
      <c r="B17" s="396" t="s">
        <v>541</v>
      </c>
      <c r="C17" s="394" t="s">
        <v>542</v>
      </c>
      <c r="D17" s="391">
        <v>2511600</v>
      </c>
      <c r="E17" s="391">
        <v>2511600</v>
      </c>
      <c r="F17" s="391">
        <v>439530</v>
      </c>
      <c r="G17" s="391">
        <v>439530</v>
      </c>
      <c r="H17" s="391">
        <f>3763777+1016220</f>
        <v>4779997</v>
      </c>
      <c r="I17" s="391">
        <v>2874997</v>
      </c>
      <c r="J17" s="391">
        <v>0</v>
      </c>
      <c r="K17" s="391">
        <v>0</v>
      </c>
      <c r="L17" s="392">
        <v>0</v>
      </c>
      <c r="M17" s="392">
        <v>0</v>
      </c>
      <c r="N17" s="391">
        <v>0</v>
      </c>
      <c r="O17" s="391">
        <v>0</v>
      </c>
      <c r="P17" s="392">
        <v>0</v>
      </c>
      <c r="Q17" s="392">
        <v>0</v>
      </c>
      <c r="R17" s="391">
        <v>0</v>
      </c>
      <c r="S17" s="391">
        <v>0</v>
      </c>
      <c r="T17" s="391">
        <f>2362204+637795</f>
        <v>2999999</v>
      </c>
      <c r="U17" s="391">
        <v>6395035</v>
      </c>
      <c r="V17" s="391">
        <f>16877627+4557031</f>
        <v>21434658</v>
      </c>
      <c r="W17" s="391">
        <v>19944622</v>
      </c>
      <c r="X17" s="393">
        <f t="shared" si="0"/>
        <v>32165784</v>
      </c>
      <c r="Y17" s="393">
        <f t="shared" si="1"/>
        <v>32165784</v>
      </c>
      <c r="Z17" s="430">
        <v>0</v>
      </c>
      <c r="AA17" s="430">
        <v>0</v>
      </c>
    </row>
    <row r="18" spans="1:27" s="595" customFormat="1" ht="16.5" thickBot="1">
      <c r="A18" s="680"/>
      <c r="B18" s="396" t="s">
        <v>253</v>
      </c>
      <c r="C18" s="394" t="s">
        <v>270</v>
      </c>
      <c r="D18" s="391">
        <v>0</v>
      </c>
      <c r="E18" s="391">
        <v>0</v>
      </c>
      <c r="F18" s="391">
        <v>0</v>
      </c>
      <c r="G18" s="391">
        <v>0</v>
      </c>
      <c r="H18" s="391">
        <f>150000+850000+200000+1500000</f>
        <v>2700000</v>
      </c>
      <c r="I18" s="391">
        <v>3961745</v>
      </c>
      <c r="J18" s="391">
        <v>0</v>
      </c>
      <c r="K18" s="391">
        <v>0</v>
      </c>
      <c r="L18" s="392">
        <v>0</v>
      </c>
      <c r="M18" s="392">
        <v>0</v>
      </c>
      <c r="N18" s="391">
        <v>50933440</v>
      </c>
      <c r="O18" s="391">
        <v>49671695</v>
      </c>
      <c r="P18" s="392">
        <v>0</v>
      </c>
      <c r="Q18" s="392">
        <v>0</v>
      </c>
      <c r="R18" s="391">
        <v>0</v>
      </c>
      <c r="S18" s="391">
        <v>0</v>
      </c>
      <c r="T18" s="440">
        <v>0</v>
      </c>
      <c r="U18" s="440">
        <v>0</v>
      </c>
      <c r="V18" s="440">
        <v>0</v>
      </c>
      <c r="W18" s="440">
        <v>0</v>
      </c>
      <c r="X18" s="393">
        <f t="shared" si="0"/>
        <v>53633440</v>
      </c>
      <c r="Y18" s="393">
        <f t="shared" si="1"/>
        <v>53633440</v>
      </c>
      <c r="Z18" s="430">
        <v>0</v>
      </c>
      <c r="AA18" s="430">
        <v>0</v>
      </c>
    </row>
    <row r="19" spans="1:27" ht="16.5" thickBot="1">
      <c r="A19" s="680"/>
      <c r="B19" s="253" t="s">
        <v>254</v>
      </c>
      <c r="C19" s="394" t="s">
        <v>48</v>
      </c>
      <c r="D19" s="391">
        <v>0</v>
      </c>
      <c r="E19" s="391">
        <v>0</v>
      </c>
      <c r="F19" s="391">
        <v>0</v>
      </c>
      <c r="G19" s="391">
        <v>0</v>
      </c>
      <c r="H19" s="391">
        <f>1600000+3550000+1250000</f>
        <v>6400000</v>
      </c>
      <c r="I19" s="391">
        <v>6515632</v>
      </c>
      <c r="J19" s="391">
        <v>0</v>
      </c>
      <c r="K19" s="391">
        <v>0</v>
      </c>
      <c r="L19" s="392">
        <v>0</v>
      </c>
      <c r="M19" s="392">
        <v>0</v>
      </c>
      <c r="N19" s="391">
        <v>0</v>
      </c>
      <c r="O19" s="391">
        <v>0</v>
      </c>
      <c r="P19" s="392">
        <v>0</v>
      </c>
      <c r="Q19" s="392">
        <v>0</v>
      </c>
      <c r="R19" s="391">
        <v>0</v>
      </c>
      <c r="S19" s="391">
        <v>0</v>
      </c>
      <c r="T19" s="440">
        <v>0</v>
      </c>
      <c r="U19" s="440">
        <v>0</v>
      </c>
      <c r="V19" s="440">
        <v>0</v>
      </c>
      <c r="W19" s="440">
        <v>0</v>
      </c>
      <c r="X19" s="393">
        <f t="shared" si="0"/>
        <v>6400000</v>
      </c>
      <c r="Y19" s="393">
        <f t="shared" si="1"/>
        <v>6515632</v>
      </c>
      <c r="Z19" s="430">
        <v>0</v>
      </c>
      <c r="AA19" s="430">
        <v>0</v>
      </c>
    </row>
    <row r="20" spans="1:27" s="595" customFormat="1" ht="16.5" thickBot="1">
      <c r="A20" s="680"/>
      <c r="B20" s="396" t="s">
        <v>223</v>
      </c>
      <c r="C20" s="394" t="s">
        <v>222</v>
      </c>
      <c r="D20" s="391">
        <v>2571600</v>
      </c>
      <c r="E20" s="391">
        <v>2601675</v>
      </c>
      <c r="F20" s="391">
        <v>450030</v>
      </c>
      <c r="G20" s="391">
        <v>450030</v>
      </c>
      <c r="H20" s="391">
        <f>1200000+300000+400000+80000</f>
        <v>1980000</v>
      </c>
      <c r="I20" s="391">
        <f>1200000+300000+400000+80000</f>
        <v>1980000</v>
      </c>
      <c r="J20" s="391">
        <v>0</v>
      </c>
      <c r="K20" s="391">
        <v>0</v>
      </c>
      <c r="L20" s="392">
        <v>0</v>
      </c>
      <c r="M20" s="392">
        <v>0</v>
      </c>
      <c r="N20" s="391">
        <v>4508070</v>
      </c>
      <c r="O20" s="391">
        <v>4508070</v>
      </c>
      <c r="P20" s="392">
        <v>0</v>
      </c>
      <c r="Q20" s="392">
        <v>0</v>
      </c>
      <c r="R20" s="391">
        <v>0</v>
      </c>
      <c r="S20" s="391">
        <v>0</v>
      </c>
      <c r="T20" s="440">
        <v>0</v>
      </c>
      <c r="U20" s="440">
        <v>0</v>
      </c>
      <c r="V20" s="440">
        <v>0</v>
      </c>
      <c r="W20" s="440">
        <v>0</v>
      </c>
      <c r="X20" s="393">
        <f t="shared" si="0"/>
        <v>9509700</v>
      </c>
      <c r="Y20" s="393">
        <f t="shared" si="1"/>
        <v>9539775</v>
      </c>
      <c r="Z20" s="430">
        <v>1</v>
      </c>
      <c r="AA20" s="430">
        <v>1</v>
      </c>
    </row>
    <row r="21" spans="1:27" s="595" customFormat="1" ht="16.5" thickBot="1">
      <c r="A21" s="680"/>
      <c r="B21" s="396" t="s">
        <v>224</v>
      </c>
      <c r="C21" s="394" t="s">
        <v>271</v>
      </c>
      <c r="D21" s="391">
        <f>25961083+72000</f>
        <v>26033083</v>
      </c>
      <c r="E21" s="391">
        <v>26323683</v>
      </c>
      <c r="F21" s="391">
        <v>4290649</v>
      </c>
      <c r="G21" s="391">
        <v>4290649</v>
      </c>
      <c r="H21" s="391">
        <f>8100000+50000+160000+1650000+6600000+6000000+700000</f>
        <v>23260000</v>
      </c>
      <c r="I21" s="391">
        <v>22588875</v>
      </c>
      <c r="J21" s="391">
        <v>0</v>
      </c>
      <c r="K21" s="391">
        <v>0</v>
      </c>
      <c r="L21" s="392">
        <v>0</v>
      </c>
      <c r="M21" s="392">
        <v>0</v>
      </c>
      <c r="N21" s="391">
        <v>0</v>
      </c>
      <c r="O21" s="391">
        <v>0</v>
      </c>
      <c r="P21" s="392">
        <v>0</v>
      </c>
      <c r="Q21" s="392">
        <v>0</v>
      </c>
      <c r="R21" s="391">
        <v>0</v>
      </c>
      <c r="S21" s="391">
        <v>0</v>
      </c>
      <c r="T21" s="440">
        <v>0</v>
      </c>
      <c r="U21" s="440">
        <v>10047883</v>
      </c>
      <c r="V21" s="440">
        <v>0</v>
      </c>
      <c r="W21" s="440">
        <v>0</v>
      </c>
      <c r="X21" s="393">
        <f t="shared" si="0"/>
        <v>53583732</v>
      </c>
      <c r="Y21" s="393">
        <f t="shared" si="1"/>
        <v>63251090</v>
      </c>
      <c r="Z21" s="430">
        <v>11</v>
      </c>
      <c r="AA21" s="430">
        <v>11</v>
      </c>
    </row>
    <row r="22" spans="1:27" s="595" customFormat="1" ht="16.5" thickBot="1">
      <c r="A22" s="680"/>
      <c r="B22" s="396" t="s">
        <v>255</v>
      </c>
      <c r="C22" s="394" t="s">
        <v>272</v>
      </c>
      <c r="D22" s="391">
        <v>0</v>
      </c>
      <c r="E22" s="391">
        <v>0</v>
      </c>
      <c r="F22" s="391">
        <v>0</v>
      </c>
      <c r="G22" s="391">
        <v>0</v>
      </c>
      <c r="H22" s="391">
        <f>450000+1250000+1600000+900000</f>
        <v>4200000</v>
      </c>
      <c r="I22" s="391">
        <v>69560074</v>
      </c>
      <c r="J22" s="391">
        <v>0</v>
      </c>
      <c r="K22" s="391">
        <v>0</v>
      </c>
      <c r="L22" s="392">
        <v>0</v>
      </c>
      <c r="M22" s="392">
        <v>0</v>
      </c>
      <c r="N22" s="391">
        <v>0</v>
      </c>
      <c r="O22" s="391">
        <v>0</v>
      </c>
      <c r="P22" s="392">
        <v>0</v>
      </c>
      <c r="Q22" s="392">
        <v>0</v>
      </c>
      <c r="R22" s="391">
        <v>0</v>
      </c>
      <c r="S22" s="391">
        <v>0</v>
      </c>
      <c r="T22" s="440">
        <v>0</v>
      </c>
      <c r="U22" s="440">
        <v>219073213</v>
      </c>
      <c r="V22" s="440">
        <v>0</v>
      </c>
      <c r="W22" s="440">
        <v>0</v>
      </c>
      <c r="X22" s="393">
        <f t="shared" si="0"/>
        <v>4200000</v>
      </c>
      <c r="Y22" s="393">
        <f t="shared" si="1"/>
        <v>288633287</v>
      </c>
      <c r="Z22" s="430">
        <v>0</v>
      </c>
      <c r="AA22" s="430">
        <v>0</v>
      </c>
    </row>
    <row r="23" spans="1:27" s="595" customFormat="1" ht="16.5" thickBot="1">
      <c r="A23" s="680"/>
      <c r="B23" s="396" t="s">
        <v>226</v>
      </c>
      <c r="C23" s="395" t="s">
        <v>49</v>
      </c>
      <c r="D23" s="391">
        <f>16601640+2609790</f>
        <v>19211430</v>
      </c>
      <c r="E23" s="391">
        <v>19301655</v>
      </c>
      <c r="F23" s="391">
        <v>3362000</v>
      </c>
      <c r="G23" s="391">
        <v>3362000</v>
      </c>
      <c r="H23" s="391">
        <f>450000+70000+150000+120000+250000+250000+250000+250000</f>
        <v>1790000</v>
      </c>
      <c r="I23" s="391">
        <f>450000+70000+150000+120000+250000+250000+250000+250000</f>
        <v>1790000</v>
      </c>
      <c r="J23" s="391">
        <v>0</v>
      </c>
      <c r="K23" s="391">
        <v>0</v>
      </c>
      <c r="L23" s="392">
        <v>0</v>
      </c>
      <c r="M23" s="392">
        <v>0</v>
      </c>
      <c r="N23" s="391">
        <v>0</v>
      </c>
      <c r="O23" s="391">
        <v>0</v>
      </c>
      <c r="P23" s="392">
        <v>0</v>
      </c>
      <c r="Q23" s="392">
        <v>0</v>
      </c>
      <c r="R23" s="391">
        <v>0</v>
      </c>
      <c r="S23" s="391">
        <v>0</v>
      </c>
      <c r="T23" s="440">
        <v>0</v>
      </c>
      <c r="U23" s="440">
        <v>0</v>
      </c>
      <c r="V23" s="440">
        <v>0</v>
      </c>
      <c r="W23" s="440">
        <v>0</v>
      </c>
      <c r="X23" s="393">
        <f t="shared" si="0"/>
        <v>24363430</v>
      </c>
      <c r="Y23" s="393">
        <f t="shared" si="1"/>
        <v>24453655</v>
      </c>
      <c r="Z23" s="430">
        <v>3</v>
      </c>
      <c r="AA23" s="430">
        <v>3</v>
      </c>
    </row>
    <row r="24" spans="1:27" s="595" customFormat="1" ht="32.25" thickBot="1">
      <c r="A24" s="680"/>
      <c r="B24" s="596" t="s">
        <v>636</v>
      </c>
      <c r="C24" s="481" t="s">
        <v>637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91">
        <v>1006087</v>
      </c>
      <c r="J24" s="391">
        <v>0</v>
      </c>
      <c r="K24" s="391">
        <v>0</v>
      </c>
      <c r="L24" s="392">
        <v>0</v>
      </c>
      <c r="M24" s="392">
        <v>0</v>
      </c>
      <c r="N24" s="391">
        <v>0</v>
      </c>
      <c r="O24" s="391">
        <v>0</v>
      </c>
      <c r="P24" s="392">
        <v>0</v>
      </c>
      <c r="Q24" s="392">
        <v>0</v>
      </c>
      <c r="R24" s="391">
        <v>0</v>
      </c>
      <c r="S24" s="391">
        <v>0</v>
      </c>
      <c r="T24" s="440">
        <v>0</v>
      </c>
      <c r="U24" s="440">
        <v>0</v>
      </c>
      <c r="V24" s="440">
        <v>0</v>
      </c>
      <c r="W24" s="440">
        <v>0</v>
      </c>
      <c r="X24" s="393">
        <f t="shared" ref="X24" si="4">+V24+T23:T24+R24+P24+N24+L24+J24+H24+F24+D24</f>
        <v>0</v>
      </c>
      <c r="Y24" s="393">
        <f t="shared" ref="Y24" si="5">+W24+U24+S24+Q24+O24+M24+K24+I24+G24+E24</f>
        <v>1006087</v>
      </c>
      <c r="Z24" s="430">
        <v>0</v>
      </c>
      <c r="AA24" s="430">
        <v>0</v>
      </c>
    </row>
    <row r="25" spans="1:27" s="595" customFormat="1" ht="16.5" thickBot="1">
      <c r="A25" s="680"/>
      <c r="B25" s="596" t="s">
        <v>258</v>
      </c>
      <c r="C25" s="395" t="s">
        <v>275</v>
      </c>
      <c r="D25" s="391">
        <f>120000+855000</f>
        <v>975000</v>
      </c>
      <c r="E25" s="391">
        <f>120000+855000</f>
        <v>975000</v>
      </c>
      <c r="F25" s="391">
        <v>170625</v>
      </c>
      <c r="G25" s="391">
        <v>170625</v>
      </c>
      <c r="H25" s="391">
        <f>260000+850000+1020000</f>
        <v>2130000</v>
      </c>
      <c r="I25" s="391">
        <f>260000+850000+1020000</f>
        <v>2130000</v>
      </c>
      <c r="J25" s="391">
        <v>0</v>
      </c>
      <c r="K25" s="391">
        <v>0</v>
      </c>
      <c r="L25" s="392">
        <v>0</v>
      </c>
      <c r="M25" s="392">
        <v>0</v>
      </c>
      <c r="N25" s="391">
        <v>0</v>
      </c>
      <c r="O25" s="391">
        <v>0</v>
      </c>
      <c r="P25" s="392">
        <v>0</v>
      </c>
      <c r="Q25" s="392">
        <v>0</v>
      </c>
      <c r="R25" s="391">
        <v>0</v>
      </c>
      <c r="S25" s="391">
        <v>0</v>
      </c>
      <c r="T25" s="440">
        <v>1400000</v>
      </c>
      <c r="U25" s="440">
        <v>1400000</v>
      </c>
      <c r="V25" s="440">
        <v>0</v>
      </c>
      <c r="W25" s="440">
        <v>0</v>
      </c>
      <c r="X25" s="393">
        <f>+V25+T23:T25+R25+P25+N25+L25+J25+H25+F25+D25</f>
        <v>4675625</v>
      </c>
      <c r="Y25" s="393">
        <f t="shared" si="1"/>
        <v>4675625</v>
      </c>
      <c r="Z25" s="430">
        <v>1</v>
      </c>
      <c r="AA25" s="430">
        <v>1</v>
      </c>
    </row>
    <row r="26" spans="1:27" s="595" customFormat="1" ht="16.5" thickBot="1">
      <c r="A26" s="680"/>
      <c r="B26" s="396" t="s">
        <v>328</v>
      </c>
      <c r="C26" s="395" t="s">
        <v>276</v>
      </c>
      <c r="D26" s="391">
        <v>0</v>
      </c>
      <c r="E26" s="391">
        <v>0</v>
      </c>
      <c r="F26" s="391">
        <v>0</v>
      </c>
      <c r="G26" s="391">
        <v>0</v>
      </c>
      <c r="H26" s="391">
        <v>0</v>
      </c>
      <c r="I26" s="391">
        <v>0</v>
      </c>
      <c r="J26" s="391">
        <v>86657095</v>
      </c>
      <c r="K26" s="391">
        <f>+J26</f>
        <v>86657095</v>
      </c>
      <c r="L26" s="392">
        <v>0</v>
      </c>
      <c r="M26" s="392">
        <v>0</v>
      </c>
      <c r="N26" s="391">
        <v>0</v>
      </c>
      <c r="O26" s="391">
        <v>0</v>
      </c>
      <c r="P26" s="392">
        <v>0</v>
      </c>
      <c r="Q26" s="392">
        <v>0</v>
      </c>
      <c r="R26" s="391">
        <v>0</v>
      </c>
      <c r="S26" s="391">
        <v>0</v>
      </c>
      <c r="T26" s="440">
        <v>0</v>
      </c>
      <c r="U26" s="440">
        <v>0</v>
      </c>
      <c r="V26" s="440">
        <v>0</v>
      </c>
      <c r="W26" s="440">
        <v>0</v>
      </c>
      <c r="X26" s="393">
        <f t="shared" si="0"/>
        <v>86657095</v>
      </c>
      <c r="Y26" s="393">
        <f t="shared" si="1"/>
        <v>86657095</v>
      </c>
      <c r="Z26" s="430">
        <v>0</v>
      </c>
      <c r="AA26" s="430">
        <v>0</v>
      </c>
    </row>
    <row r="27" spans="1:27" ht="42" customHeight="1" thickBot="1">
      <c r="A27" s="680"/>
      <c r="B27" s="396" t="s">
        <v>328</v>
      </c>
      <c r="C27" s="481" t="s">
        <v>483</v>
      </c>
      <c r="D27" s="391">
        <v>0</v>
      </c>
      <c r="E27" s="391">
        <v>0</v>
      </c>
      <c r="F27" s="391">
        <v>0</v>
      </c>
      <c r="G27" s="391">
        <v>0</v>
      </c>
      <c r="H27" s="391">
        <v>0</v>
      </c>
      <c r="I27" s="391">
        <v>0</v>
      </c>
      <c r="J27" s="391">
        <f>1080098+116455+7514250</f>
        <v>8710803</v>
      </c>
      <c r="K27" s="391">
        <f>1080098+116455+7514250</f>
        <v>8710803</v>
      </c>
      <c r="L27" s="391">
        <v>0</v>
      </c>
      <c r="M27" s="391">
        <v>0</v>
      </c>
      <c r="N27" s="391">
        <v>0</v>
      </c>
      <c r="O27" s="391">
        <v>0</v>
      </c>
      <c r="P27" s="391">
        <v>0</v>
      </c>
      <c r="Q27" s="391">
        <v>0</v>
      </c>
      <c r="R27" s="391">
        <v>0</v>
      </c>
      <c r="S27" s="391">
        <v>0</v>
      </c>
      <c r="T27" s="391">
        <v>0</v>
      </c>
      <c r="U27" s="391">
        <v>0</v>
      </c>
      <c r="V27" s="391">
        <v>0</v>
      </c>
      <c r="W27" s="391">
        <v>0</v>
      </c>
      <c r="X27" s="393">
        <f t="shared" si="0"/>
        <v>8710803</v>
      </c>
      <c r="Y27" s="393">
        <f t="shared" si="1"/>
        <v>8710803</v>
      </c>
      <c r="Z27" s="430"/>
      <c r="AA27" s="430"/>
    </row>
    <row r="28" spans="1:27" ht="16.5" thickBot="1">
      <c r="A28" s="680"/>
      <c r="B28" s="253" t="s">
        <v>261</v>
      </c>
      <c r="C28" s="395" t="s">
        <v>228</v>
      </c>
      <c r="D28" s="391">
        <f>6028644+180000</f>
        <v>6208644</v>
      </c>
      <c r="E28" s="391">
        <v>6298869</v>
      </c>
      <c r="F28" s="391">
        <v>1055013</v>
      </c>
      <c r="G28" s="391">
        <v>1055013</v>
      </c>
      <c r="H28" s="391">
        <f>880000+400000+1192000+490000</f>
        <v>2962000</v>
      </c>
      <c r="I28" s="391">
        <f>880000+400000+1192000+490000</f>
        <v>2962000</v>
      </c>
      <c r="J28" s="391">
        <v>0</v>
      </c>
      <c r="K28" s="391">
        <v>0</v>
      </c>
      <c r="L28" s="392">
        <v>0</v>
      </c>
      <c r="M28" s="392">
        <v>0</v>
      </c>
      <c r="N28" s="391">
        <v>0</v>
      </c>
      <c r="O28" s="391">
        <v>0</v>
      </c>
      <c r="P28" s="392">
        <v>0</v>
      </c>
      <c r="Q28" s="392">
        <v>0</v>
      </c>
      <c r="R28" s="391">
        <v>0</v>
      </c>
      <c r="S28" s="391">
        <v>0</v>
      </c>
      <c r="T28" s="440">
        <v>0</v>
      </c>
      <c r="U28" s="440">
        <v>0</v>
      </c>
      <c r="V28" s="440">
        <v>150000</v>
      </c>
      <c r="W28" s="440">
        <v>150000</v>
      </c>
      <c r="X28" s="393">
        <f t="shared" si="0"/>
        <v>10375657</v>
      </c>
      <c r="Y28" s="393">
        <f t="shared" si="1"/>
        <v>10465882</v>
      </c>
      <c r="Z28" s="430">
        <v>2</v>
      </c>
      <c r="AA28" s="430">
        <v>2</v>
      </c>
    </row>
    <row r="29" spans="1:27" ht="16.5" thickBot="1">
      <c r="A29" s="680"/>
      <c r="B29" s="253" t="s">
        <v>262</v>
      </c>
      <c r="C29" s="395" t="s">
        <v>278</v>
      </c>
      <c r="D29" s="391">
        <v>0</v>
      </c>
      <c r="E29" s="391">
        <v>0</v>
      </c>
      <c r="F29" s="391">
        <v>0</v>
      </c>
      <c r="G29" s="391">
        <v>0</v>
      </c>
      <c r="H29" s="391">
        <v>450000</v>
      </c>
      <c r="I29" s="391">
        <v>450000</v>
      </c>
      <c r="J29" s="391">
        <v>0</v>
      </c>
      <c r="K29" s="391">
        <v>0</v>
      </c>
      <c r="L29" s="392">
        <v>0</v>
      </c>
      <c r="M29" s="392">
        <v>0</v>
      </c>
      <c r="N29" s="391">
        <v>8815656</v>
      </c>
      <c r="O29" s="391">
        <v>8815656</v>
      </c>
      <c r="P29" s="392">
        <v>0</v>
      </c>
      <c r="Q29" s="392">
        <v>0</v>
      </c>
      <c r="R29" s="391">
        <v>0</v>
      </c>
      <c r="S29" s="391">
        <v>0</v>
      </c>
      <c r="T29" s="440">
        <v>0</v>
      </c>
      <c r="U29" s="440">
        <v>0</v>
      </c>
      <c r="V29" s="440">
        <v>400000</v>
      </c>
      <c r="W29" s="440">
        <v>400000</v>
      </c>
      <c r="X29" s="393">
        <f t="shared" si="0"/>
        <v>9665656</v>
      </c>
      <c r="Y29" s="393">
        <f t="shared" si="1"/>
        <v>9665656</v>
      </c>
      <c r="Z29" s="430">
        <v>0</v>
      </c>
      <c r="AA29" s="430">
        <v>0</v>
      </c>
    </row>
    <row r="30" spans="1:27" ht="16.5" thickBot="1">
      <c r="A30" s="680"/>
      <c r="B30" s="599" t="s">
        <v>263</v>
      </c>
      <c r="C30" s="598" t="s">
        <v>279</v>
      </c>
      <c r="D30" s="397">
        <v>0</v>
      </c>
      <c r="E30" s="397">
        <v>0</v>
      </c>
      <c r="F30" s="397">
        <v>0</v>
      </c>
      <c r="G30" s="397">
        <v>0</v>
      </c>
      <c r="H30" s="397">
        <v>0</v>
      </c>
      <c r="I30" s="397">
        <v>0</v>
      </c>
      <c r="J30" s="397">
        <v>0</v>
      </c>
      <c r="K30" s="397">
        <v>0</v>
      </c>
      <c r="L30" s="601">
        <f>700000+1600000+100000</f>
        <v>2400000</v>
      </c>
      <c r="M30" s="601">
        <f>700000+1600000+100000</f>
        <v>2400000</v>
      </c>
      <c r="N30" s="397">
        <v>0</v>
      </c>
      <c r="O30" s="397">
        <v>0</v>
      </c>
      <c r="P30" s="601">
        <v>0</v>
      </c>
      <c r="Q30" s="601">
        <v>0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3">
        <f t="shared" si="0"/>
        <v>2400000</v>
      </c>
      <c r="Y30" s="393">
        <f t="shared" si="1"/>
        <v>2400000</v>
      </c>
      <c r="Z30" s="430">
        <v>0</v>
      </c>
      <c r="AA30" s="430">
        <v>0</v>
      </c>
    </row>
    <row r="31" spans="1:27" s="595" customFormat="1" ht="16.5" thickBot="1">
      <c r="A31" s="680"/>
      <c r="B31" s="396" t="s">
        <v>285</v>
      </c>
      <c r="C31" s="480" t="s">
        <v>287</v>
      </c>
      <c r="D31" s="391">
        <v>0</v>
      </c>
      <c r="E31" s="391">
        <v>0</v>
      </c>
      <c r="F31" s="391">
        <v>0</v>
      </c>
      <c r="G31" s="391">
        <v>0</v>
      </c>
      <c r="H31" s="391">
        <f>750000+120000</f>
        <v>870000</v>
      </c>
      <c r="I31" s="391">
        <f>750000+120000</f>
        <v>870000</v>
      </c>
      <c r="J31" s="391">
        <v>0</v>
      </c>
      <c r="K31" s="391">
        <v>0</v>
      </c>
      <c r="L31" s="392">
        <v>0</v>
      </c>
      <c r="M31" s="392">
        <v>0</v>
      </c>
      <c r="N31" s="391">
        <v>0</v>
      </c>
      <c r="O31" s="391">
        <v>0</v>
      </c>
      <c r="P31" s="392">
        <v>0</v>
      </c>
      <c r="Q31" s="392">
        <v>0</v>
      </c>
      <c r="R31" s="391">
        <v>0</v>
      </c>
      <c r="S31" s="391">
        <v>0</v>
      </c>
      <c r="T31" s="440">
        <v>3635000</v>
      </c>
      <c r="U31" s="440">
        <v>3635000</v>
      </c>
      <c r="V31" s="440">
        <v>0</v>
      </c>
      <c r="W31" s="440">
        <v>0</v>
      </c>
      <c r="X31" s="393">
        <f t="shared" si="0"/>
        <v>4505000</v>
      </c>
      <c r="Y31" s="393">
        <f t="shared" si="1"/>
        <v>4505000</v>
      </c>
      <c r="Z31" s="430">
        <v>0</v>
      </c>
      <c r="AA31" s="430">
        <v>0</v>
      </c>
    </row>
    <row r="32" spans="1:27" ht="16.5" thickBot="1">
      <c r="A32" s="680"/>
      <c r="B32" s="253" t="s">
        <v>329</v>
      </c>
      <c r="C32" s="395" t="s">
        <v>330</v>
      </c>
      <c r="D32" s="391">
        <v>0</v>
      </c>
      <c r="E32" s="391">
        <v>0</v>
      </c>
      <c r="F32" s="391">
        <v>0</v>
      </c>
      <c r="G32" s="391">
        <v>0</v>
      </c>
      <c r="H32" s="391">
        <v>0</v>
      </c>
      <c r="I32" s="391">
        <v>0</v>
      </c>
      <c r="J32" s="391">
        <v>0</v>
      </c>
      <c r="K32" s="391">
        <v>1169193</v>
      </c>
      <c r="L32" s="392">
        <v>0</v>
      </c>
      <c r="M32" s="392">
        <v>0</v>
      </c>
      <c r="N32" s="391">
        <v>0</v>
      </c>
      <c r="O32" s="391">
        <v>0</v>
      </c>
      <c r="P32" s="392">
        <v>10751039</v>
      </c>
      <c r="Q32" s="392">
        <v>10997076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91">
        <v>0</v>
      </c>
      <c r="X32" s="393">
        <f t="shared" si="0"/>
        <v>10751039</v>
      </c>
      <c r="Y32" s="393">
        <f t="shared" si="1"/>
        <v>12166269</v>
      </c>
      <c r="Z32" s="430">
        <v>0</v>
      </c>
      <c r="AA32" s="430">
        <v>0</v>
      </c>
    </row>
    <row r="33" spans="1:30" ht="35.25" customHeight="1" thickBot="1">
      <c r="A33" s="680"/>
      <c r="B33" s="253" t="s">
        <v>484</v>
      </c>
      <c r="C33" s="395" t="s">
        <v>485</v>
      </c>
      <c r="D33" s="391">
        <v>0</v>
      </c>
      <c r="E33" s="391">
        <v>0</v>
      </c>
      <c r="F33" s="391">
        <v>0</v>
      </c>
      <c r="G33" s="391">
        <v>0</v>
      </c>
      <c r="H33" s="391">
        <v>67492</v>
      </c>
      <c r="I33" s="391">
        <v>67492</v>
      </c>
      <c r="J33" s="391">
        <v>0</v>
      </c>
      <c r="K33" s="391">
        <v>0</v>
      </c>
      <c r="L33" s="391">
        <v>0</v>
      </c>
      <c r="M33" s="391">
        <v>0</v>
      </c>
      <c r="N33" s="391">
        <v>0</v>
      </c>
      <c r="O33" s="391">
        <v>0</v>
      </c>
      <c r="P33" s="391">
        <v>0</v>
      </c>
      <c r="Q33" s="391">
        <v>0</v>
      </c>
      <c r="R33" s="391">
        <v>0</v>
      </c>
      <c r="S33" s="391">
        <v>0</v>
      </c>
      <c r="T33" s="391">
        <f>537295+145070</f>
        <v>682365</v>
      </c>
      <c r="U33" s="391">
        <f>537295+145070</f>
        <v>682365</v>
      </c>
      <c r="V33" s="391">
        <v>0</v>
      </c>
      <c r="W33" s="391">
        <v>0</v>
      </c>
      <c r="X33" s="393">
        <f t="shared" si="0"/>
        <v>749857</v>
      </c>
      <c r="Y33" s="393">
        <f t="shared" si="1"/>
        <v>749857</v>
      </c>
      <c r="Z33" s="430">
        <v>0</v>
      </c>
      <c r="AA33" s="430">
        <v>0</v>
      </c>
    </row>
    <row r="34" spans="1:30" ht="16.5" thickBot="1">
      <c r="A34" s="680"/>
      <c r="B34" s="228" t="s">
        <v>52</v>
      </c>
      <c r="C34" s="228"/>
      <c r="D34" s="393">
        <f>SUM(D6:D33)</f>
        <v>80292326</v>
      </c>
      <c r="E34" s="393">
        <f>SUM(E6:E33)</f>
        <v>94875687</v>
      </c>
      <c r="F34" s="393">
        <f>SUM(F6:F33)</f>
        <v>13196875</v>
      </c>
      <c r="G34" s="393">
        <f>SUM(G6:G33)</f>
        <v>14529008</v>
      </c>
      <c r="H34" s="393">
        <f t="shared" ref="H34:V34" si="6">SUM(H6:H33)</f>
        <v>82428369</v>
      </c>
      <c r="I34" s="393">
        <f t="shared" ref="I34" si="7">SUM(I6:I33)</f>
        <v>154845211</v>
      </c>
      <c r="J34" s="393">
        <f t="shared" si="6"/>
        <v>95507898</v>
      </c>
      <c r="K34" s="393">
        <f t="shared" ref="K34" si="8">SUM(K6:K33)</f>
        <v>96677091</v>
      </c>
      <c r="L34" s="393">
        <f t="shared" si="6"/>
        <v>2400000</v>
      </c>
      <c r="M34" s="393">
        <f>SUM(M6:M33)</f>
        <v>2400000</v>
      </c>
      <c r="N34" s="393">
        <f t="shared" si="6"/>
        <v>98896424</v>
      </c>
      <c r="O34" s="393">
        <f t="shared" ref="O34" si="9">SUM(O6:O33)</f>
        <v>96983663</v>
      </c>
      <c r="P34" s="393">
        <f t="shared" si="6"/>
        <v>10751039</v>
      </c>
      <c r="Q34" s="393">
        <f t="shared" ref="Q34" si="10">SUM(Q6:Q33)</f>
        <v>10997076</v>
      </c>
      <c r="R34" s="393">
        <f t="shared" si="6"/>
        <v>0</v>
      </c>
      <c r="S34" s="393">
        <f t="shared" ref="S34" si="11">SUM(S6:S33)</f>
        <v>0</v>
      </c>
      <c r="T34" s="393">
        <f t="shared" si="6"/>
        <v>12117364</v>
      </c>
      <c r="U34" s="393">
        <f t="shared" ref="U34" si="12">SUM(U6:U33)</f>
        <v>245515496</v>
      </c>
      <c r="V34" s="393">
        <f t="shared" si="6"/>
        <v>46420058</v>
      </c>
      <c r="W34" s="393">
        <f>SUM(W6:W33)</f>
        <v>199709812</v>
      </c>
      <c r="X34" s="393">
        <f t="shared" si="0"/>
        <v>442010353</v>
      </c>
      <c r="Y34" s="393">
        <f>+W34+U34+S34+Q34+O34+M34+K34+I34+G34+E34</f>
        <v>916533044</v>
      </c>
      <c r="Z34" s="441">
        <f>SUM(Z6:Z33)</f>
        <v>47</v>
      </c>
      <c r="AA34" s="441">
        <f>SUM(AA6:AA33)</f>
        <v>40</v>
      </c>
      <c r="AC34" s="156"/>
      <c r="AD34" s="156"/>
    </row>
    <row r="35" spans="1:30" s="595" customFormat="1" ht="16.5" thickBot="1">
      <c r="A35" s="680"/>
      <c r="B35" s="396" t="s">
        <v>257</v>
      </c>
      <c r="C35" s="395" t="s">
        <v>274</v>
      </c>
      <c r="D35" s="391">
        <v>863130</v>
      </c>
      <c r="E35" s="391">
        <v>863130</v>
      </c>
      <c r="F35" s="391">
        <v>0</v>
      </c>
      <c r="G35" s="391">
        <v>0</v>
      </c>
      <c r="H35" s="391">
        <f>80000+150000</f>
        <v>230000</v>
      </c>
      <c r="I35" s="391">
        <f>80000+150000</f>
        <v>230000</v>
      </c>
      <c r="J35" s="391">
        <v>0</v>
      </c>
      <c r="K35" s="391">
        <v>0</v>
      </c>
      <c r="L35" s="392">
        <v>0</v>
      </c>
      <c r="M35" s="392">
        <v>0</v>
      </c>
      <c r="N35" s="391">
        <v>0</v>
      </c>
      <c r="O35" s="391">
        <v>0</v>
      </c>
      <c r="P35" s="392">
        <v>0</v>
      </c>
      <c r="Q35" s="392">
        <v>0</v>
      </c>
      <c r="R35" s="391">
        <v>0</v>
      </c>
      <c r="S35" s="391">
        <v>0</v>
      </c>
      <c r="T35" s="391">
        <v>0</v>
      </c>
      <c r="U35" s="391">
        <v>0</v>
      </c>
      <c r="V35" s="391">
        <v>0</v>
      </c>
      <c r="W35" s="391">
        <v>0</v>
      </c>
      <c r="X35" s="393">
        <f t="shared" si="0"/>
        <v>1093130</v>
      </c>
      <c r="Y35" s="393">
        <f t="shared" si="1"/>
        <v>1093130</v>
      </c>
      <c r="Z35" s="430">
        <v>1</v>
      </c>
      <c r="AA35" s="430">
        <v>1</v>
      </c>
      <c r="AC35" s="594"/>
    </row>
    <row r="36" spans="1:30" ht="16.5" thickBot="1">
      <c r="A36" s="680"/>
      <c r="B36" s="599" t="s">
        <v>263</v>
      </c>
      <c r="C36" s="598" t="s">
        <v>234</v>
      </c>
      <c r="D36" s="397">
        <v>0</v>
      </c>
      <c r="E36" s="397">
        <v>0</v>
      </c>
      <c r="F36" s="397">
        <v>0</v>
      </c>
      <c r="G36" s="397">
        <v>0</v>
      </c>
      <c r="H36" s="397">
        <v>0</v>
      </c>
      <c r="I36" s="397">
        <v>0</v>
      </c>
      <c r="J36" s="397">
        <v>0</v>
      </c>
      <c r="K36" s="397">
        <v>0</v>
      </c>
      <c r="L36" s="601">
        <v>567000</v>
      </c>
      <c r="M36" s="601">
        <v>567000</v>
      </c>
      <c r="N36" s="397">
        <v>0</v>
      </c>
      <c r="O36" s="397">
        <v>0</v>
      </c>
      <c r="P36" s="601">
        <v>0</v>
      </c>
      <c r="Q36" s="601">
        <v>0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3">
        <f t="shared" si="0"/>
        <v>567000</v>
      </c>
      <c r="Y36" s="393">
        <f t="shared" si="1"/>
        <v>567000</v>
      </c>
      <c r="Z36" s="430">
        <v>0</v>
      </c>
      <c r="AA36" s="430">
        <v>0</v>
      </c>
      <c r="AC36" s="156"/>
    </row>
    <row r="37" spans="1:30" ht="32.25" customHeight="1" thickBot="1">
      <c r="A37" s="680"/>
      <c r="B37" s="599" t="s">
        <v>263</v>
      </c>
      <c r="C37" s="600" t="s">
        <v>297</v>
      </c>
      <c r="D37" s="397">
        <v>0</v>
      </c>
      <c r="E37" s="397">
        <v>0</v>
      </c>
      <c r="F37" s="397">
        <v>0</v>
      </c>
      <c r="G37" s="397">
        <v>0</v>
      </c>
      <c r="H37" s="397">
        <v>0</v>
      </c>
      <c r="I37" s="397">
        <v>0</v>
      </c>
      <c r="J37" s="397">
        <v>0</v>
      </c>
      <c r="K37" s="397">
        <v>0</v>
      </c>
      <c r="L37" s="601">
        <v>180000</v>
      </c>
      <c r="M37" s="601">
        <v>180000</v>
      </c>
      <c r="N37" s="397">
        <v>0</v>
      </c>
      <c r="O37" s="397">
        <v>0</v>
      </c>
      <c r="P37" s="601">
        <v>0</v>
      </c>
      <c r="Q37" s="601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3">
        <f t="shared" si="0"/>
        <v>180000</v>
      </c>
      <c r="Y37" s="393">
        <f t="shared" si="1"/>
        <v>180000</v>
      </c>
      <c r="Z37" s="430">
        <v>0</v>
      </c>
      <c r="AA37" s="430">
        <v>0</v>
      </c>
    </row>
    <row r="38" spans="1:30" s="595" customFormat="1" ht="16.5" thickBot="1">
      <c r="A38" s="680"/>
      <c r="B38" s="597" t="s">
        <v>362</v>
      </c>
      <c r="C38" s="395" t="s">
        <v>363</v>
      </c>
      <c r="D38" s="391">
        <v>0</v>
      </c>
      <c r="E38" s="391">
        <v>0</v>
      </c>
      <c r="F38" s="391">
        <v>0</v>
      </c>
      <c r="G38" s="391">
        <v>0</v>
      </c>
      <c r="H38" s="391">
        <v>0</v>
      </c>
      <c r="I38" s="391">
        <v>0</v>
      </c>
      <c r="J38" s="391">
        <v>0</v>
      </c>
      <c r="K38" s="391">
        <v>0</v>
      </c>
      <c r="L38" s="392">
        <v>0</v>
      </c>
      <c r="M38" s="392">
        <v>0</v>
      </c>
      <c r="N38" s="391">
        <v>0</v>
      </c>
      <c r="O38" s="391">
        <v>0</v>
      </c>
      <c r="P38" s="392">
        <v>0</v>
      </c>
      <c r="Q38" s="392">
        <v>0</v>
      </c>
      <c r="R38" s="391">
        <v>0</v>
      </c>
      <c r="S38" s="391">
        <v>0</v>
      </c>
      <c r="T38" s="391">
        <v>0</v>
      </c>
      <c r="U38" s="391">
        <v>0</v>
      </c>
      <c r="V38" s="391">
        <v>0</v>
      </c>
      <c r="W38" s="391">
        <v>0</v>
      </c>
      <c r="X38" s="393">
        <f t="shared" si="0"/>
        <v>0</v>
      </c>
      <c r="Y38" s="393">
        <f t="shared" si="1"/>
        <v>0</v>
      </c>
      <c r="Z38" s="430">
        <v>0</v>
      </c>
      <c r="AA38" s="430">
        <v>0</v>
      </c>
    </row>
    <row r="39" spans="1:30" ht="16.5" thickBot="1">
      <c r="A39" s="680"/>
      <c r="B39" s="254" t="s">
        <v>247</v>
      </c>
      <c r="C39" s="394" t="s">
        <v>266</v>
      </c>
      <c r="D39" s="391">
        <v>0</v>
      </c>
      <c r="E39" s="391">
        <v>0</v>
      </c>
      <c r="F39" s="391">
        <v>0</v>
      </c>
      <c r="G39" s="391">
        <v>0</v>
      </c>
      <c r="H39" s="391">
        <v>0</v>
      </c>
      <c r="I39" s="391">
        <v>0</v>
      </c>
      <c r="J39" s="391">
        <v>0</v>
      </c>
      <c r="K39" s="391">
        <v>0</v>
      </c>
      <c r="L39" s="392">
        <v>0</v>
      </c>
      <c r="M39" s="392">
        <v>0</v>
      </c>
      <c r="N39" s="391">
        <v>0</v>
      </c>
      <c r="O39" s="391">
        <v>0</v>
      </c>
      <c r="P39" s="392">
        <v>0</v>
      </c>
      <c r="Q39" s="392">
        <v>0</v>
      </c>
      <c r="R39" s="391">
        <v>0</v>
      </c>
      <c r="S39" s="391">
        <v>0</v>
      </c>
      <c r="T39" s="440">
        <v>0</v>
      </c>
      <c r="U39" s="440">
        <v>0</v>
      </c>
      <c r="V39" s="391">
        <v>0</v>
      </c>
      <c r="W39" s="391">
        <v>0</v>
      </c>
      <c r="X39" s="393">
        <f t="shared" si="0"/>
        <v>0</v>
      </c>
      <c r="Y39" s="393">
        <f t="shared" si="1"/>
        <v>0</v>
      </c>
      <c r="Z39" s="430">
        <v>0</v>
      </c>
      <c r="AA39" s="430">
        <v>0</v>
      </c>
    </row>
    <row r="40" spans="1:30" s="595" customFormat="1" ht="16.5" thickBot="1">
      <c r="A40" s="680"/>
      <c r="B40" s="396" t="s">
        <v>358</v>
      </c>
      <c r="C40" s="394" t="s">
        <v>360</v>
      </c>
      <c r="D40" s="391">
        <f>774100+672000</f>
        <v>1446100</v>
      </c>
      <c r="E40" s="391">
        <f>774100+672000</f>
        <v>1446100</v>
      </c>
      <c r="F40" s="391">
        <v>241309</v>
      </c>
      <c r="G40" s="391">
        <v>241309</v>
      </c>
      <c r="H40" s="391">
        <f>374441+643916+700000+19432532+527490</f>
        <v>21678379</v>
      </c>
      <c r="I40" s="391">
        <f>374441+643916+700000+19432532+527490</f>
        <v>21678379</v>
      </c>
      <c r="J40" s="391">
        <v>0</v>
      </c>
      <c r="K40" s="391">
        <v>0</v>
      </c>
      <c r="L40" s="392">
        <v>0</v>
      </c>
      <c r="M40" s="392">
        <v>0</v>
      </c>
      <c r="N40" s="391">
        <v>0</v>
      </c>
      <c r="O40" s="391">
        <v>0</v>
      </c>
      <c r="P40" s="392">
        <v>0</v>
      </c>
      <c r="Q40" s="392">
        <v>0</v>
      </c>
      <c r="R40" s="391">
        <v>0</v>
      </c>
      <c r="S40" s="391">
        <v>0</v>
      </c>
      <c r="T40" s="440">
        <f>344000+92880</f>
        <v>436880</v>
      </c>
      <c r="U40" s="440">
        <f>344000+92880</f>
        <v>436880</v>
      </c>
      <c r="V40" s="391">
        <v>0</v>
      </c>
      <c r="W40" s="391">
        <v>0</v>
      </c>
      <c r="X40" s="393">
        <f t="shared" si="0"/>
        <v>23802668</v>
      </c>
      <c r="Y40" s="393">
        <f t="shared" si="1"/>
        <v>23802668</v>
      </c>
      <c r="Z40" s="430">
        <v>0</v>
      </c>
      <c r="AA40" s="430">
        <v>0</v>
      </c>
    </row>
    <row r="41" spans="1:30" s="595" customFormat="1" ht="16.5" thickBot="1">
      <c r="A41" s="680"/>
      <c r="B41" s="396" t="s">
        <v>359</v>
      </c>
      <c r="C41" s="394" t="s">
        <v>361</v>
      </c>
      <c r="D41" s="391">
        <f>2700000+591000</f>
        <v>3291000</v>
      </c>
      <c r="E41" s="391">
        <f>2700000+591000</f>
        <v>3291000</v>
      </c>
      <c r="F41" s="391">
        <v>565584</v>
      </c>
      <c r="G41" s="391">
        <v>565584</v>
      </c>
      <c r="H41" s="391">
        <f>168165+258889+3944697+43342</f>
        <v>4415093</v>
      </c>
      <c r="I41" s="391">
        <f>168165+258889+3944697+43342</f>
        <v>4415093</v>
      </c>
      <c r="J41" s="391">
        <v>0</v>
      </c>
      <c r="K41" s="391">
        <v>0</v>
      </c>
      <c r="L41" s="392">
        <v>0</v>
      </c>
      <c r="M41" s="392">
        <v>0</v>
      </c>
      <c r="N41" s="391">
        <v>0</v>
      </c>
      <c r="O41" s="391">
        <v>0</v>
      </c>
      <c r="P41" s="392">
        <v>0</v>
      </c>
      <c r="Q41" s="392">
        <v>0</v>
      </c>
      <c r="R41" s="391">
        <v>0</v>
      </c>
      <c r="S41" s="391">
        <v>0</v>
      </c>
      <c r="T41" s="440">
        <v>0</v>
      </c>
      <c r="U41" s="440">
        <v>0</v>
      </c>
      <c r="V41" s="391">
        <v>0</v>
      </c>
      <c r="W41" s="391">
        <v>0</v>
      </c>
      <c r="X41" s="393">
        <f t="shared" si="0"/>
        <v>8271677</v>
      </c>
      <c r="Y41" s="393">
        <f t="shared" si="1"/>
        <v>8271677</v>
      </c>
      <c r="Z41" s="430">
        <v>0</v>
      </c>
      <c r="AA41" s="430">
        <v>0</v>
      </c>
    </row>
    <row r="42" spans="1:30" ht="16.5" thickBot="1">
      <c r="A42" s="680"/>
      <c r="B42" s="228" t="s">
        <v>53</v>
      </c>
      <c r="C42" s="228"/>
      <c r="D42" s="393">
        <f>SUM(D35:D41)</f>
        <v>5600230</v>
      </c>
      <c r="E42" s="393">
        <f>SUM(E35:E41)</f>
        <v>5600230</v>
      </c>
      <c r="F42" s="393">
        <f t="shared" ref="F42:V42" si="13">SUM(F35:F41)</f>
        <v>806893</v>
      </c>
      <c r="G42" s="393">
        <f t="shared" ref="G42" si="14">SUM(G35:G41)</f>
        <v>806893</v>
      </c>
      <c r="H42" s="393">
        <f t="shared" si="13"/>
        <v>26323472</v>
      </c>
      <c r="I42" s="393">
        <f t="shared" ref="I42" si="15">SUM(I35:I41)</f>
        <v>26323472</v>
      </c>
      <c r="J42" s="393">
        <f t="shared" si="13"/>
        <v>0</v>
      </c>
      <c r="K42" s="393">
        <f t="shared" ref="K42" si="16">SUM(K35:K41)</f>
        <v>0</v>
      </c>
      <c r="L42" s="393">
        <f t="shared" si="13"/>
        <v>747000</v>
      </c>
      <c r="M42" s="393">
        <f t="shared" ref="M42" si="17">SUM(M35:M41)</f>
        <v>747000</v>
      </c>
      <c r="N42" s="393">
        <f t="shared" si="13"/>
        <v>0</v>
      </c>
      <c r="O42" s="393">
        <f t="shared" ref="O42" si="18">SUM(O35:O41)</f>
        <v>0</v>
      </c>
      <c r="P42" s="393">
        <f t="shared" si="13"/>
        <v>0</v>
      </c>
      <c r="Q42" s="393">
        <f t="shared" ref="Q42" si="19">SUM(Q35:Q41)</f>
        <v>0</v>
      </c>
      <c r="R42" s="393">
        <f t="shared" si="13"/>
        <v>0</v>
      </c>
      <c r="S42" s="393">
        <f t="shared" ref="S42" si="20">SUM(S35:S41)</f>
        <v>0</v>
      </c>
      <c r="T42" s="393">
        <f t="shared" si="13"/>
        <v>436880</v>
      </c>
      <c r="U42" s="393">
        <f t="shared" ref="U42" si="21">SUM(U35:U41)</f>
        <v>436880</v>
      </c>
      <c r="V42" s="393">
        <f t="shared" si="13"/>
        <v>0</v>
      </c>
      <c r="W42" s="393">
        <f t="shared" ref="W42" si="22">SUM(W35:W41)</f>
        <v>0</v>
      </c>
      <c r="X42" s="393">
        <f t="shared" si="0"/>
        <v>33914475</v>
      </c>
      <c r="Y42" s="393">
        <f t="shared" si="1"/>
        <v>33914475</v>
      </c>
      <c r="Z42" s="428">
        <v>0</v>
      </c>
      <c r="AA42" s="428">
        <v>0</v>
      </c>
    </row>
    <row r="43" spans="1:30" ht="16.5" thickBot="1">
      <c r="A43" s="680"/>
      <c r="B43" s="681" t="s">
        <v>54</v>
      </c>
      <c r="C43" s="682"/>
      <c r="D43" s="393">
        <f>D34+D42</f>
        <v>85892556</v>
      </c>
      <c r="E43" s="393">
        <f>E34+E42</f>
        <v>100475917</v>
      </c>
      <c r="F43" s="393">
        <f t="shared" ref="F43:V43" si="23">F34+F42</f>
        <v>14003768</v>
      </c>
      <c r="G43" s="393">
        <f t="shared" ref="G43" si="24">G34+G42</f>
        <v>15335901</v>
      </c>
      <c r="H43" s="393">
        <f t="shared" si="23"/>
        <v>108751841</v>
      </c>
      <c r="I43" s="393">
        <f t="shared" ref="I43" si="25">I34+I42</f>
        <v>181168683</v>
      </c>
      <c r="J43" s="393">
        <f t="shared" si="23"/>
        <v>95507898</v>
      </c>
      <c r="K43" s="393">
        <f t="shared" ref="K43" si="26">K34+K42</f>
        <v>96677091</v>
      </c>
      <c r="L43" s="533">
        <f t="shared" si="23"/>
        <v>3147000</v>
      </c>
      <c r="M43" s="533">
        <f t="shared" ref="M43" si="27">M34+M42</f>
        <v>3147000</v>
      </c>
      <c r="N43" s="393">
        <f t="shared" si="23"/>
        <v>98896424</v>
      </c>
      <c r="O43" s="393">
        <f t="shared" ref="O43" si="28">O34+O42</f>
        <v>96983663</v>
      </c>
      <c r="P43" s="533">
        <f t="shared" si="23"/>
        <v>10751039</v>
      </c>
      <c r="Q43" s="533">
        <f t="shared" ref="Q43" si="29">Q34+Q42</f>
        <v>10997076</v>
      </c>
      <c r="R43" s="393">
        <f t="shared" si="23"/>
        <v>0</v>
      </c>
      <c r="S43" s="393">
        <f t="shared" ref="S43" si="30">S34+S42</f>
        <v>0</v>
      </c>
      <c r="T43" s="393">
        <f t="shared" si="23"/>
        <v>12554244</v>
      </c>
      <c r="U43" s="393">
        <f t="shared" ref="U43" si="31">U34+U42</f>
        <v>245952376</v>
      </c>
      <c r="V43" s="393">
        <f t="shared" si="23"/>
        <v>46420058</v>
      </c>
      <c r="W43" s="393">
        <f t="shared" ref="W43" si="32">W34+W42</f>
        <v>199709812</v>
      </c>
      <c r="X43" s="393">
        <f t="shared" si="0"/>
        <v>475924828</v>
      </c>
      <c r="Y43" s="393">
        <f t="shared" si="1"/>
        <v>950447519</v>
      </c>
      <c r="Z43" s="428">
        <f>SUM(Z34,Z42)</f>
        <v>47</v>
      </c>
      <c r="AA43" s="428">
        <f>SUM(AA34,AA42)</f>
        <v>40</v>
      </c>
    </row>
    <row r="44" spans="1:30" ht="37.9" customHeight="1" thickBot="1">
      <c r="A44" s="680" t="s">
        <v>39</v>
      </c>
      <c r="B44" s="256" t="s">
        <v>221</v>
      </c>
      <c r="C44" s="395" t="s">
        <v>264</v>
      </c>
      <c r="D44" s="391">
        <f>65279912+3200000+3491088+450000+126000</f>
        <v>72547000</v>
      </c>
      <c r="E44" s="391">
        <f>65279912+3200000+3491088+450000+126000</f>
        <v>72547000</v>
      </c>
      <c r="F44" s="391">
        <f>373063+12441212</f>
        <v>12814275</v>
      </c>
      <c r="G44" s="391">
        <f>373063+12441212</f>
        <v>12814275</v>
      </c>
      <c r="H44" s="391">
        <v>14100000</v>
      </c>
      <c r="I44" s="391">
        <v>13518212</v>
      </c>
      <c r="J44" s="391">
        <v>0</v>
      </c>
      <c r="K44" s="391">
        <v>0</v>
      </c>
      <c r="L44" s="392">
        <v>0</v>
      </c>
      <c r="M44" s="392">
        <v>0</v>
      </c>
      <c r="N44" s="391">
        <v>0</v>
      </c>
      <c r="O44" s="391">
        <v>0</v>
      </c>
      <c r="P44" s="392">
        <v>0</v>
      </c>
      <c r="Q44" s="392">
        <v>0</v>
      </c>
      <c r="R44" s="391"/>
      <c r="S44" s="391"/>
      <c r="T44" s="391">
        <v>381000</v>
      </c>
      <c r="U44" s="391">
        <v>421513</v>
      </c>
      <c r="V44" s="391">
        <v>0</v>
      </c>
      <c r="W44" s="391">
        <v>0</v>
      </c>
      <c r="X44" s="393">
        <f t="shared" si="0"/>
        <v>99842275</v>
      </c>
      <c r="Y44" s="393">
        <f t="shared" si="1"/>
        <v>99301000</v>
      </c>
      <c r="Z44" s="429">
        <v>17</v>
      </c>
      <c r="AA44" s="429">
        <v>17</v>
      </c>
    </row>
    <row r="45" spans="1:30" ht="22.5" customHeight="1" thickBot="1">
      <c r="A45" s="680"/>
      <c r="B45" s="534" t="s">
        <v>358</v>
      </c>
      <c r="C45" s="394" t="s">
        <v>360</v>
      </c>
      <c r="D45" s="391">
        <f>100000+902000</f>
        <v>1002000</v>
      </c>
      <c r="E45" s="391">
        <v>1083275</v>
      </c>
      <c r="F45" s="391">
        <v>157850</v>
      </c>
      <c r="G45" s="391">
        <v>157850</v>
      </c>
      <c r="H45" s="391">
        <v>0</v>
      </c>
      <c r="I45" s="391">
        <v>0</v>
      </c>
      <c r="J45" s="391">
        <v>0</v>
      </c>
      <c r="K45" s="391">
        <v>0</v>
      </c>
      <c r="L45" s="391">
        <v>0</v>
      </c>
      <c r="M45" s="391">
        <v>0</v>
      </c>
      <c r="N45" s="391">
        <v>0</v>
      </c>
      <c r="O45" s="391">
        <v>0</v>
      </c>
      <c r="P45" s="391">
        <v>0</v>
      </c>
      <c r="Q45" s="391">
        <v>0</v>
      </c>
      <c r="R45" s="391">
        <v>0</v>
      </c>
      <c r="S45" s="391">
        <v>0</v>
      </c>
      <c r="T45" s="391">
        <v>0</v>
      </c>
      <c r="U45" s="391">
        <v>0</v>
      </c>
      <c r="V45" s="391">
        <v>0</v>
      </c>
      <c r="W45" s="391">
        <v>0</v>
      </c>
      <c r="X45" s="393">
        <f t="shared" si="0"/>
        <v>1159850</v>
      </c>
      <c r="Y45" s="393">
        <f t="shared" si="1"/>
        <v>1241125</v>
      </c>
      <c r="Z45" s="429">
        <v>0</v>
      </c>
      <c r="AA45" s="429">
        <v>0</v>
      </c>
    </row>
    <row r="46" spans="1:30" ht="39" customHeight="1" thickBot="1">
      <c r="A46" s="680"/>
      <c r="B46" s="535" t="s">
        <v>371</v>
      </c>
      <c r="C46" s="394" t="s">
        <v>361</v>
      </c>
      <c r="D46" s="391">
        <f>1365000+90000</f>
        <v>1455000</v>
      </c>
      <c r="E46" s="391">
        <v>1910000</v>
      </c>
      <c r="F46" s="391">
        <v>238875</v>
      </c>
      <c r="G46" s="391">
        <v>243875</v>
      </c>
      <c r="H46" s="391">
        <v>0</v>
      </c>
      <c r="I46" s="391">
        <v>0</v>
      </c>
      <c r="J46" s="391">
        <v>0</v>
      </c>
      <c r="K46" s="391">
        <v>0</v>
      </c>
      <c r="L46" s="391">
        <v>0</v>
      </c>
      <c r="M46" s="391">
        <v>0</v>
      </c>
      <c r="N46" s="391">
        <v>0</v>
      </c>
      <c r="O46" s="391">
        <v>0</v>
      </c>
      <c r="P46" s="391">
        <v>0</v>
      </c>
      <c r="Q46" s="391">
        <v>0</v>
      </c>
      <c r="R46" s="391">
        <v>0</v>
      </c>
      <c r="S46" s="391">
        <v>0</v>
      </c>
      <c r="T46" s="391">
        <v>0</v>
      </c>
      <c r="U46" s="391">
        <v>0</v>
      </c>
      <c r="V46" s="391">
        <v>0</v>
      </c>
      <c r="W46" s="391">
        <v>0</v>
      </c>
      <c r="X46" s="393">
        <f t="shared" si="0"/>
        <v>1693875</v>
      </c>
      <c r="Y46" s="393">
        <f t="shared" si="1"/>
        <v>2153875</v>
      </c>
      <c r="Z46" s="429">
        <v>0</v>
      </c>
      <c r="AA46" s="429">
        <v>0</v>
      </c>
    </row>
    <row r="47" spans="1:30" ht="16.5" thickBot="1">
      <c r="A47" s="680"/>
      <c r="B47" s="681" t="s">
        <v>55</v>
      </c>
      <c r="C47" s="682"/>
      <c r="D47" s="393">
        <f>+D44+D45+D46</f>
        <v>75004000</v>
      </c>
      <c r="E47" s="393">
        <f>+E44+E45+E46</f>
        <v>75540275</v>
      </c>
      <c r="F47" s="393">
        <f t="shared" ref="F47:V47" si="33">+F44+F45+F46</f>
        <v>13211000</v>
      </c>
      <c r="G47" s="393">
        <f t="shared" ref="G47" si="34">+G44+G45+G46</f>
        <v>13216000</v>
      </c>
      <c r="H47" s="393">
        <f t="shared" si="33"/>
        <v>14100000</v>
      </c>
      <c r="I47" s="393">
        <f t="shared" ref="I47" si="35">+I44+I45+I46</f>
        <v>13518212</v>
      </c>
      <c r="J47" s="393">
        <f t="shared" si="33"/>
        <v>0</v>
      </c>
      <c r="K47" s="393">
        <f t="shared" ref="K47" si="36">+K44+K45+K46</f>
        <v>0</v>
      </c>
      <c r="L47" s="393">
        <f t="shared" si="33"/>
        <v>0</v>
      </c>
      <c r="M47" s="393">
        <f t="shared" ref="M47" si="37">+M44+M45+M46</f>
        <v>0</v>
      </c>
      <c r="N47" s="393">
        <f t="shared" si="33"/>
        <v>0</v>
      </c>
      <c r="O47" s="393">
        <f t="shared" ref="O47" si="38">+O44+O45+O46</f>
        <v>0</v>
      </c>
      <c r="P47" s="393">
        <f t="shared" si="33"/>
        <v>0</v>
      </c>
      <c r="Q47" s="393">
        <f t="shared" ref="Q47" si="39">+Q44+Q45+Q46</f>
        <v>0</v>
      </c>
      <c r="R47" s="393">
        <f t="shared" si="33"/>
        <v>0</v>
      </c>
      <c r="S47" s="393">
        <f t="shared" ref="S47" si="40">+S44+S45+S46</f>
        <v>0</v>
      </c>
      <c r="T47" s="393">
        <f t="shared" si="33"/>
        <v>381000</v>
      </c>
      <c r="U47" s="393">
        <f t="shared" ref="U47" si="41">+U44+U45+U46</f>
        <v>421513</v>
      </c>
      <c r="V47" s="393">
        <f t="shared" si="33"/>
        <v>0</v>
      </c>
      <c r="W47" s="393">
        <f t="shared" ref="W47" si="42">+W44+W45+W46</f>
        <v>0</v>
      </c>
      <c r="X47" s="393">
        <f t="shared" si="0"/>
        <v>102696000</v>
      </c>
      <c r="Y47" s="393">
        <f t="shared" si="1"/>
        <v>102696000</v>
      </c>
      <c r="Z47" s="428">
        <v>17</v>
      </c>
      <c r="AA47" s="428">
        <v>17</v>
      </c>
    </row>
    <row r="48" spans="1:30" ht="18.95" customHeight="1" thickBot="1">
      <c r="A48" s="680" t="s">
        <v>41</v>
      </c>
      <c r="B48" s="253" t="s">
        <v>285</v>
      </c>
      <c r="C48" s="227" t="s">
        <v>287</v>
      </c>
      <c r="D48" s="391">
        <v>2855400</v>
      </c>
      <c r="E48" s="391">
        <v>2885475</v>
      </c>
      <c r="F48" s="391">
        <v>405195</v>
      </c>
      <c r="G48" s="391">
        <v>405195</v>
      </c>
      <c r="H48" s="391">
        <f>35000+950000+50000+100000+2300000+300000+10000+2900000+60000+1600000+60000</f>
        <v>8365000</v>
      </c>
      <c r="I48" s="391">
        <v>8031800</v>
      </c>
      <c r="J48" s="391">
        <v>120000</v>
      </c>
      <c r="K48" s="391">
        <v>120000</v>
      </c>
      <c r="L48" s="392">
        <v>0</v>
      </c>
      <c r="M48" s="392">
        <v>0</v>
      </c>
      <c r="N48" s="391">
        <v>0</v>
      </c>
      <c r="O48" s="391">
        <v>0</v>
      </c>
      <c r="P48" s="392">
        <v>0</v>
      </c>
      <c r="Q48" s="392">
        <v>0</v>
      </c>
      <c r="R48" s="391"/>
      <c r="S48" s="391"/>
      <c r="T48" s="391">
        <v>0</v>
      </c>
      <c r="U48" s="391">
        <v>0</v>
      </c>
      <c r="V48" s="391">
        <v>0</v>
      </c>
      <c r="W48" s="391">
        <v>273050</v>
      </c>
      <c r="X48" s="393">
        <f>+V48+T47:T48+R48+P48+N48+L48+J48+H48+F48+D48</f>
        <v>11745595</v>
      </c>
      <c r="Y48" s="393">
        <f t="shared" si="1"/>
        <v>11715520</v>
      </c>
      <c r="Z48" s="429">
        <v>3</v>
      </c>
      <c r="AA48" s="429">
        <v>3</v>
      </c>
    </row>
    <row r="49" spans="1:28" ht="30.75" customHeight="1" thickBot="1">
      <c r="A49" s="680"/>
      <c r="B49" s="530" t="s">
        <v>486</v>
      </c>
      <c r="C49" s="531" t="s">
        <v>487</v>
      </c>
      <c r="D49" s="391">
        <v>0</v>
      </c>
      <c r="E49" s="391">
        <v>0</v>
      </c>
      <c r="F49" s="391">
        <v>0</v>
      </c>
      <c r="G49" s="391">
        <v>0</v>
      </c>
      <c r="H49" s="391">
        <f>200000+100000+200000+50000</f>
        <v>550000</v>
      </c>
      <c r="I49" s="391">
        <f>200000+100000+200000+50000</f>
        <v>550000</v>
      </c>
      <c r="J49" s="391">
        <v>0</v>
      </c>
      <c r="K49" s="391">
        <v>0</v>
      </c>
      <c r="L49" s="391">
        <v>0</v>
      </c>
      <c r="M49" s="391">
        <v>0</v>
      </c>
      <c r="N49" s="391">
        <v>0</v>
      </c>
      <c r="O49" s="391">
        <v>0</v>
      </c>
      <c r="P49" s="391">
        <v>0</v>
      </c>
      <c r="Q49" s="391">
        <v>0</v>
      </c>
      <c r="R49" s="391">
        <v>0</v>
      </c>
      <c r="S49" s="391">
        <v>0</v>
      </c>
      <c r="T49" s="391">
        <v>0</v>
      </c>
      <c r="U49" s="391">
        <v>0</v>
      </c>
      <c r="V49" s="391">
        <v>0</v>
      </c>
      <c r="W49" s="391">
        <v>0</v>
      </c>
      <c r="X49" s="393">
        <f t="shared" si="0"/>
        <v>550000</v>
      </c>
      <c r="Y49" s="393">
        <f t="shared" si="1"/>
        <v>550000</v>
      </c>
      <c r="Z49" s="429">
        <v>0</v>
      </c>
      <c r="AA49" s="429">
        <v>0</v>
      </c>
    </row>
    <row r="50" spans="1:28" ht="18.95" customHeight="1" thickBot="1">
      <c r="A50" s="680"/>
      <c r="B50" s="530" t="s">
        <v>488</v>
      </c>
      <c r="C50" s="449" t="s">
        <v>489</v>
      </c>
      <c r="D50" s="391">
        <f>420000+3511200</f>
        <v>3931200</v>
      </c>
      <c r="E50" s="391">
        <v>3961275</v>
      </c>
      <c r="F50" s="391">
        <v>614460</v>
      </c>
      <c r="G50" s="391">
        <v>614460</v>
      </c>
      <c r="H50" s="391">
        <f>50000+50000</f>
        <v>100000</v>
      </c>
      <c r="I50" s="391">
        <f>50000+50000</f>
        <v>100000</v>
      </c>
      <c r="J50" s="391">
        <v>0</v>
      </c>
      <c r="K50" s="391">
        <v>0</v>
      </c>
      <c r="L50" s="391">
        <v>0</v>
      </c>
      <c r="M50" s="391">
        <v>0</v>
      </c>
      <c r="N50" s="391">
        <v>0</v>
      </c>
      <c r="O50" s="391">
        <v>0</v>
      </c>
      <c r="P50" s="391">
        <v>0</v>
      </c>
      <c r="Q50" s="391">
        <v>0</v>
      </c>
      <c r="R50" s="391">
        <v>0</v>
      </c>
      <c r="S50" s="391">
        <v>0</v>
      </c>
      <c r="T50" s="391">
        <v>0</v>
      </c>
      <c r="U50" s="391">
        <v>0</v>
      </c>
      <c r="V50" s="391">
        <v>0</v>
      </c>
      <c r="W50" s="391">
        <v>0</v>
      </c>
      <c r="X50" s="393">
        <f t="shared" si="0"/>
        <v>4645660</v>
      </c>
      <c r="Y50" s="393">
        <f t="shared" si="1"/>
        <v>4675735</v>
      </c>
      <c r="Z50" s="429">
        <v>0</v>
      </c>
      <c r="AA50" s="429">
        <v>0</v>
      </c>
    </row>
    <row r="51" spans="1:28" ht="32.25" customHeight="1" thickBot="1">
      <c r="A51" s="680"/>
      <c r="B51" s="530" t="s">
        <v>490</v>
      </c>
      <c r="C51" s="531" t="s">
        <v>491</v>
      </c>
      <c r="D51" s="391">
        <v>0</v>
      </c>
      <c r="E51" s="391">
        <v>0</v>
      </c>
      <c r="F51" s="391">
        <v>0</v>
      </c>
      <c r="G51" s="391">
        <v>0</v>
      </c>
      <c r="H51" s="391">
        <v>0</v>
      </c>
      <c r="I51" s="391">
        <v>0</v>
      </c>
      <c r="J51" s="391">
        <v>0</v>
      </c>
      <c r="K51" s="391">
        <v>0</v>
      </c>
      <c r="L51" s="391">
        <v>0</v>
      </c>
      <c r="M51" s="391">
        <v>0</v>
      </c>
      <c r="N51" s="391">
        <v>0</v>
      </c>
      <c r="O51" s="391">
        <v>0</v>
      </c>
      <c r="P51" s="391">
        <v>0</v>
      </c>
      <c r="Q51" s="391">
        <v>0</v>
      </c>
      <c r="R51" s="391">
        <v>0</v>
      </c>
      <c r="S51" s="391">
        <v>0</v>
      </c>
      <c r="T51" s="391">
        <v>0</v>
      </c>
      <c r="U51" s="391">
        <v>0</v>
      </c>
      <c r="V51" s="391">
        <v>0</v>
      </c>
      <c r="W51" s="391">
        <v>0</v>
      </c>
      <c r="X51" s="393">
        <f t="shared" si="0"/>
        <v>0</v>
      </c>
      <c r="Y51" s="393">
        <f t="shared" si="1"/>
        <v>0</v>
      </c>
      <c r="Z51" s="429">
        <v>0</v>
      </c>
      <c r="AA51" s="429">
        <v>0</v>
      </c>
    </row>
    <row r="52" spans="1:28" ht="22.5" customHeight="1" thickBot="1">
      <c r="A52" s="680"/>
      <c r="B52" s="681" t="s">
        <v>286</v>
      </c>
      <c r="C52" s="682"/>
      <c r="D52" s="393">
        <f>SUM(+D48+D49+D50+D51)</f>
        <v>6786600</v>
      </c>
      <c r="E52" s="393">
        <f>SUM(+E48+E49+E50+E51)</f>
        <v>6846750</v>
      </c>
      <c r="F52" s="393">
        <f t="shared" ref="F52:V52" si="43">SUM(+F48+F49+F50+F51)</f>
        <v>1019655</v>
      </c>
      <c r="G52" s="393">
        <f t="shared" ref="G52" si="44">SUM(+G48+G49+G50+G51)</f>
        <v>1019655</v>
      </c>
      <c r="H52" s="393">
        <f t="shared" si="43"/>
        <v>9015000</v>
      </c>
      <c r="I52" s="393">
        <f t="shared" ref="I52" si="45">SUM(+I48+I49+I50+I51)</f>
        <v>8681800</v>
      </c>
      <c r="J52" s="393">
        <f t="shared" si="43"/>
        <v>120000</v>
      </c>
      <c r="K52" s="393">
        <f t="shared" ref="K52" si="46">SUM(+K48+K49+K50+K51)</f>
        <v>120000</v>
      </c>
      <c r="L52" s="393">
        <f t="shared" si="43"/>
        <v>0</v>
      </c>
      <c r="M52" s="393">
        <f t="shared" ref="M52" si="47">SUM(+M48+M49+M50+M51)</f>
        <v>0</v>
      </c>
      <c r="N52" s="393">
        <f t="shared" si="43"/>
        <v>0</v>
      </c>
      <c r="O52" s="393">
        <f t="shared" ref="O52" si="48">SUM(+O48+O49+O50+O51)</f>
        <v>0</v>
      </c>
      <c r="P52" s="393">
        <f t="shared" si="43"/>
        <v>0</v>
      </c>
      <c r="Q52" s="393">
        <f t="shared" ref="Q52" si="49">SUM(+Q48+Q49+Q50+Q51)</f>
        <v>0</v>
      </c>
      <c r="R52" s="393">
        <f t="shared" si="43"/>
        <v>0</v>
      </c>
      <c r="S52" s="393">
        <f t="shared" ref="S52" si="50">SUM(+S48+S49+S50+S51)</f>
        <v>0</v>
      </c>
      <c r="T52" s="393">
        <f t="shared" si="43"/>
        <v>0</v>
      </c>
      <c r="U52" s="393">
        <f t="shared" ref="U52" si="51">SUM(+U48+U49+U50+U51)</f>
        <v>0</v>
      </c>
      <c r="V52" s="393">
        <f t="shared" si="43"/>
        <v>0</v>
      </c>
      <c r="W52" s="393">
        <f t="shared" ref="W52" si="52">SUM(+W48+W49+W50+W51)</f>
        <v>273050</v>
      </c>
      <c r="X52" s="393">
        <f t="shared" si="0"/>
        <v>16941255</v>
      </c>
      <c r="Y52" s="393">
        <f t="shared" si="1"/>
        <v>16941255</v>
      </c>
      <c r="Z52" s="428">
        <v>3</v>
      </c>
      <c r="AA52" s="428">
        <v>3</v>
      </c>
    </row>
    <row r="53" spans="1:28" ht="15.75" customHeight="1" thickBot="1">
      <c r="A53" s="479"/>
      <c r="B53" s="496" t="s">
        <v>420</v>
      </c>
      <c r="C53" s="395" t="s">
        <v>421</v>
      </c>
      <c r="D53" s="391">
        <v>0</v>
      </c>
      <c r="E53" s="391">
        <v>0</v>
      </c>
      <c r="F53" s="391">
        <v>0</v>
      </c>
      <c r="G53" s="391">
        <v>0</v>
      </c>
      <c r="H53" s="391">
        <f>930000+60000</f>
        <v>990000</v>
      </c>
      <c r="I53" s="391">
        <f>930000+60000</f>
        <v>990000</v>
      </c>
      <c r="J53" s="391">
        <v>0</v>
      </c>
      <c r="K53" s="391">
        <v>0</v>
      </c>
      <c r="L53" s="391">
        <v>0</v>
      </c>
      <c r="M53" s="391">
        <v>0</v>
      </c>
      <c r="N53" s="391">
        <v>0</v>
      </c>
      <c r="O53" s="391">
        <v>0</v>
      </c>
      <c r="P53" s="391">
        <v>0</v>
      </c>
      <c r="Q53" s="391">
        <v>0</v>
      </c>
      <c r="R53" s="391">
        <v>0</v>
      </c>
      <c r="S53" s="391">
        <v>0</v>
      </c>
      <c r="T53" s="391">
        <v>0</v>
      </c>
      <c r="U53" s="391">
        <v>0</v>
      </c>
      <c r="V53" s="391">
        <v>0</v>
      </c>
      <c r="W53" s="391">
        <v>0</v>
      </c>
      <c r="X53" s="393">
        <f t="shared" si="0"/>
        <v>990000</v>
      </c>
      <c r="Y53" s="393">
        <f t="shared" si="1"/>
        <v>990000</v>
      </c>
      <c r="Z53" s="429"/>
      <c r="AA53" s="429"/>
    </row>
    <row r="54" spans="1:28" ht="15.75" customHeight="1" thickBot="1">
      <c r="A54" s="680" t="s">
        <v>43</v>
      </c>
      <c r="B54" s="496" t="s">
        <v>290</v>
      </c>
      <c r="C54" s="395" t="s">
        <v>288</v>
      </c>
      <c r="D54" s="391">
        <v>3642400</v>
      </c>
      <c r="E54" s="391">
        <v>3672475</v>
      </c>
      <c r="F54" s="391">
        <v>619920</v>
      </c>
      <c r="G54" s="391">
        <v>619920</v>
      </c>
      <c r="H54" s="391">
        <f>2460000-990000</f>
        <v>1470000</v>
      </c>
      <c r="I54" s="391">
        <v>1439925</v>
      </c>
      <c r="J54" s="391">
        <v>0</v>
      </c>
      <c r="K54" s="391">
        <v>0</v>
      </c>
      <c r="L54" s="392">
        <v>0</v>
      </c>
      <c r="M54" s="392">
        <v>0</v>
      </c>
      <c r="N54" s="391">
        <v>0</v>
      </c>
      <c r="O54" s="391">
        <v>0</v>
      </c>
      <c r="P54" s="392">
        <v>0</v>
      </c>
      <c r="Q54" s="392">
        <v>0</v>
      </c>
      <c r="R54" s="391"/>
      <c r="S54" s="391"/>
      <c r="T54" s="391">
        <v>50800</v>
      </c>
      <c r="U54" s="391">
        <v>50800</v>
      </c>
      <c r="V54" s="391">
        <v>0</v>
      </c>
      <c r="W54" s="391">
        <v>0</v>
      </c>
      <c r="X54" s="393">
        <f t="shared" si="0"/>
        <v>5783120</v>
      </c>
      <c r="Y54" s="393">
        <f t="shared" si="1"/>
        <v>5783120</v>
      </c>
      <c r="Z54" s="429">
        <v>1</v>
      </c>
      <c r="AA54" s="429">
        <v>1</v>
      </c>
    </row>
    <row r="55" spans="1:28" ht="21" customHeight="1" thickBot="1">
      <c r="A55" s="680"/>
      <c r="B55" s="681" t="s">
        <v>289</v>
      </c>
      <c r="C55" s="682"/>
      <c r="D55" s="393">
        <f>SUM(D53:D54)</f>
        <v>3642400</v>
      </c>
      <c r="E55" s="393">
        <f>SUM(E53:E54)</f>
        <v>3672475</v>
      </c>
      <c r="F55" s="393">
        <f t="shared" ref="F55:V55" si="53">SUM(F53:F54)</f>
        <v>619920</v>
      </c>
      <c r="G55" s="393">
        <f t="shared" ref="G55" si="54">SUM(G53:G54)</f>
        <v>619920</v>
      </c>
      <c r="H55" s="393">
        <f t="shared" si="53"/>
        <v>2460000</v>
      </c>
      <c r="I55" s="393">
        <f t="shared" ref="I55" si="55">SUM(I53:I54)</f>
        <v>2429925</v>
      </c>
      <c r="J55" s="393">
        <f t="shared" si="53"/>
        <v>0</v>
      </c>
      <c r="K55" s="393">
        <f t="shared" ref="K55" si="56">SUM(K53:K54)</f>
        <v>0</v>
      </c>
      <c r="L55" s="393">
        <f t="shared" si="53"/>
        <v>0</v>
      </c>
      <c r="M55" s="393">
        <f t="shared" ref="M55" si="57">SUM(M53:M54)</f>
        <v>0</v>
      </c>
      <c r="N55" s="393">
        <f t="shared" si="53"/>
        <v>0</v>
      </c>
      <c r="O55" s="393">
        <f t="shared" ref="O55" si="58">SUM(O53:O54)</f>
        <v>0</v>
      </c>
      <c r="P55" s="393">
        <f t="shared" si="53"/>
        <v>0</v>
      </c>
      <c r="Q55" s="393">
        <f t="shared" ref="Q55" si="59">SUM(Q53:Q54)</f>
        <v>0</v>
      </c>
      <c r="R55" s="393">
        <f t="shared" si="53"/>
        <v>0</v>
      </c>
      <c r="S55" s="393">
        <f t="shared" ref="S55" si="60">SUM(S53:S54)</f>
        <v>0</v>
      </c>
      <c r="T55" s="393">
        <f t="shared" si="53"/>
        <v>50800</v>
      </c>
      <c r="U55" s="393">
        <f t="shared" ref="U55" si="61">SUM(U53:U54)</f>
        <v>50800</v>
      </c>
      <c r="V55" s="393">
        <f t="shared" si="53"/>
        <v>0</v>
      </c>
      <c r="W55" s="393">
        <f t="shared" ref="W55" si="62">SUM(W53:W54)</f>
        <v>0</v>
      </c>
      <c r="X55" s="393">
        <f t="shared" si="0"/>
        <v>6773120</v>
      </c>
      <c r="Y55" s="393">
        <f t="shared" si="1"/>
        <v>6773120</v>
      </c>
      <c r="Z55" s="428">
        <v>1</v>
      </c>
      <c r="AA55" s="428">
        <v>1</v>
      </c>
    </row>
    <row r="56" spans="1:28" ht="21" customHeight="1" thickBot="1">
      <c r="A56" s="683" t="s">
        <v>211</v>
      </c>
      <c r="B56" s="257" t="s">
        <v>291</v>
      </c>
      <c r="C56" s="258" t="s">
        <v>281</v>
      </c>
      <c r="D56" s="425">
        <f>50000+12930925</f>
        <v>12980925</v>
      </c>
      <c r="E56" s="425">
        <v>13101225</v>
      </c>
      <c r="F56" s="425">
        <v>2262912</v>
      </c>
      <c r="G56" s="425">
        <v>2262912</v>
      </c>
      <c r="H56" s="425">
        <f>20000+100000+500000+120000+100000+20000+100000</f>
        <v>960000</v>
      </c>
      <c r="I56" s="425">
        <f>20000+100000+500000+120000+100000+20000+100000</f>
        <v>960000</v>
      </c>
      <c r="J56" s="425">
        <v>0</v>
      </c>
      <c r="K56" s="425">
        <v>0</v>
      </c>
      <c r="L56" s="426">
        <v>0</v>
      </c>
      <c r="M56" s="426">
        <v>0</v>
      </c>
      <c r="N56" s="425">
        <v>0</v>
      </c>
      <c r="O56" s="425">
        <v>0</v>
      </c>
      <c r="P56" s="426">
        <v>0</v>
      </c>
      <c r="Q56" s="426">
        <v>0</v>
      </c>
      <c r="R56" s="391">
        <v>0</v>
      </c>
      <c r="S56" s="391">
        <v>0</v>
      </c>
      <c r="T56" s="425">
        <f>160000+45000</f>
        <v>205000</v>
      </c>
      <c r="U56" s="425">
        <f>160000+45000</f>
        <v>205000</v>
      </c>
      <c r="V56" s="425">
        <v>0</v>
      </c>
      <c r="W56" s="425">
        <v>0</v>
      </c>
      <c r="X56" s="393">
        <f t="shared" si="0"/>
        <v>16408837</v>
      </c>
      <c r="Y56" s="393">
        <f t="shared" si="1"/>
        <v>16529137</v>
      </c>
      <c r="Z56" s="427">
        <v>4</v>
      </c>
      <c r="AA56" s="427">
        <v>4</v>
      </c>
    </row>
    <row r="57" spans="1:28" ht="21" customHeight="1" thickBot="1">
      <c r="A57" s="684"/>
      <c r="B57" s="257" t="s">
        <v>292</v>
      </c>
      <c r="C57" s="258" t="s">
        <v>282</v>
      </c>
      <c r="D57" s="425">
        <f>200000+6693413+50000</f>
        <v>6943413</v>
      </c>
      <c r="E57" s="425">
        <v>6973488</v>
      </c>
      <c r="F57" s="425">
        <v>1171347</v>
      </c>
      <c r="G57" s="425">
        <v>1171347</v>
      </c>
      <c r="H57" s="425">
        <f>60000+50000+40000+450000+20000+50000+40000+250000</f>
        <v>960000</v>
      </c>
      <c r="I57" s="425">
        <f>60000+50000+40000+450000+20000+50000+40000+250000</f>
        <v>960000</v>
      </c>
      <c r="J57" s="425">
        <v>0</v>
      </c>
      <c r="K57" s="425">
        <v>0</v>
      </c>
      <c r="L57" s="426">
        <v>0</v>
      </c>
      <c r="M57" s="426">
        <v>0</v>
      </c>
      <c r="N57" s="425">
        <v>0</v>
      </c>
      <c r="O57" s="425">
        <v>0</v>
      </c>
      <c r="P57" s="426">
        <v>0</v>
      </c>
      <c r="Q57" s="426">
        <v>0</v>
      </c>
      <c r="R57" s="391">
        <v>0</v>
      </c>
      <c r="S57" s="391">
        <v>0</v>
      </c>
      <c r="T57" s="425">
        <v>0</v>
      </c>
      <c r="U57" s="425">
        <v>0</v>
      </c>
      <c r="V57" s="425">
        <v>0</v>
      </c>
      <c r="W57" s="425">
        <v>0</v>
      </c>
      <c r="X57" s="393">
        <f t="shared" si="0"/>
        <v>9074760</v>
      </c>
      <c r="Y57" s="393">
        <f t="shared" si="1"/>
        <v>9104835</v>
      </c>
      <c r="Z57" s="427">
        <v>2</v>
      </c>
      <c r="AA57" s="427">
        <v>2</v>
      </c>
    </row>
    <row r="58" spans="1:28" ht="21" customHeight="1" thickBot="1">
      <c r="A58" s="684"/>
      <c r="B58" s="257" t="s">
        <v>293</v>
      </c>
      <c r="C58" s="258" t="s">
        <v>283</v>
      </c>
      <c r="D58" s="425">
        <f>447000+4738892+50000+50000</f>
        <v>5285892</v>
      </c>
      <c r="E58" s="425">
        <v>10548467</v>
      </c>
      <c r="F58" s="425">
        <f>829306+78225</f>
        <v>907531</v>
      </c>
      <c r="G58" s="425">
        <v>1823219</v>
      </c>
      <c r="H58" s="425">
        <f>140000+900000+80000+20000+450000+150000+50000+660000+50000+80000+600000</f>
        <v>3180000</v>
      </c>
      <c r="I58" s="425">
        <v>3089507</v>
      </c>
      <c r="J58" s="425">
        <v>0</v>
      </c>
      <c r="K58" s="425">
        <v>0</v>
      </c>
      <c r="L58" s="426">
        <v>0</v>
      </c>
      <c r="M58" s="426">
        <v>0</v>
      </c>
      <c r="N58" s="425">
        <v>0</v>
      </c>
      <c r="O58" s="425">
        <v>0</v>
      </c>
      <c r="P58" s="426">
        <v>0</v>
      </c>
      <c r="Q58" s="426">
        <v>0</v>
      </c>
      <c r="R58" s="391">
        <v>0</v>
      </c>
      <c r="S58" s="391">
        <v>0</v>
      </c>
      <c r="T58" s="425">
        <f>45000+160000</f>
        <v>205000</v>
      </c>
      <c r="U58" s="425">
        <f>45000+160000</f>
        <v>205000</v>
      </c>
      <c r="V58" s="425">
        <v>0</v>
      </c>
      <c r="W58" s="425">
        <v>0</v>
      </c>
      <c r="X58" s="393">
        <f t="shared" si="0"/>
        <v>9578423</v>
      </c>
      <c r="Y58" s="393">
        <f t="shared" si="1"/>
        <v>15666193</v>
      </c>
      <c r="Z58" s="427">
        <v>2</v>
      </c>
      <c r="AA58" s="427">
        <f>2+4</f>
        <v>6</v>
      </c>
      <c r="AB58" s="37" t="s">
        <v>638</v>
      </c>
    </row>
    <row r="59" spans="1:28" ht="40.5" customHeight="1" thickBot="1">
      <c r="A59" s="684"/>
      <c r="B59" s="257" t="s">
        <v>492</v>
      </c>
      <c r="C59" s="532" t="s">
        <v>493</v>
      </c>
      <c r="D59" s="391">
        <v>0</v>
      </c>
      <c r="E59" s="391">
        <v>0</v>
      </c>
      <c r="F59" s="391">
        <v>0</v>
      </c>
      <c r="G59" s="391">
        <v>0</v>
      </c>
      <c r="H59" s="425">
        <f>250000+20000+800000</f>
        <v>1070000</v>
      </c>
      <c r="I59" s="425">
        <f>250000+20000+800000</f>
        <v>1070000</v>
      </c>
      <c r="J59" s="391">
        <v>0</v>
      </c>
      <c r="K59" s="391">
        <v>0</v>
      </c>
      <c r="L59" s="391">
        <v>0</v>
      </c>
      <c r="M59" s="391">
        <v>0</v>
      </c>
      <c r="N59" s="391">
        <v>0</v>
      </c>
      <c r="O59" s="391">
        <v>0</v>
      </c>
      <c r="P59" s="391">
        <v>0</v>
      </c>
      <c r="Q59" s="391">
        <v>0</v>
      </c>
      <c r="R59" s="391">
        <v>0</v>
      </c>
      <c r="S59" s="391">
        <v>0</v>
      </c>
      <c r="T59" s="391">
        <v>0</v>
      </c>
      <c r="U59" s="391">
        <v>0</v>
      </c>
      <c r="V59" s="391">
        <v>0</v>
      </c>
      <c r="W59" s="391">
        <v>0</v>
      </c>
      <c r="X59" s="393">
        <f t="shared" si="0"/>
        <v>1070000</v>
      </c>
      <c r="Y59" s="393">
        <f t="shared" si="1"/>
        <v>1070000</v>
      </c>
      <c r="Z59" s="427">
        <v>0</v>
      </c>
      <c r="AA59" s="427">
        <v>0</v>
      </c>
    </row>
    <row r="60" spans="1:28" ht="21" customHeight="1" thickBot="1">
      <c r="A60" s="684"/>
      <c r="B60" s="257" t="s">
        <v>294</v>
      </c>
      <c r="C60" s="258" t="s">
        <v>284</v>
      </c>
      <c r="D60" s="425">
        <f>2625624+150000</f>
        <v>2775624</v>
      </c>
      <c r="E60" s="425">
        <v>2805699</v>
      </c>
      <c r="F60" s="425">
        <v>459484</v>
      </c>
      <c r="G60" s="425">
        <v>459484</v>
      </c>
      <c r="H60" s="425">
        <f>50000+4000000+200000+50000+20000+450000+30000+30000+14000000</f>
        <v>18830000</v>
      </c>
      <c r="I60" s="425">
        <f>50000+4000000+200000+50000+20000+450000+30000+30000+14000000</f>
        <v>18830000</v>
      </c>
      <c r="J60" s="425">
        <v>0</v>
      </c>
      <c r="K60" s="425">
        <v>0</v>
      </c>
      <c r="L60" s="426">
        <v>0</v>
      </c>
      <c r="M60" s="426">
        <v>0</v>
      </c>
      <c r="N60" s="425">
        <v>0</v>
      </c>
      <c r="O60" s="425">
        <v>0</v>
      </c>
      <c r="P60" s="426">
        <v>0</v>
      </c>
      <c r="Q60" s="426">
        <v>0</v>
      </c>
      <c r="R60" s="391">
        <v>0</v>
      </c>
      <c r="S60" s="391">
        <v>0</v>
      </c>
      <c r="T60" s="425">
        <v>0</v>
      </c>
      <c r="U60" s="425">
        <v>0</v>
      </c>
      <c r="V60" s="425">
        <v>0</v>
      </c>
      <c r="W60" s="425">
        <v>0</v>
      </c>
      <c r="X60" s="393">
        <f t="shared" si="0"/>
        <v>22065108</v>
      </c>
      <c r="Y60" s="393">
        <f t="shared" si="1"/>
        <v>22095183</v>
      </c>
      <c r="Z60" s="427">
        <v>1</v>
      </c>
      <c r="AA60" s="427">
        <v>1</v>
      </c>
    </row>
    <row r="61" spans="1:28" ht="21" customHeight="1" thickBot="1">
      <c r="A61" s="684"/>
      <c r="B61" s="257" t="s">
        <v>632</v>
      </c>
      <c r="C61" s="258" t="s">
        <v>633</v>
      </c>
      <c r="D61" s="425">
        <v>0</v>
      </c>
      <c r="E61" s="425">
        <v>0</v>
      </c>
      <c r="F61" s="425">
        <v>0</v>
      </c>
      <c r="G61" s="425">
        <v>0</v>
      </c>
      <c r="H61" s="425">
        <v>0</v>
      </c>
      <c r="I61" s="425">
        <v>0</v>
      </c>
      <c r="J61" s="425">
        <v>0</v>
      </c>
      <c r="K61" s="425">
        <v>0</v>
      </c>
      <c r="L61" s="426">
        <v>0</v>
      </c>
      <c r="M61" s="426">
        <v>0</v>
      </c>
      <c r="N61" s="425">
        <v>0</v>
      </c>
      <c r="O61" s="425">
        <v>0</v>
      </c>
      <c r="P61" s="426">
        <v>0</v>
      </c>
      <c r="Q61" s="426">
        <v>0</v>
      </c>
      <c r="R61" s="391">
        <v>0</v>
      </c>
      <c r="S61" s="391">
        <v>0</v>
      </c>
      <c r="T61" s="425">
        <v>0</v>
      </c>
      <c r="U61" s="425">
        <v>0</v>
      </c>
      <c r="V61" s="425">
        <v>0</v>
      </c>
      <c r="W61" s="425">
        <v>0</v>
      </c>
      <c r="X61" s="393">
        <f t="shared" si="0"/>
        <v>0</v>
      </c>
      <c r="Y61" s="393">
        <f t="shared" si="1"/>
        <v>0</v>
      </c>
      <c r="Z61" s="427">
        <v>0</v>
      </c>
      <c r="AA61" s="427">
        <v>0</v>
      </c>
    </row>
    <row r="62" spans="1:28" ht="21" customHeight="1" thickBot="1">
      <c r="A62" s="684"/>
      <c r="B62" s="257" t="s">
        <v>260</v>
      </c>
      <c r="C62" s="258" t="s">
        <v>332</v>
      </c>
      <c r="D62" s="425">
        <v>0</v>
      </c>
      <c r="E62" s="425">
        <v>0</v>
      </c>
      <c r="F62" s="425">
        <v>0</v>
      </c>
      <c r="G62" s="425">
        <v>0</v>
      </c>
      <c r="H62" s="425">
        <f>1100000+350000</f>
        <v>1450000</v>
      </c>
      <c r="I62" s="425">
        <f>1100000+350000</f>
        <v>1450000</v>
      </c>
      <c r="J62" s="425">
        <v>0</v>
      </c>
      <c r="K62" s="425">
        <v>0</v>
      </c>
      <c r="L62" s="426">
        <v>0</v>
      </c>
      <c r="M62" s="426">
        <v>0</v>
      </c>
      <c r="N62" s="425">
        <v>0</v>
      </c>
      <c r="O62" s="425">
        <v>0</v>
      </c>
      <c r="P62" s="426">
        <v>0</v>
      </c>
      <c r="Q62" s="426">
        <v>0</v>
      </c>
      <c r="R62" s="391">
        <v>0</v>
      </c>
      <c r="S62" s="391">
        <v>0</v>
      </c>
      <c r="T62" s="425">
        <v>0</v>
      </c>
      <c r="U62" s="425">
        <v>0</v>
      </c>
      <c r="V62" s="425">
        <v>0</v>
      </c>
      <c r="W62" s="425">
        <v>0</v>
      </c>
      <c r="X62" s="393">
        <f t="shared" si="0"/>
        <v>1450000</v>
      </c>
      <c r="Y62" s="393">
        <f t="shared" si="1"/>
        <v>1450000</v>
      </c>
      <c r="Z62" s="427">
        <v>0</v>
      </c>
      <c r="AA62" s="427">
        <v>0</v>
      </c>
    </row>
    <row r="63" spans="1:28" ht="21" customHeight="1" thickBot="1">
      <c r="A63" s="684"/>
      <c r="B63" s="257" t="s">
        <v>259</v>
      </c>
      <c r="C63" s="258" t="s">
        <v>331</v>
      </c>
      <c r="D63" s="425">
        <v>0</v>
      </c>
      <c r="E63" s="425">
        <v>0</v>
      </c>
      <c r="F63" s="425">
        <v>0</v>
      </c>
      <c r="G63" s="425">
        <v>0</v>
      </c>
      <c r="H63" s="425">
        <f>950000+20000+20000+4600000</f>
        <v>5590000</v>
      </c>
      <c r="I63" s="425">
        <f>950000+20000+20000+4600000</f>
        <v>5590000</v>
      </c>
      <c r="J63" s="425">
        <v>0</v>
      </c>
      <c r="K63" s="425">
        <v>0</v>
      </c>
      <c r="L63" s="426">
        <v>0</v>
      </c>
      <c r="M63" s="426">
        <v>0</v>
      </c>
      <c r="N63" s="425">
        <v>0</v>
      </c>
      <c r="O63" s="425">
        <v>0</v>
      </c>
      <c r="P63" s="426">
        <v>0</v>
      </c>
      <c r="Q63" s="426">
        <v>0</v>
      </c>
      <c r="R63" s="391">
        <v>0</v>
      </c>
      <c r="S63" s="391">
        <v>0</v>
      </c>
      <c r="T63" s="425">
        <v>0</v>
      </c>
      <c r="U63" s="425">
        <v>0</v>
      </c>
      <c r="V63" s="425">
        <v>0</v>
      </c>
      <c r="W63" s="425">
        <v>0</v>
      </c>
      <c r="X63" s="393">
        <f t="shared" si="0"/>
        <v>5590000</v>
      </c>
      <c r="Y63" s="393">
        <f t="shared" si="1"/>
        <v>5590000</v>
      </c>
      <c r="Z63" s="427">
        <v>0</v>
      </c>
      <c r="AA63" s="427">
        <v>0</v>
      </c>
    </row>
    <row r="64" spans="1:28" ht="21" customHeight="1" thickBot="1">
      <c r="A64" s="684"/>
      <c r="B64" s="257" t="s">
        <v>227</v>
      </c>
      <c r="C64" s="258" t="s">
        <v>277</v>
      </c>
      <c r="D64" s="425">
        <f>23538400+50000+100000</f>
        <v>23688400</v>
      </c>
      <c r="E64" s="425">
        <v>23477875</v>
      </c>
      <c r="F64" s="425">
        <v>4119220</v>
      </c>
      <c r="G64" s="425">
        <v>4119220</v>
      </c>
      <c r="H64" s="425">
        <f>20000+24500000+30000+3000000+60000+450000+5500000+500000</f>
        <v>34060000</v>
      </c>
      <c r="I64" s="425">
        <f>20000+24500000+30000+3000000+60000+450000+5500000+500000</f>
        <v>34060000</v>
      </c>
      <c r="J64" s="425">
        <v>0</v>
      </c>
      <c r="K64" s="425">
        <v>0</v>
      </c>
      <c r="L64" s="426">
        <v>0</v>
      </c>
      <c r="M64" s="426">
        <v>0</v>
      </c>
      <c r="N64" s="425">
        <v>0</v>
      </c>
      <c r="O64" s="425">
        <v>0</v>
      </c>
      <c r="P64" s="426">
        <v>0</v>
      </c>
      <c r="Q64" s="426">
        <v>0</v>
      </c>
      <c r="R64" s="391">
        <v>0</v>
      </c>
      <c r="S64" s="391">
        <v>0</v>
      </c>
      <c r="T64" s="425">
        <v>0</v>
      </c>
      <c r="U64" s="425">
        <v>0</v>
      </c>
      <c r="V64" s="425">
        <v>0</v>
      </c>
      <c r="W64" s="425">
        <v>0</v>
      </c>
      <c r="X64" s="393">
        <f t="shared" si="0"/>
        <v>61867620</v>
      </c>
      <c r="Y64" s="393">
        <f t="shared" si="1"/>
        <v>61657095</v>
      </c>
      <c r="Z64" s="427">
        <v>9</v>
      </c>
      <c r="AA64" s="427">
        <v>9</v>
      </c>
    </row>
    <row r="65" spans="1:27" ht="33" customHeight="1" thickBot="1">
      <c r="A65" s="685"/>
      <c r="B65" s="686" t="s">
        <v>295</v>
      </c>
      <c r="C65" s="687"/>
      <c r="D65" s="393">
        <f t="shared" ref="D65:I65" si="63">SUM(D56:D64)</f>
        <v>51674254</v>
      </c>
      <c r="E65" s="393">
        <f t="shared" si="63"/>
        <v>56906754</v>
      </c>
      <c r="F65" s="393">
        <f t="shared" si="63"/>
        <v>8920494</v>
      </c>
      <c r="G65" s="393">
        <f t="shared" si="63"/>
        <v>9836182</v>
      </c>
      <c r="H65" s="393">
        <f t="shared" si="63"/>
        <v>66100000</v>
      </c>
      <c r="I65" s="393">
        <f t="shared" si="63"/>
        <v>66009507</v>
      </c>
      <c r="J65" s="393">
        <f t="shared" ref="J65:V65" si="64">SUM(J56:J64)</f>
        <v>0</v>
      </c>
      <c r="K65" s="393">
        <f t="shared" ref="K65" si="65">SUM(K56:K64)</f>
        <v>0</v>
      </c>
      <c r="L65" s="533">
        <f t="shared" si="64"/>
        <v>0</v>
      </c>
      <c r="M65" s="533">
        <f>SUM(M56:M64)</f>
        <v>0</v>
      </c>
      <c r="N65" s="393">
        <f t="shared" si="64"/>
        <v>0</v>
      </c>
      <c r="O65" s="393">
        <f t="shared" ref="O65" si="66">SUM(O56:O64)</f>
        <v>0</v>
      </c>
      <c r="P65" s="533">
        <f t="shared" si="64"/>
        <v>0</v>
      </c>
      <c r="Q65" s="533">
        <f t="shared" ref="Q65" si="67">SUM(Q56:Q64)</f>
        <v>0</v>
      </c>
      <c r="R65" s="393">
        <f>SUM(R56:R64)</f>
        <v>0</v>
      </c>
      <c r="S65" s="393">
        <f>SUM(S56:S64)</f>
        <v>0</v>
      </c>
      <c r="T65" s="393">
        <f t="shared" si="64"/>
        <v>410000</v>
      </c>
      <c r="U65" s="393">
        <f t="shared" ref="U65" si="68">SUM(U56:U64)</f>
        <v>410000</v>
      </c>
      <c r="V65" s="393">
        <f t="shared" si="64"/>
        <v>0</v>
      </c>
      <c r="W65" s="393">
        <f t="shared" ref="W65" si="69">SUM(W56:W64)</f>
        <v>0</v>
      </c>
      <c r="X65" s="393">
        <f t="shared" si="0"/>
        <v>127104748</v>
      </c>
      <c r="Y65" s="393">
        <f t="shared" si="1"/>
        <v>133162443</v>
      </c>
      <c r="Z65" s="428">
        <f>SUM(Z56:Z64)</f>
        <v>18</v>
      </c>
      <c r="AA65" s="428">
        <f>SUM(AA56:AA64)</f>
        <v>22</v>
      </c>
    </row>
    <row r="66" spans="1:27" ht="26.25" customHeight="1" thickBot="1">
      <c r="A66" s="679" t="s">
        <v>56</v>
      </c>
      <c r="B66" s="679"/>
      <c r="C66" s="679"/>
      <c r="D66" s="393">
        <f t="shared" ref="D66:Z66" si="70">SUM(D43,D47,D52,D55,D65)</f>
        <v>222999810</v>
      </c>
      <c r="E66" s="393">
        <f t="shared" ref="E66" si="71">SUM(E43,E47,E52,E55,E65)</f>
        <v>243442171</v>
      </c>
      <c r="F66" s="393">
        <f t="shared" si="70"/>
        <v>37774837</v>
      </c>
      <c r="G66" s="393">
        <f t="shared" ref="G66" si="72">SUM(G43,G47,G52,G55,G65)</f>
        <v>40027658</v>
      </c>
      <c r="H66" s="393">
        <f t="shared" si="70"/>
        <v>200426841</v>
      </c>
      <c r="I66" s="393">
        <f t="shared" ref="I66" si="73">SUM(I43,I47,I52,I55,I65)</f>
        <v>271808127</v>
      </c>
      <c r="J66" s="393">
        <f t="shared" si="70"/>
        <v>95627898</v>
      </c>
      <c r="K66" s="393">
        <f t="shared" ref="K66" si="74">SUM(K43,K47,K52,K55,K65)</f>
        <v>96797091</v>
      </c>
      <c r="L66" s="533">
        <f t="shared" si="70"/>
        <v>3147000</v>
      </c>
      <c r="M66" s="533">
        <f t="shared" ref="M66" si="75">SUM(M43,M47,M52,M55,M65)</f>
        <v>3147000</v>
      </c>
      <c r="N66" s="393">
        <f t="shared" si="70"/>
        <v>98896424</v>
      </c>
      <c r="O66" s="393">
        <f t="shared" ref="O66" si="76">SUM(O43,O47,O52,O55,O65)</f>
        <v>96983663</v>
      </c>
      <c r="P66" s="393">
        <f t="shared" si="70"/>
        <v>10751039</v>
      </c>
      <c r="Q66" s="393">
        <f t="shared" ref="Q66" si="77">SUM(Q43,Q47,Q52,Q55,Q65)</f>
        <v>10997076</v>
      </c>
      <c r="R66" s="393">
        <f t="shared" si="70"/>
        <v>0</v>
      </c>
      <c r="S66" s="393">
        <f t="shared" ref="S66" si="78">SUM(S43,S47,S52,S55,S65)</f>
        <v>0</v>
      </c>
      <c r="T66" s="393">
        <f t="shared" si="70"/>
        <v>13396044</v>
      </c>
      <c r="U66" s="393">
        <f t="shared" ref="U66" si="79">SUM(U43,U47,U52,U55,U65)</f>
        <v>246834689</v>
      </c>
      <c r="V66" s="393">
        <f t="shared" si="70"/>
        <v>46420058</v>
      </c>
      <c r="W66" s="393">
        <f t="shared" ref="W66" si="80">SUM(W43,W47,W52,W55,W65)</f>
        <v>199982862</v>
      </c>
      <c r="X66" s="393">
        <f t="shared" si="0"/>
        <v>729439951</v>
      </c>
      <c r="Y66" s="393">
        <f t="shared" si="1"/>
        <v>1210020337</v>
      </c>
      <c r="Z66" s="428">
        <f t="shared" si="70"/>
        <v>86</v>
      </c>
      <c r="AA66" s="428">
        <f t="shared" ref="AA66" si="81">SUM(AA43,AA47,AA52,AA55,AA65)</f>
        <v>83</v>
      </c>
    </row>
    <row r="68" spans="1:27">
      <c r="N68" s="44"/>
    </row>
    <row r="69" spans="1:27">
      <c r="N69" s="44"/>
    </row>
    <row r="70" spans="1:27">
      <c r="N70" s="451"/>
    </row>
  </sheetData>
  <mergeCells count="21">
    <mergeCell ref="A66:C66"/>
    <mergeCell ref="A6:A43"/>
    <mergeCell ref="B43:C43"/>
    <mergeCell ref="A44:A47"/>
    <mergeCell ref="B47:C47"/>
    <mergeCell ref="A48:A52"/>
    <mergeCell ref="B52:C52"/>
    <mergeCell ref="A54:A55"/>
    <mergeCell ref="B55:C55"/>
    <mergeCell ref="A56:A65"/>
    <mergeCell ref="B65:C65"/>
    <mergeCell ref="Z4:Z5"/>
    <mergeCell ref="AA4:AA5"/>
    <mergeCell ref="A1:N1"/>
    <mergeCell ref="A2:N2"/>
    <mergeCell ref="A4:A5"/>
    <mergeCell ref="B4:B5"/>
    <mergeCell ref="C4:C5"/>
    <mergeCell ref="D4:L4"/>
    <mergeCell ref="X4:X5"/>
    <mergeCell ref="Y4:Y5"/>
  </mergeCells>
  <pageMargins left="0.74803149606299213" right="0.74803149606299213" top="0.98425196850393704" bottom="0.98425196850393704" header="0.51181102362204722" footer="0.51181102362204722"/>
  <pageSetup paperSize="8" scale="44" fitToHeight="2" orientation="landscape" r:id="rId1"/>
  <headerFooter alignWithMargins="0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AH69"/>
  <sheetViews>
    <sheetView zoomScale="80" zoomScaleNormal="80" workbookViewId="0">
      <pane xSplit="2" ySplit="5" topLeftCell="C51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9.5703125" style="39" customWidth="1"/>
    <col min="4" max="5" width="16" style="39" customWidth="1"/>
    <col min="6" max="7" width="14.42578125" style="39" customWidth="1"/>
    <col min="8" max="9" width="15.28515625" style="39" customWidth="1"/>
    <col min="10" max="10" width="18.5703125" style="39" customWidth="1"/>
    <col min="11" max="13" width="14.85546875" style="39" customWidth="1"/>
    <col min="14" max="15" width="16.85546875" style="39" customWidth="1"/>
    <col min="16" max="18" width="18" style="39" customWidth="1"/>
    <col min="19" max="19" width="15.85546875" style="39" customWidth="1"/>
    <col min="20" max="20" width="7.42578125" style="39" bestFit="1" customWidth="1"/>
    <col min="21" max="23" width="10.5703125" style="39" bestFit="1" customWidth="1"/>
    <col min="24" max="24" width="5.140625" style="45" bestFit="1" customWidth="1"/>
    <col min="25" max="25" width="7.140625" style="39" bestFit="1" customWidth="1"/>
    <col min="26" max="16384" width="8.85546875" style="37"/>
  </cols>
  <sheetData>
    <row r="1" spans="1:34" ht="15.75">
      <c r="A1" s="632" t="s">
        <v>667</v>
      </c>
      <c r="B1" s="632"/>
      <c r="C1" s="632"/>
      <c r="D1" s="632"/>
      <c r="E1" s="632"/>
      <c r="F1" s="632"/>
      <c r="G1" s="632"/>
      <c r="H1" s="632"/>
      <c r="I1" s="632"/>
      <c r="J1" s="632"/>
      <c r="K1" s="36"/>
      <c r="L1" s="36"/>
      <c r="M1" s="36"/>
      <c r="N1" s="36"/>
      <c r="O1" s="36"/>
      <c r="P1" s="36"/>
      <c r="Q1" s="36"/>
      <c r="R1" s="36"/>
      <c r="S1" s="35"/>
      <c r="T1" s="35"/>
      <c r="U1" s="35"/>
      <c r="V1" s="35"/>
      <c r="W1" s="35"/>
      <c r="X1" s="35"/>
      <c r="Y1" s="36"/>
      <c r="Z1" s="35"/>
      <c r="AA1" s="36"/>
    </row>
    <row r="2" spans="1:34" ht="33.75" customHeight="1">
      <c r="A2" s="669" t="s">
        <v>593</v>
      </c>
      <c r="B2" s="669"/>
      <c r="C2" s="669"/>
      <c r="D2" s="669"/>
      <c r="E2" s="669"/>
      <c r="F2" s="669"/>
      <c r="G2" s="669"/>
      <c r="H2" s="669"/>
      <c r="I2" s="669"/>
      <c r="J2" s="669"/>
      <c r="K2" s="611"/>
      <c r="L2" s="611"/>
      <c r="M2" s="611"/>
      <c r="N2" s="611"/>
      <c r="O2" s="611"/>
      <c r="P2" s="611"/>
      <c r="Q2" s="611"/>
      <c r="R2" s="611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38"/>
    </row>
    <row r="3" spans="1:34" ht="16.5" thickBot="1">
      <c r="B3" s="40"/>
      <c r="C3" s="40"/>
      <c r="D3" s="41"/>
      <c r="E3" s="41"/>
      <c r="F3" s="41"/>
      <c r="G3" s="41"/>
      <c r="H3" s="41"/>
      <c r="I3" s="41"/>
      <c r="J3" s="41" t="s">
        <v>317</v>
      </c>
      <c r="K3" s="41"/>
      <c r="L3" s="41"/>
      <c r="M3" s="41"/>
      <c r="N3" s="41"/>
      <c r="O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2"/>
      <c r="AD3" s="42"/>
      <c r="AE3" s="43"/>
      <c r="AF3" s="39"/>
    </row>
    <row r="4" spans="1:34" ht="39" customHeight="1" thickBot="1">
      <c r="A4" s="670" t="s">
        <v>46</v>
      </c>
      <c r="B4" s="672" t="s">
        <v>315</v>
      </c>
      <c r="C4" s="691" t="s">
        <v>47</v>
      </c>
      <c r="D4" s="688" t="s">
        <v>296</v>
      </c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90"/>
      <c r="P4" s="618"/>
      <c r="Q4" s="618"/>
      <c r="R4" s="37"/>
      <c r="S4" s="37"/>
      <c r="T4" s="37"/>
      <c r="U4" s="37"/>
      <c r="V4" s="37"/>
      <c r="W4" s="37"/>
      <c r="X4" s="37"/>
      <c r="Y4" s="37"/>
    </row>
    <row r="5" spans="1:34" ht="114" customHeight="1" thickBot="1">
      <c r="A5" s="671"/>
      <c r="B5" s="673"/>
      <c r="C5" s="675"/>
      <c r="D5" s="545" t="s">
        <v>498</v>
      </c>
      <c r="E5" s="545" t="s">
        <v>609</v>
      </c>
      <c r="F5" s="545" t="s">
        <v>499</v>
      </c>
      <c r="G5" s="545" t="s">
        <v>610</v>
      </c>
      <c r="H5" s="546" t="s">
        <v>500</v>
      </c>
      <c r="I5" s="546" t="s">
        <v>611</v>
      </c>
      <c r="J5" s="546" t="s">
        <v>424</v>
      </c>
      <c r="K5" s="546" t="s">
        <v>612</v>
      </c>
      <c r="L5" s="546" t="s">
        <v>429</v>
      </c>
      <c r="M5" s="546" t="s">
        <v>613</v>
      </c>
      <c r="N5" s="546" t="s">
        <v>501</v>
      </c>
      <c r="O5" s="617" t="s">
        <v>614</v>
      </c>
      <c r="P5" s="547" t="s">
        <v>369</v>
      </c>
      <c r="Q5" s="616" t="s">
        <v>615</v>
      </c>
      <c r="R5" s="37"/>
      <c r="S5" s="37"/>
      <c r="T5" s="37"/>
      <c r="U5" s="37"/>
      <c r="V5" s="37"/>
      <c r="W5" s="37"/>
      <c r="X5" s="37"/>
      <c r="Y5" s="37"/>
    </row>
    <row r="6" spans="1:34" ht="16.5" thickBot="1">
      <c r="A6" s="680" t="s">
        <v>38</v>
      </c>
      <c r="B6" s="253" t="s">
        <v>221</v>
      </c>
      <c r="C6" s="227" t="s">
        <v>264</v>
      </c>
      <c r="D6" s="391">
        <v>5000</v>
      </c>
      <c r="E6" s="391">
        <v>5000</v>
      </c>
      <c r="F6" s="391">
        <v>61262718</v>
      </c>
      <c r="G6" s="391">
        <v>55898283</v>
      </c>
      <c r="H6" s="539"/>
      <c r="I6" s="539"/>
      <c r="J6" s="539"/>
      <c r="K6" s="539"/>
      <c r="L6" s="539"/>
      <c r="M6" s="539"/>
      <c r="N6" s="543"/>
      <c r="O6" s="543"/>
      <c r="P6" s="452">
        <f t="shared" ref="P6:P37" si="0">+N6+L6+J6+H6+F6+D6</f>
        <v>61267718</v>
      </c>
      <c r="Q6" s="452">
        <f t="shared" ref="Q6:Q37" si="1">+O6+M6+K6+I6+G6+E6</f>
        <v>55903283</v>
      </c>
      <c r="R6" s="156"/>
      <c r="S6" s="37"/>
      <c r="T6" s="37"/>
      <c r="U6" s="37"/>
      <c r="V6" s="37"/>
      <c r="W6" s="37"/>
      <c r="X6" s="37"/>
      <c r="Y6" s="37"/>
    </row>
    <row r="7" spans="1:34" ht="16.5" thickBot="1">
      <c r="A7" s="680"/>
      <c r="B7" s="253" t="s">
        <v>245</v>
      </c>
      <c r="C7" s="227" t="s">
        <v>325</v>
      </c>
      <c r="D7" s="391">
        <v>60000</v>
      </c>
      <c r="E7" s="391">
        <v>60000</v>
      </c>
      <c r="F7" s="539"/>
      <c r="G7" s="539"/>
      <c r="H7" s="539"/>
      <c r="I7" s="539"/>
      <c r="J7" s="539"/>
      <c r="K7" s="539"/>
      <c r="L7" s="539"/>
      <c r="M7" s="539"/>
      <c r="N7" s="543"/>
      <c r="O7" s="543"/>
      <c r="P7" s="452">
        <f t="shared" si="0"/>
        <v>60000</v>
      </c>
      <c r="Q7" s="452">
        <f t="shared" si="1"/>
        <v>60000</v>
      </c>
      <c r="R7" s="156"/>
      <c r="S7" s="37"/>
      <c r="T7" s="37"/>
      <c r="U7" s="37"/>
      <c r="V7" s="37"/>
      <c r="W7" s="37"/>
      <c r="X7" s="37"/>
      <c r="Y7" s="37"/>
    </row>
    <row r="8" spans="1:34" ht="16.5" thickBot="1">
      <c r="A8" s="680"/>
      <c r="B8" s="253" t="s">
        <v>246</v>
      </c>
      <c r="C8" s="227" t="s">
        <v>265</v>
      </c>
      <c r="D8" s="391">
        <f>6500000+1900000+300000+700000+20000</f>
        <v>9420000</v>
      </c>
      <c r="E8" s="391">
        <v>9420000</v>
      </c>
      <c r="F8" s="539"/>
      <c r="G8" s="539"/>
      <c r="H8" s="539"/>
      <c r="I8" s="539"/>
      <c r="J8" s="391">
        <v>12344429</v>
      </c>
      <c r="K8" s="391">
        <v>12344429</v>
      </c>
      <c r="L8" s="539"/>
      <c r="M8" s="539"/>
      <c r="N8" s="543"/>
      <c r="O8" s="543"/>
      <c r="P8" s="452">
        <f t="shared" si="0"/>
        <v>21764429</v>
      </c>
      <c r="Q8" s="452">
        <f t="shared" si="1"/>
        <v>21764429</v>
      </c>
      <c r="R8" s="156"/>
      <c r="S8" s="37"/>
      <c r="T8" s="37"/>
      <c r="U8" s="37"/>
      <c r="V8" s="37"/>
      <c r="W8" s="37"/>
      <c r="X8" s="37"/>
      <c r="Y8" s="37"/>
    </row>
    <row r="9" spans="1:34" ht="16.5" thickBot="1">
      <c r="A9" s="680"/>
      <c r="B9" s="253" t="s">
        <v>356</v>
      </c>
      <c r="C9" s="395" t="s">
        <v>357</v>
      </c>
      <c r="D9" s="539"/>
      <c r="E9" s="539"/>
      <c r="F9" s="539"/>
      <c r="G9" s="539"/>
      <c r="H9" s="539"/>
      <c r="I9" s="539"/>
      <c r="J9" s="543"/>
      <c r="K9" s="543"/>
      <c r="L9" s="543"/>
      <c r="M9" s="543"/>
      <c r="N9" s="543"/>
      <c r="O9" s="543"/>
      <c r="P9" s="452">
        <f t="shared" si="0"/>
        <v>0</v>
      </c>
      <c r="Q9" s="452">
        <f t="shared" si="1"/>
        <v>0</v>
      </c>
      <c r="R9" s="156"/>
      <c r="S9" s="37"/>
      <c r="T9" s="37"/>
      <c r="U9" s="37"/>
      <c r="V9" s="37"/>
      <c r="W9" s="37"/>
      <c r="X9" s="37"/>
      <c r="Y9" s="37"/>
    </row>
    <row r="10" spans="1:34" ht="16.5" thickBot="1">
      <c r="A10" s="680"/>
      <c r="B10" s="253" t="s">
        <v>416</v>
      </c>
      <c r="C10" s="395" t="s">
        <v>417</v>
      </c>
      <c r="D10" s="539"/>
      <c r="E10" s="539"/>
      <c r="F10" s="539"/>
      <c r="G10" s="539"/>
      <c r="H10" s="539"/>
      <c r="I10" s="539"/>
      <c r="J10" s="543"/>
      <c r="K10" s="543"/>
      <c r="L10" s="543"/>
      <c r="M10" s="543"/>
      <c r="N10" s="543"/>
      <c r="O10" s="543"/>
      <c r="P10" s="452">
        <f t="shared" si="0"/>
        <v>0</v>
      </c>
      <c r="Q10" s="452">
        <f t="shared" si="1"/>
        <v>0</v>
      </c>
      <c r="R10" s="156"/>
      <c r="S10" s="37"/>
      <c r="T10" s="37"/>
      <c r="U10" s="37"/>
      <c r="V10" s="37"/>
      <c r="W10" s="37"/>
      <c r="X10" s="37"/>
      <c r="Y10" s="37"/>
    </row>
    <row r="11" spans="1:34" ht="16.5" thickBot="1">
      <c r="A11" s="680"/>
      <c r="B11" s="253" t="s">
        <v>248</v>
      </c>
      <c r="C11" s="394" t="s">
        <v>267</v>
      </c>
      <c r="D11" s="539"/>
      <c r="E11" s="539"/>
      <c r="F11" s="391">
        <v>0</v>
      </c>
      <c r="G11" s="391">
        <v>5266633</v>
      </c>
      <c r="H11" s="391"/>
      <c r="I11" s="539"/>
      <c r="J11" s="391">
        <v>5340192</v>
      </c>
      <c r="K11" s="391">
        <v>5340192</v>
      </c>
      <c r="L11" s="539"/>
      <c r="M11" s="539"/>
      <c r="N11" s="543"/>
      <c r="O11" s="543"/>
      <c r="P11" s="452">
        <f t="shared" si="0"/>
        <v>5340192</v>
      </c>
      <c r="Q11" s="452">
        <f t="shared" si="1"/>
        <v>10606825</v>
      </c>
      <c r="R11" s="156"/>
      <c r="S11" s="37"/>
      <c r="T11" s="37"/>
      <c r="U11" s="37"/>
      <c r="V11" s="37"/>
      <c r="W11" s="37"/>
      <c r="X11" s="37"/>
      <c r="Y11" s="37"/>
    </row>
    <row r="12" spans="1:34" ht="16.5" thickBot="1">
      <c r="A12" s="680"/>
      <c r="B12" s="253" t="s">
        <v>367</v>
      </c>
      <c r="C12" s="394" t="s">
        <v>368</v>
      </c>
      <c r="D12" s="539"/>
      <c r="E12" s="539"/>
      <c r="F12" s="391">
        <v>0</v>
      </c>
      <c r="G12" s="391">
        <v>12841254</v>
      </c>
      <c r="H12" s="539"/>
      <c r="I12" s="539"/>
      <c r="J12" s="391">
        <v>3191900</v>
      </c>
      <c r="K12" s="391">
        <v>3191900</v>
      </c>
      <c r="L12" s="539"/>
      <c r="M12" s="539"/>
      <c r="N12" s="542"/>
      <c r="O12" s="542"/>
      <c r="P12" s="452">
        <f t="shared" si="0"/>
        <v>3191900</v>
      </c>
      <c r="Q12" s="452">
        <f t="shared" si="1"/>
        <v>16033154</v>
      </c>
      <c r="R12" s="156"/>
      <c r="S12" s="37"/>
      <c r="T12" s="37"/>
      <c r="U12" s="37"/>
      <c r="V12" s="37"/>
      <c r="W12" s="37"/>
      <c r="X12" s="37"/>
      <c r="Y12" s="37"/>
    </row>
    <row r="13" spans="1:34" ht="16.5" thickBot="1">
      <c r="A13" s="680"/>
      <c r="B13" s="253" t="s">
        <v>249</v>
      </c>
      <c r="C13" s="394" t="s">
        <v>268</v>
      </c>
      <c r="D13" s="539"/>
      <c r="E13" s="539"/>
      <c r="F13" s="391"/>
      <c r="G13" s="391"/>
      <c r="H13" s="539"/>
      <c r="I13" s="539"/>
      <c r="J13" s="539"/>
      <c r="K13" s="539"/>
      <c r="L13" s="539"/>
      <c r="M13" s="539"/>
      <c r="N13" s="542"/>
      <c r="O13" s="542"/>
      <c r="P13" s="452">
        <f t="shared" si="0"/>
        <v>0</v>
      </c>
      <c r="Q13" s="452">
        <f t="shared" si="1"/>
        <v>0</v>
      </c>
      <c r="R13" s="156"/>
      <c r="S13" s="37"/>
      <c r="T13" s="37"/>
      <c r="U13" s="37"/>
      <c r="V13" s="37"/>
      <c r="W13" s="37"/>
      <c r="X13" s="37"/>
      <c r="Y13" s="37"/>
    </row>
    <row r="14" spans="1:34" ht="16.5" thickBot="1">
      <c r="A14" s="680"/>
      <c r="B14" s="256" t="s">
        <v>250</v>
      </c>
      <c r="C14" s="394" t="s">
        <v>326</v>
      </c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42"/>
      <c r="O14" s="542"/>
      <c r="P14" s="452">
        <f t="shared" si="0"/>
        <v>0</v>
      </c>
      <c r="Q14" s="452">
        <f t="shared" si="1"/>
        <v>0</v>
      </c>
      <c r="R14" s="156"/>
      <c r="S14" s="37"/>
      <c r="T14" s="37"/>
      <c r="U14" s="37"/>
      <c r="V14" s="37"/>
      <c r="W14" s="37"/>
      <c r="X14" s="37"/>
      <c r="Y14" s="37"/>
    </row>
    <row r="15" spans="1:34" ht="16.5" thickBot="1">
      <c r="A15" s="680"/>
      <c r="B15" s="253" t="s">
        <v>251</v>
      </c>
      <c r="C15" s="394" t="s">
        <v>327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42"/>
      <c r="O15" s="542"/>
      <c r="P15" s="452">
        <f t="shared" si="0"/>
        <v>0</v>
      </c>
      <c r="Q15" s="452">
        <f t="shared" si="1"/>
        <v>0</v>
      </c>
      <c r="R15" s="156"/>
      <c r="S15" s="37"/>
      <c r="T15" s="37"/>
      <c r="U15" s="37"/>
      <c r="V15" s="37"/>
      <c r="W15" s="37"/>
      <c r="X15" s="37"/>
      <c r="Y15" s="37"/>
    </row>
    <row r="16" spans="1:34" ht="16.5" thickBot="1">
      <c r="A16" s="680"/>
      <c r="B16" s="253" t="s">
        <v>252</v>
      </c>
      <c r="C16" s="394" t="s">
        <v>269</v>
      </c>
      <c r="D16" s="391">
        <f>7000000+1890000</f>
        <v>8890000</v>
      </c>
      <c r="E16" s="391">
        <v>8890000</v>
      </c>
      <c r="F16" s="539"/>
      <c r="G16" s="539"/>
      <c r="H16" s="539"/>
      <c r="I16" s="539"/>
      <c r="J16" s="391">
        <v>24944510</v>
      </c>
      <c r="K16" s="391">
        <v>24944510</v>
      </c>
      <c r="L16" s="539"/>
      <c r="M16" s="539"/>
      <c r="N16" s="542"/>
      <c r="O16" s="542"/>
      <c r="P16" s="452">
        <f t="shared" si="0"/>
        <v>33834510</v>
      </c>
      <c r="Q16" s="452">
        <f t="shared" si="1"/>
        <v>33834510</v>
      </c>
      <c r="R16" s="156"/>
      <c r="S16" s="37"/>
      <c r="T16" s="37"/>
      <c r="U16" s="37"/>
      <c r="V16" s="37"/>
      <c r="W16" s="37"/>
      <c r="X16" s="37"/>
      <c r="Y16" s="37"/>
    </row>
    <row r="17" spans="1:25" ht="16.5" thickBot="1">
      <c r="A17" s="680"/>
      <c r="B17" s="253" t="s">
        <v>541</v>
      </c>
      <c r="C17" s="394" t="s">
        <v>542</v>
      </c>
      <c r="D17" s="539"/>
      <c r="E17" s="539"/>
      <c r="F17" s="539"/>
      <c r="G17" s="539"/>
      <c r="H17" s="539"/>
      <c r="I17" s="539"/>
      <c r="J17" s="391">
        <v>30103579</v>
      </c>
      <c r="K17" s="391">
        <v>30103579</v>
      </c>
      <c r="L17" s="539"/>
      <c r="M17" s="539"/>
      <c r="N17" s="542"/>
      <c r="O17" s="542"/>
      <c r="P17" s="452">
        <f t="shared" si="0"/>
        <v>30103579</v>
      </c>
      <c r="Q17" s="452">
        <f t="shared" si="1"/>
        <v>30103579</v>
      </c>
      <c r="R17" s="156"/>
      <c r="S17" s="37"/>
      <c r="T17" s="37"/>
      <c r="U17" s="37"/>
      <c r="V17" s="37"/>
      <c r="W17" s="37"/>
      <c r="X17" s="37"/>
      <c r="Y17" s="37"/>
    </row>
    <row r="18" spans="1:25" s="595" customFormat="1" ht="16.5" thickBot="1">
      <c r="A18" s="680"/>
      <c r="B18" s="396" t="s">
        <v>253</v>
      </c>
      <c r="C18" s="394" t="s">
        <v>270</v>
      </c>
      <c r="D18" s="391">
        <f>6500000+1755000</f>
        <v>8255000</v>
      </c>
      <c r="E18" s="391">
        <v>8255000</v>
      </c>
      <c r="F18" s="539"/>
      <c r="G18" s="539"/>
      <c r="H18" s="539"/>
      <c r="I18" s="539"/>
      <c r="J18" s="391">
        <v>45378440</v>
      </c>
      <c r="K18" s="391">
        <v>45378440</v>
      </c>
      <c r="L18" s="539"/>
      <c r="M18" s="539"/>
      <c r="N18" s="542"/>
      <c r="O18" s="542"/>
      <c r="P18" s="452">
        <f t="shared" si="0"/>
        <v>53633440</v>
      </c>
      <c r="Q18" s="452">
        <f t="shared" si="1"/>
        <v>53633440</v>
      </c>
      <c r="R18" s="594"/>
    </row>
    <row r="19" spans="1:25" ht="16.5" thickBot="1">
      <c r="A19" s="680"/>
      <c r="B19" s="253" t="s">
        <v>254</v>
      </c>
      <c r="C19" s="394" t="s">
        <v>48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42"/>
      <c r="O19" s="542"/>
      <c r="P19" s="452">
        <f t="shared" si="0"/>
        <v>0</v>
      </c>
      <c r="Q19" s="452">
        <f t="shared" si="1"/>
        <v>0</v>
      </c>
      <c r="R19" s="156"/>
      <c r="S19" s="37"/>
      <c r="T19" s="37"/>
      <c r="U19" s="37"/>
      <c r="V19" s="37"/>
      <c r="W19" s="37"/>
      <c r="X19" s="37"/>
      <c r="Y19" s="37"/>
    </row>
    <row r="20" spans="1:25" s="595" customFormat="1" ht="16.5" thickBot="1">
      <c r="A20" s="680"/>
      <c r="B20" s="396" t="s">
        <v>223</v>
      </c>
      <c r="C20" s="394" t="s">
        <v>222</v>
      </c>
      <c r="D20" s="539"/>
      <c r="E20" s="539"/>
      <c r="F20" s="539"/>
      <c r="G20" s="539"/>
      <c r="H20" s="539"/>
      <c r="I20" s="539"/>
      <c r="J20" s="391">
        <v>4508070</v>
      </c>
      <c r="K20" s="391">
        <v>4508070</v>
      </c>
      <c r="L20" s="539"/>
      <c r="M20" s="539"/>
      <c r="N20" s="542"/>
      <c r="O20" s="542"/>
      <c r="P20" s="452">
        <f t="shared" si="0"/>
        <v>4508070</v>
      </c>
      <c r="Q20" s="452">
        <f t="shared" si="1"/>
        <v>4508070</v>
      </c>
      <c r="R20" s="594"/>
    </row>
    <row r="21" spans="1:25" s="595" customFormat="1" ht="16.5" thickBot="1">
      <c r="A21" s="680"/>
      <c r="B21" s="396" t="s">
        <v>224</v>
      </c>
      <c r="C21" s="394" t="s">
        <v>271</v>
      </c>
      <c r="D21" s="391">
        <f>600000+900000+290000+200000</f>
        <v>1990000</v>
      </c>
      <c r="E21" s="391">
        <v>1990000</v>
      </c>
      <c r="F21" s="539"/>
      <c r="G21" s="539"/>
      <c r="H21" s="539"/>
      <c r="I21" s="539"/>
      <c r="J21" s="440">
        <v>56437995</v>
      </c>
      <c r="K21" s="440">
        <v>56437995</v>
      </c>
      <c r="L21" s="539"/>
      <c r="M21" s="539"/>
      <c r="N21" s="542"/>
      <c r="O21" s="542"/>
      <c r="P21" s="452">
        <f t="shared" si="0"/>
        <v>58427995</v>
      </c>
      <c r="Q21" s="452">
        <f t="shared" si="1"/>
        <v>58427995</v>
      </c>
      <c r="R21" s="594"/>
    </row>
    <row r="22" spans="1:25" s="595" customFormat="1" ht="16.5" thickBot="1">
      <c r="A22" s="680"/>
      <c r="B22" s="396" t="s">
        <v>255</v>
      </c>
      <c r="C22" s="394" t="s">
        <v>272</v>
      </c>
      <c r="D22" s="391">
        <v>450000</v>
      </c>
      <c r="E22" s="391">
        <v>450000</v>
      </c>
      <c r="F22" s="539"/>
      <c r="G22" s="539"/>
      <c r="H22" s="539"/>
      <c r="I22" s="539"/>
      <c r="J22" s="543"/>
      <c r="K22" s="543"/>
      <c r="L22" s="539"/>
      <c r="M22" s="539"/>
      <c r="N22" s="542"/>
      <c r="O22" s="542"/>
      <c r="P22" s="452">
        <f t="shared" si="0"/>
        <v>450000</v>
      </c>
      <c r="Q22" s="452">
        <f t="shared" si="1"/>
        <v>450000</v>
      </c>
      <c r="R22" s="594"/>
    </row>
    <row r="23" spans="1:25" ht="16.5" thickBot="1">
      <c r="A23" s="680"/>
      <c r="B23" s="253" t="s">
        <v>257</v>
      </c>
      <c r="C23" s="395" t="s">
        <v>274</v>
      </c>
      <c r="D23" s="539"/>
      <c r="E23" s="539"/>
      <c r="F23" s="539"/>
      <c r="G23" s="539"/>
      <c r="H23" s="539"/>
      <c r="I23" s="539"/>
      <c r="J23" s="543"/>
      <c r="K23" s="543"/>
      <c r="L23" s="539"/>
      <c r="M23" s="539"/>
      <c r="N23" s="542"/>
      <c r="O23" s="542"/>
      <c r="P23" s="452">
        <f t="shared" si="0"/>
        <v>0</v>
      </c>
      <c r="Q23" s="452">
        <f t="shared" si="1"/>
        <v>0</v>
      </c>
      <c r="R23" s="156"/>
      <c r="S23" s="37"/>
      <c r="T23" s="37"/>
      <c r="U23" s="37"/>
      <c r="V23" s="37"/>
      <c r="W23" s="37"/>
      <c r="X23" s="37"/>
      <c r="Y23" s="37"/>
    </row>
    <row r="24" spans="1:25" ht="16.5" thickBot="1">
      <c r="A24" s="680"/>
      <c r="B24" s="253" t="s">
        <v>256</v>
      </c>
      <c r="C24" s="394" t="s">
        <v>273</v>
      </c>
      <c r="D24" s="539"/>
      <c r="E24" s="539"/>
      <c r="F24" s="539"/>
      <c r="G24" s="539"/>
      <c r="H24" s="539"/>
      <c r="I24" s="539"/>
      <c r="J24" s="543"/>
      <c r="K24" s="543"/>
      <c r="L24" s="539"/>
      <c r="M24" s="539"/>
      <c r="N24" s="542"/>
      <c r="O24" s="542"/>
      <c r="P24" s="452">
        <f t="shared" si="0"/>
        <v>0</v>
      </c>
      <c r="Q24" s="452">
        <f t="shared" si="1"/>
        <v>0</v>
      </c>
      <c r="R24" s="156"/>
      <c r="S24" s="37"/>
      <c r="T24" s="37"/>
      <c r="U24" s="37"/>
      <c r="V24" s="37"/>
      <c r="W24" s="37"/>
      <c r="X24" s="37"/>
      <c r="Y24" s="37"/>
    </row>
    <row r="25" spans="1:25" ht="16.5" thickBot="1">
      <c r="A25" s="680"/>
      <c r="B25" s="253" t="s">
        <v>226</v>
      </c>
      <c r="C25" s="395" t="s">
        <v>49</v>
      </c>
      <c r="D25" s="539"/>
      <c r="E25" s="539"/>
      <c r="F25" s="391">
        <v>20354748</v>
      </c>
      <c r="G25" s="391">
        <v>20354748</v>
      </c>
      <c r="H25" s="539"/>
      <c r="I25" s="539"/>
      <c r="J25" s="543"/>
      <c r="K25" s="543"/>
      <c r="L25" s="539"/>
      <c r="M25" s="539"/>
      <c r="N25" s="542"/>
      <c r="O25" s="542"/>
      <c r="P25" s="452">
        <f t="shared" si="0"/>
        <v>20354748</v>
      </c>
      <c r="Q25" s="452">
        <f t="shared" si="1"/>
        <v>20354748</v>
      </c>
      <c r="R25" s="156"/>
      <c r="S25" s="37"/>
      <c r="T25" s="37"/>
      <c r="U25" s="37"/>
      <c r="V25" s="37"/>
      <c r="W25" s="37"/>
      <c r="X25" s="37"/>
      <c r="Y25" s="37"/>
    </row>
    <row r="26" spans="1:25" ht="16.5" thickBot="1">
      <c r="A26" s="680"/>
      <c r="B26" s="255" t="s">
        <v>258</v>
      </c>
      <c r="C26" s="395" t="s">
        <v>275</v>
      </c>
      <c r="D26" s="539"/>
      <c r="E26" s="539"/>
      <c r="F26" s="539"/>
      <c r="G26" s="539"/>
      <c r="H26" s="539"/>
      <c r="I26" s="539"/>
      <c r="J26" s="543"/>
      <c r="K26" s="543"/>
      <c r="L26" s="539"/>
      <c r="M26" s="539"/>
      <c r="N26" s="542"/>
      <c r="O26" s="542"/>
      <c r="P26" s="452">
        <f t="shared" si="0"/>
        <v>0</v>
      </c>
      <c r="Q26" s="452">
        <f t="shared" si="1"/>
        <v>0</v>
      </c>
      <c r="R26" s="156"/>
      <c r="S26" s="37"/>
      <c r="T26" s="37"/>
      <c r="U26" s="37"/>
      <c r="V26" s="37"/>
      <c r="W26" s="37"/>
      <c r="X26" s="37"/>
      <c r="Y26" s="37"/>
    </row>
    <row r="27" spans="1:25" ht="16.5" thickBot="1">
      <c r="A27" s="680"/>
      <c r="B27" s="253" t="s">
        <v>328</v>
      </c>
      <c r="C27" s="395" t="s">
        <v>423</v>
      </c>
      <c r="D27" s="539"/>
      <c r="E27" s="539"/>
      <c r="F27" s="539"/>
      <c r="G27" s="539"/>
      <c r="H27" s="391">
        <v>5096029</v>
      </c>
      <c r="I27" s="391">
        <v>452983194</v>
      </c>
      <c r="J27" s="440">
        <v>0</v>
      </c>
      <c r="K27" s="440">
        <v>3940128</v>
      </c>
      <c r="L27" s="539"/>
      <c r="M27" s="539"/>
      <c r="N27" s="542"/>
      <c r="O27" s="542"/>
      <c r="P27" s="452">
        <f t="shared" si="0"/>
        <v>5096029</v>
      </c>
      <c r="Q27" s="452">
        <f t="shared" si="1"/>
        <v>456923322</v>
      </c>
      <c r="R27" s="156"/>
      <c r="S27" s="37"/>
      <c r="T27" s="37"/>
      <c r="U27" s="37"/>
      <c r="V27" s="37"/>
      <c r="W27" s="37"/>
      <c r="X27" s="37"/>
      <c r="Y27" s="37"/>
    </row>
    <row r="28" spans="1:25" ht="16.5" thickBot="1">
      <c r="A28" s="680"/>
      <c r="B28" s="253" t="s">
        <v>261</v>
      </c>
      <c r="C28" s="395" t="s">
        <v>228</v>
      </c>
      <c r="D28" s="539"/>
      <c r="E28" s="539"/>
      <c r="F28" s="391">
        <v>7411115</v>
      </c>
      <c r="G28" s="391">
        <v>7411115</v>
      </c>
      <c r="H28" s="539"/>
      <c r="I28" s="539"/>
      <c r="J28" s="539"/>
      <c r="K28" s="539"/>
      <c r="L28" s="539"/>
      <c r="M28" s="539"/>
      <c r="N28" s="539"/>
      <c r="O28" s="539"/>
      <c r="P28" s="452">
        <f t="shared" si="0"/>
        <v>7411115</v>
      </c>
      <c r="Q28" s="452">
        <f t="shared" si="1"/>
        <v>7411115</v>
      </c>
      <c r="R28" s="156"/>
      <c r="S28" s="37"/>
      <c r="T28" s="37"/>
      <c r="U28" s="37"/>
      <c r="V28" s="37"/>
      <c r="W28" s="37"/>
      <c r="X28" s="37"/>
      <c r="Y28" s="37"/>
    </row>
    <row r="29" spans="1:25" s="595" customFormat="1" ht="16.5" thickBot="1">
      <c r="A29" s="680"/>
      <c r="B29" s="597" t="s">
        <v>362</v>
      </c>
      <c r="C29" s="481" t="s">
        <v>363</v>
      </c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452">
        <f t="shared" si="0"/>
        <v>0</v>
      </c>
      <c r="Q29" s="452">
        <f t="shared" si="1"/>
        <v>0</v>
      </c>
      <c r="R29" s="594"/>
    </row>
    <row r="30" spans="1:25" ht="16.5" thickBot="1">
      <c r="A30" s="680"/>
      <c r="B30" s="253" t="s">
        <v>262</v>
      </c>
      <c r="C30" s="395" t="s">
        <v>278</v>
      </c>
      <c r="D30" s="391">
        <v>1500000</v>
      </c>
      <c r="E30" s="391">
        <v>1500000</v>
      </c>
      <c r="F30" s="539"/>
      <c r="G30" s="539"/>
      <c r="H30" s="539"/>
      <c r="I30" s="539"/>
      <c r="J30" s="391">
        <v>8165656</v>
      </c>
      <c r="K30" s="391">
        <v>8165656</v>
      </c>
      <c r="L30" s="539"/>
      <c r="M30" s="539"/>
      <c r="N30" s="539"/>
      <c r="O30" s="539"/>
      <c r="P30" s="452">
        <f>+N30+L30+J30+H30+F30+D30</f>
        <v>9665656</v>
      </c>
      <c r="Q30" s="452">
        <f t="shared" si="1"/>
        <v>9665656</v>
      </c>
      <c r="R30" s="156"/>
      <c r="S30" s="37"/>
      <c r="T30" s="37"/>
      <c r="U30" s="37"/>
      <c r="V30" s="37"/>
      <c r="W30" s="37"/>
      <c r="X30" s="37"/>
      <c r="Y30" s="37"/>
    </row>
    <row r="31" spans="1:25" ht="32.25" thickBot="1">
      <c r="A31" s="680"/>
      <c r="B31" s="396" t="s">
        <v>418</v>
      </c>
      <c r="C31" s="481" t="s">
        <v>419</v>
      </c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452">
        <f t="shared" si="0"/>
        <v>0</v>
      </c>
      <c r="Q31" s="452">
        <f t="shared" si="1"/>
        <v>0</v>
      </c>
      <c r="R31" s="156"/>
      <c r="S31" s="37"/>
      <c r="T31" s="37"/>
      <c r="U31" s="37"/>
      <c r="V31" s="37"/>
      <c r="W31" s="37"/>
      <c r="X31" s="37"/>
      <c r="Y31" s="37"/>
    </row>
    <row r="32" spans="1:25" ht="16.5" thickBot="1">
      <c r="A32" s="680"/>
      <c r="B32" s="253" t="s">
        <v>263</v>
      </c>
      <c r="C32" s="395" t="s">
        <v>279</v>
      </c>
      <c r="D32" s="391">
        <v>400000</v>
      </c>
      <c r="E32" s="391">
        <v>400000</v>
      </c>
      <c r="F32" s="539"/>
      <c r="G32" s="539"/>
      <c r="H32" s="539"/>
      <c r="I32" s="539"/>
      <c r="J32" s="539"/>
      <c r="K32" s="539"/>
      <c r="L32" s="539"/>
      <c r="M32" s="539"/>
      <c r="N32" s="542"/>
      <c r="O32" s="542"/>
      <c r="P32" s="452">
        <f t="shared" si="0"/>
        <v>400000</v>
      </c>
      <c r="Q32" s="452">
        <f t="shared" si="1"/>
        <v>400000</v>
      </c>
      <c r="R32" s="156"/>
      <c r="S32" s="37"/>
      <c r="T32" s="37"/>
      <c r="U32" s="37"/>
      <c r="V32" s="37"/>
      <c r="W32" s="37"/>
      <c r="X32" s="37"/>
      <c r="Y32" s="37"/>
    </row>
    <row r="33" spans="1:25" ht="16.5" thickBot="1">
      <c r="A33" s="680"/>
      <c r="B33" s="396" t="s">
        <v>358</v>
      </c>
      <c r="C33" s="394" t="s">
        <v>360</v>
      </c>
      <c r="D33" s="539"/>
      <c r="E33" s="539"/>
      <c r="F33" s="539"/>
      <c r="G33" s="539"/>
      <c r="H33" s="539"/>
      <c r="I33" s="539"/>
      <c r="J33" s="391">
        <v>21687507</v>
      </c>
      <c r="K33" s="391">
        <v>21687507</v>
      </c>
      <c r="L33" s="539"/>
      <c r="M33" s="539"/>
      <c r="N33" s="542"/>
      <c r="O33" s="542"/>
      <c r="P33" s="452">
        <f t="shared" si="0"/>
        <v>21687507</v>
      </c>
      <c r="Q33" s="452">
        <f t="shared" si="1"/>
        <v>21687507</v>
      </c>
      <c r="R33" s="156"/>
      <c r="S33" s="37"/>
      <c r="T33" s="37"/>
      <c r="U33" s="37"/>
      <c r="V33" s="37"/>
      <c r="W33" s="37"/>
      <c r="X33" s="37"/>
      <c r="Y33" s="37"/>
    </row>
    <row r="34" spans="1:25" ht="16.5" thickBot="1">
      <c r="A34" s="680"/>
      <c r="B34" s="396" t="s">
        <v>359</v>
      </c>
      <c r="C34" s="394" t="s">
        <v>361</v>
      </c>
      <c r="D34" s="539"/>
      <c r="E34" s="539"/>
      <c r="F34" s="539"/>
      <c r="G34" s="539"/>
      <c r="H34" s="539"/>
      <c r="I34" s="539"/>
      <c r="J34" s="391">
        <v>8144534</v>
      </c>
      <c r="K34" s="391">
        <v>8144534</v>
      </c>
      <c r="L34" s="539"/>
      <c r="M34" s="539"/>
      <c r="N34" s="542"/>
      <c r="O34" s="542"/>
      <c r="P34" s="452">
        <f t="shared" si="0"/>
        <v>8144534</v>
      </c>
      <c r="Q34" s="452">
        <f t="shared" si="1"/>
        <v>8144534</v>
      </c>
      <c r="R34" s="156"/>
      <c r="S34" s="37"/>
      <c r="T34" s="37"/>
      <c r="U34" s="37"/>
      <c r="V34" s="37"/>
      <c r="W34" s="37"/>
      <c r="X34" s="37"/>
      <c r="Y34" s="37"/>
    </row>
    <row r="35" spans="1:25" s="595" customFormat="1" ht="16.5" thickBot="1">
      <c r="A35" s="680"/>
      <c r="B35" s="396" t="s">
        <v>285</v>
      </c>
      <c r="C35" s="394" t="s">
        <v>287</v>
      </c>
      <c r="D35" s="539"/>
      <c r="E35" s="539"/>
      <c r="F35" s="539"/>
      <c r="G35" s="539"/>
      <c r="H35" s="539"/>
      <c r="I35" s="539"/>
      <c r="J35" s="391">
        <v>1835000</v>
      </c>
      <c r="K35" s="391">
        <v>1835000</v>
      </c>
      <c r="L35" s="539"/>
      <c r="M35" s="539"/>
      <c r="N35" s="539"/>
      <c r="O35" s="539"/>
      <c r="P35" s="452">
        <f t="shared" si="0"/>
        <v>1835000</v>
      </c>
      <c r="Q35" s="452">
        <f t="shared" si="1"/>
        <v>1835000</v>
      </c>
      <c r="R35" s="594"/>
    </row>
    <row r="36" spans="1:25" ht="32.25" thickBot="1">
      <c r="A36" s="680"/>
      <c r="B36" s="253" t="s">
        <v>329</v>
      </c>
      <c r="C36" s="481" t="s">
        <v>422</v>
      </c>
      <c r="D36" s="539"/>
      <c r="E36" s="539"/>
      <c r="F36" s="440">
        <f>+'2.sz.mell.'!C25</f>
        <v>268775970</v>
      </c>
      <c r="G36" s="440">
        <v>285688877</v>
      </c>
      <c r="H36" s="543"/>
      <c r="I36" s="543"/>
      <c r="J36" s="543"/>
      <c r="K36" s="543"/>
      <c r="L36" s="539"/>
      <c r="M36" s="539"/>
      <c r="N36" s="539"/>
      <c r="O36" s="539"/>
      <c r="P36" s="452">
        <f t="shared" si="0"/>
        <v>268775970</v>
      </c>
      <c r="Q36" s="452">
        <f t="shared" si="1"/>
        <v>285688877</v>
      </c>
      <c r="R36" s="156"/>
      <c r="S36" s="37"/>
      <c r="T36" s="37"/>
      <c r="U36" s="37"/>
      <c r="V36" s="37"/>
      <c r="W36" s="37"/>
      <c r="X36" s="37"/>
      <c r="Y36" s="37"/>
    </row>
    <row r="37" spans="1:25" ht="16.5" thickBot="1">
      <c r="A37" s="680"/>
      <c r="B37" s="253" t="s">
        <v>427</v>
      </c>
      <c r="C37" s="481" t="s">
        <v>428</v>
      </c>
      <c r="D37" s="539"/>
      <c r="E37" s="539"/>
      <c r="F37" s="539"/>
      <c r="G37" s="539"/>
      <c r="H37" s="539"/>
      <c r="I37" s="539"/>
      <c r="J37" s="543"/>
      <c r="K37" s="543"/>
      <c r="L37" s="539"/>
      <c r="M37" s="539"/>
      <c r="N37" s="391">
        <v>79200000</v>
      </c>
      <c r="O37" s="391">
        <v>73200000</v>
      </c>
      <c r="P37" s="452">
        <f t="shared" si="0"/>
        <v>79200000</v>
      </c>
      <c r="Q37" s="452">
        <f t="shared" si="1"/>
        <v>73200000</v>
      </c>
      <c r="R37" s="156"/>
      <c r="S37" s="37"/>
      <c r="T37" s="37"/>
      <c r="U37" s="37"/>
      <c r="V37" s="37"/>
      <c r="W37" s="37"/>
      <c r="X37" s="37"/>
      <c r="Y37" s="37"/>
    </row>
    <row r="38" spans="1:25" ht="16.5" thickBot="1">
      <c r="A38" s="680"/>
      <c r="B38" s="228" t="s">
        <v>425</v>
      </c>
      <c r="C38" s="228" t="s">
        <v>426</v>
      </c>
      <c r="D38" s="393">
        <f>SUM(D6:D37)</f>
        <v>30970000</v>
      </c>
      <c r="E38" s="393">
        <f t="shared" ref="E38:O38" si="2">SUM(E6:E37)</f>
        <v>30970000</v>
      </c>
      <c r="F38" s="393">
        <f t="shared" si="2"/>
        <v>357804551</v>
      </c>
      <c r="G38" s="393">
        <f t="shared" si="2"/>
        <v>387460910</v>
      </c>
      <c r="H38" s="393">
        <f t="shared" si="2"/>
        <v>5096029</v>
      </c>
      <c r="I38" s="393">
        <f t="shared" si="2"/>
        <v>452983194</v>
      </c>
      <c r="J38" s="393">
        <f t="shared" si="2"/>
        <v>222081812</v>
      </c>
      <c r="K38" s="393">
        <f t="shared" si="2"/>
        <v>226021940</v>
      </c>
      <c r="L38" s="393">
        <f t="shared" si="2"/>
        <v>0</v>
      </c>
      <c r="M38" s="393">
        <f t="shared" si="2"/>
        <v>0</v>
      </c>
      <c r="N38" s="393">
        <f t="shared" si="2"/>
        <v>79200000</v>
      </c>
      <c r="O38" s="393">
        <f t="shared" si="2"/>
        <v>73200000</v>
      </c>
      <c r="P38" s="452">
        <f>+SUM(P6:P37)</f>
        <v>695152392</v>
      </c>
      <c r="Q38" s="452">
        <f>+SUM(Q6:Q37)</f>
        <v>1170636044</v>
      </c>
      <c r="R38" s="44">
        <v>695152392</v>
      </c>
      <c r="S38" s="37"/>
      <c r="T38" s="156"/>
      <c r="U38" s="156"/>
      <c r="V38" s="37"/>
      <c r="W38" s="37"/>
      <c r="X38" s="37"/>
      <c r="Y38" s="37"/>
    </row>
    <row r="39" spans="1:25" ht="37.9" customHeight="1" thickBot="1">
      <c r="A39" s="680" t="s">
        <v>39</v>
      </c>
      <c r="B39" s="256" t="s">
        <v>221</v>
      </c>
      <c r="C39" s="227" t="s">
        <v>264</v>
      </c>
      <c r="D39" s="391">
        <f>200000+900000</f>
        <v>1100000</v>
      </c>
      <c r="E39" s="391">
        <v>1100000</v>
      </c>
      <c r="F39" s="391">
        <v>1938774</v>
      </c>
      <c r="G39" s="391">
        <v>977813</v>
      </c>
      <c r="H39" s="539"/>
      <c r="I39" s="539"/>
      <c r="J39" s="539"/>
      <c r="K39" s="539"/>
      <c r="L39" s="539"/>
      <c r="M39" s="539"/>
      <c r="N39" s="392">
        <v>70000</v>
      </c>
      <c r="O39" s="392">
        <v>70000</v>
      </c>
      <c r="P39" s="393">
        <f t="shared" ref="P39:Q42" si="3">+N39+H39+F39+D39+J39+L39</f>
        <v>3108774</v>
      </c>
      <c r="Q39" s="393">
        <f t="shared" si="3"/>
        <v>2147813</v>
      </c>
      <c r="R39" s="44">
        <f>+P38-R38</f>
        <v>0</v>
      </c>
      <c r="S39" s="37"/>
      <c r="T39" s="37"/>
      <c r="U39" s="37"/>
      <c r="V39" s="37"/>
      <c r="W39" s="37"/>
      <c r="X39" s="37"/>
      <c r="Y39" s="37"/>
    </row>
    <row r="40" spans="1:25" ht="22.5" customHeight="1" thickBot="1">
      <c r="A40" s="680"/>
      <c r="B40" s="448" t="s">
        <v>328</v>
      </c>
      <c r="C40" s="449" t="s">
        <v>423</v>
      </c>
      <c r="D40" s="539"/>
      <c r="E40" s="539"/>
      <c r="F40" s="391">
        <v>0</v>
      </c>
      <c r="G40" s="391"/>
      <c r="H40" s="539"/>
      <c r="I40" s="539"/>
      <c r="J40" s="391">
        <v>1129708</v>
      </c>
      <c r="K40" s="391">
        <v>1129708</v>
      </c>
      <c r="L40" s="391">
        <v>98457518</v>
      </c>
      <c r="M40" s="391">
        <v>99418479</v>
      </c>
      <c r="N40" s="542"/>
      <c r="O40" s="542"/>
      <c r="P40" s="393">
        <f t="shared" si="3"/>
        <v>99587226</v>
      </c>
      <c r="Q40" s="393">
        <f t="shared" si="3"/>
        <v>100548187</v>
      </c>
      <c r="R40" s="37"/>
      <c r="S40" s="37"/>
      <c r="T40" s="37"/>
      <c r="U40" s="37"/>
      <c r="V40" s="37"/>
      <c r="W40" s="37"/>
      <c r="X40" s="37"/>
      <c r="Y40" s="37"/>
    </row>
    <row r="41" spans="1:25" ht="22.5" customHeight="1" thickBot="1">
      <c r="A41" s="680"/>
      <c r="B41" s="448" t="s">
        <v>358</v>
      </c>
      <c r="C41" s="394" t="s">
        <v>360</v>
      </c>
      <c r="D41" s="539"/>
      <c r="E41" s="539"/>
      <c r="F41" s="539"/>
      <c r="G41" s="539"/>
      <c r="H41" s="539"/>
      <c r="I41" s="539"/>
      <c r="J41" s="440">
        <v>0</v>
      </c>
      <c r="K41" s="440">
        <v>0</v>
      </c>
      <c r="L41" s="539"/>
      <c r="M41" s="539"/>
      <c r="N41" s="542"/>
      <c r="O41" s="542"/>
      <c r="P41" s="393">
        <f t="shared" si="3"/>
        <v>0</v>
      </c>
      <c r="Q41" s="393">
        <f t="shared" si="3"/>
        <v>0</v>
      </c>
      <c r="R41" s="37"/>
      <c r="S41" s="37"/>
      <c r="T41" s="37"/>
      <c r="U41" s="37"/>
      <c r="V41" s="37"/>
      <c r="W41" s="37"/>
      <c r="X41" s="37"/>
      <c r="Y41" s="37"/>
    </row>
    <row r="42" spans="1:25" ht="39" customHeight="1" thickBot="1">
      <c r="A42" s="680"/>
      <c r="B42" s="450" t="s">
        <v>371</v>
      </c>
      <c r="C42" s="484" t="s">
        <v>361</v>
      </c>
      <c r="D42" s="391"/>
      <c r="E42" s="391"/>
      <c r="F42" s="391"/>
      <c r="G42" s="391"/>
      <c r="H42" s="391"/>
      <c r="I42" s="391"/>
      <c r="J42" s="440">
        <v>0</v>
      </c>
      <c r="K42" s="440">
        <v>0</v>
      </c>
      <c r="L42" s="391"/>
      <c r="M42" s="391"/>
      <c r="N42" s="392"/>
      <c r="O42" s="392"/>
      <c r="P42" s="393">
        <f t="shared" si="3"/>
        <v>0</v>
      </c>
      <c r="Q42" s="393">
        <f t="shared" si="3"/>
        <v>0</v>
      </c>
      <c r="R42" s="37"/>
      <c r="S42" s="37"/>
      <c r="T42" s="37"/>
      <c r="U42" s="37"/>
      <c r="V42" s="37"/>
      <c r="W42" s="37"/>
      <c r="X42" s="37"/>
      <c r="Y42" s="37"/>
    </row>
    <row r="43" spans="1:25" ht="16.5" thickBot="1">
      <c r="A43" s="680"/>
      <c r="B43" s="681" t="s">
        <v>55</v>
      </c>
      <c r="C43" s="682"/>
      <c r="D43" s="393">
        <f>D39+D41+D42+D40</f>
        <v>1100000</v>
      </c>
      <c r="E43" s="393">
        <f t="shared" ref="E43:O43" si="4">E39+E41+E42+E40</f>
        <v>1100000</v>
      </c>
      <c r="F43" s="393">
        <f t="shared" si="4"/>
        <v>1938774</v>
      </c>
      <c r="G43" s="393">
        <f t="shared" si="4"/>
        <v>977813</v>
      </c>
      <c r="H43" s="393">
        <f t="shared" si="4"/>
        <v>0</v>
      </c>
      <c r="I43" s="393">
        <f t="shared" si="4"/>
        <v>0</v>
      </c>
      <c r="J43" s="393">
        <f t="shared" si="4"/>
        <v>1129708</v>
      </c>
      <c r="K43" s="393">
        <f t="shared" si="4"/>
        <v>1129708</v>
      </c>
      <c r="L43" s="393">
        <f t="shared" si="4"/>
        <v>98457518</v>
      </c>
      <c r="M43" s="393">
        <f t="shared" si="4"/>
        <v>99418479</v>
      </c>
      <c r="N43" s="393">
        <f t="shared" si="4"/>
        <v>70000</v>
      </c>
      <c r="O43" s="393">
        <f t="shared" si="4"/>
        <v>70000</v>
      </c>
      <c r="P43" s="393">
        <f>P39++P41+P42+P40</f>
        <v>102696000</v>
      </c>
      <c r="Q43" s="393">
        <f>Q39++Q41+Q42+Q40</f>
        <v>102696000</v>
      </c>
      <c r="R43" s="156"/>
      <c r="S43" s="37"/>
      <c r="T43" s="37"/>
      <c r="U43" s="37"/>
      <c r="V43" s="37"/>
      <c r="W43" s="37"/>
      <c r="X43" s="37"/>
      <c r="Y43" s="37"/>
    </row>
    <row r="44" spans="1:25" ht="18.95" customHeight="1" thickBot="1">
      <c r="A44" s="692" t="s">
        <v>41</v>
      </c>
      <c r="B44" s="396" t="s">
        <v>328</v>
      </c>
      <c r="C44" s="395" t="s">
        <v>423</v>
      </c>
      <c r="D44" s="391"/>
      <c r="E44" s="391"/>
      <c r="F44" s="391"/>
      <c r="G44" s="391"/>
      <c r="H44" s="391"/>
      <c r="I44" s="391"/>
      <c r="J44" s="391">
        <v>146107</v>
      </c>
      <c r="K44" s="391">
        <v>146107</v>
      </c>
      <c r="L44" s="391">
        <v>16645148</v>
      </c>
      <c r="M44" s="391">
        <v>16645148</v>
      </c>
      <c r="N44" s="392"/>
      <c r="O44" s="392"/>
      <c r="P44" s="393">
        <f>+N44+H44+F44+D44+J44+L44</f>
        <v>16791255</v>
      </c>
      <c r="Q44" s="393">
        <f>+O44+I44+G44+E44+K44+M44</f>
        <v>16791255</v>
      </c>
      <c r="R44" s="37"/>
      <c r="S44" s="37"/>
      <c r="T44" s="37"/>
      <c r="U44" s="37"/>
      <c r="V44" s="37"/>
      <c r="W44" s="37"/>
      <c r="X44" s="37"/>
      <c r="Y44" s="37"/>
    </row>
    <row r="45" spans="1:25" ht="18.95" customHeight="1" thickBot="1">
      <c r="A45" s="693"/>
      <c r="B45" s="396" t="s">
        <v>285</v>
      </c>
      <c r="C45" s="395" t="s">
        <v>287</v>
      </c>
      <c r="D45" s="391">
        <v>150000</v>
      </c>
      <c r="E45" s="391">
        <v>150000</v>
      </c>
      <c r="F45" s="391"/>
      <c r="G45" s="391"/>
      <c r="H45" s="391"/>
      <c r="I45" s="391"/>
      <c r="J45" s="391"/>
      <c r="K45" s="391"/>
      <c r="L45" s="391"/>
      <c r="M45" s="391"/>
      <c r="N45" s="392"/>
      <c r="O45" s="392"/>
      <c r="P45" s="393">
        <f>+N45+H45+F45+D45+J45+L45</f>
        <v>150000</v>
      </c>
      <c r="Q45" s="393">
        <f>+O45+I45+G45+E45+K45+M45</f>
        <v>150000</v>
      </c>
      <c r="R45" s="37"/>
      <c r="S45" s="37"/>
      <c r="T45" s="37"/>
      <c r="U45" s="37"/>
      <c r="V45" s="37"/>
      <c r="W45" s="37"/>
      <c r="X45" s="37"/>
      <c r="Y45" s="37"/>
    </row>
    <row r="46" spans="1:25" ht="22.5" customHeight="1" thickBot="1">
      <c r="A46" s="694"/>
      <c r="B46" s="681" t="s">
        <v>286</v>
      </c>
      <c r="C46" s="682"/>
      <c r="D46" s="393">
        <f t="shared" ref="D46:O46" si="5">SUM(D44:D45)</f>
        <v>150000</v>
      </c>
      <c r="E46" s="393">
        <f t="shared" si="5"/>
        <v>150000</v>
      </c>
      <c r="F46" s="393">
        <f t="shared" si="5"/>
        <v>0</v>
      </c>
      <c r="G46" s="393">
        <f t="shared" si="5"/>
        <v>0</v>
      </c>
      <c r="H46" s="393">
        <f t="shared" si="5"/>
        <v>0</v>
      </c>
      <c r="I46" s="393">
        <f t="shared" si="5"/>
        <v>0</v>
      </c>
      <c r="J46" s="393">
        <f t="shared" si="5"/>
        <v>146107</v>
      </c>
      <c r="K46" s="393">
        <f t="shared" si="5"/>
        <v>146107</v>
      </c>
      <c r="L46" s="393">
        <f t="shared" si="5"/>
        <v>16645148</v>
      </c>
      <c r="M46" s="393">
        <f t="shared" si="5"/>
        <v>16645148</v>
      </c>
      <c r="N46" s="393">
        <f t="shared" si="5"/>
        <v>0</v>
      </c>
      <c r="O46" s="393">
        <f t="shared" si="5"/>
        <v>0</v>
      </c>
      <c r="P46" s="393">
        <f>SUM(P44:P45)</f>
        <v>16941255</v>
      </c>
      <c r="Q46" s="393">
        <f>SUM(Q44:Q45)</f>
        <v>16941255</v>
      </c>
      <c r="R46" s="156"/>
      <c r="S46" s="37"/>
      <c r="T46" s="37"/>
      <c r="U46" s="37"/>
      <c r="V46" s="37"/>
      <c r="W46" s="37"/>
      <c r="X46" s="37"/>
      <c r="Y46" s="37"/>
    </row>
    <row r="47" spans="1:25" ht="18.95" customHeight="1" thickBot="1">
      <c r="A47" s="692" t="s">
        <v>43</v>
      </c>
      <c r="B47" s="396" t="s">
        <v>328</v>
      </c>
      <c r="C47" s="395" t="s">
        <v>423</v>
      </c>
      <c r="D47" s="391"/>
      <c r="E47" s="391"/>
      <c r="F47" s="391"/>
      <c r="G47" s="391"/>
      <c r="H47" s="391"/>
      <c r="I47" s="391"/>
      <c r="J47" s="391">
        <v>300944</v>
      </c>
      <c r="K47" s="391">
        <v>300944</v>
      </c>
      <c r="L47" s="391">
        <v>3562176</v>
      </c>
      <c r="M47" s="391">
        <v>3562176</v>
      </c>
      <c r="N47" s="392"/>
      <c r="O47" s="392"/>
      <c r="P47" s="393">
        <f t="shared" ref="P47:Q49" si="6">+N47+H47+F47+D47+J47+L47</f>
        <v>3863120</v>
      </c>
      <c r="Q47" s="393">
        <f t="shared" si="6"/>
        <v>3863120</v>
      </c>
      <c r="R47" s="37"/>
      <c r="S47" s="37"/>
      <c r="T47" s="37"/>
      <c r="U47" s="37"/>
      <c r="V47" s="37"/>
      <c r="W47" s="37"/>
      <c r="X47" s="37"/>
      <c r="Y47" s="37"/>
    </row>
    <row r="48" spans="1:25" ht="15.75" customHeight="1" thickBot="1">
      <c r="A48" s="693"/>
      <c r="B48" s="496" t="s">
        <v>420</v>
      </c>
      <c r="C48" s="395" t="s">
        <v>421</v>
      </c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2"/>
      <c r="O48" s="392"/>
      <c r="P48" s="393">
        <f t="shared" si="6"/>
        <v>0</v>
      </c>
      <c r="Q48" s="393">
        <f t="shared" si="6"/>
        <v>0</v>
      </c>
      <c r="R48" s="37"/>
      <c r="S48" s="37"/>
      <c r="T48" s="37"/>
      <c r="U48" s="37"/>
      <c r="V48" s="37"/>
      <c r="W48" s="37"/>
      <c r="X48" s="37"/>
      <c r="Y48" s="37"/>
    </row>
    <row r="49" spans="1:25" ht="15.75" customHeight="1" thickBot="1">
      <c r="A49" s="693"/>
      <c r="B49" s="496" t="s">
        <v>290</v>
      </c>
      <c r="C49" s="395" t="s">
        <v>288</v>
      </c>
      <c r="D49" s="391">
        <v>110000</v>
      </c>
      <c r="E49" s="391">
        <v>110000</v>
      </c>
      <c r="F49" s="391">
        <v>2800000</v>
      </c>
      <c r="G49" s="391">
        <v>2800000</v>
      </c>
      <c r="H49" s="391"/>
      <c r="I49" s="391"/>
      <c r="J49" s="391"/>
      <c r="K49" s="391"/>
      <c r="L49" s="391"/>
      <c r="M49" s="391"/>
      <c r="N49" s="392"/>
      <c r="O49" s="392"/>
      <c r="P49" s="393">
        <f t="shared" si="6"/>
        <v>2910000</v>
      </c>
      <c r="Q49" s="393">
        <f t="shared" si="6"/>
        <v>2910000</v>
      </c>
      <c r="R49" s="37"/>
      <c r="S49" s="37"/>
      <c r="T49" s="37"/>
      <c r="U49" s="37"/>
      <c r="V49" s="37"/>
      <c r="W49" s="37"/>
      <c r="X49" s="37"/>
      <c r="Y49" s="37"/>
    </row>
    <row r="50" spans="1:25" ht="21" customHeight="1" thickBot="1">
      <c r="A50" s="694"/>
      <c r="B50" s="681" t="s">
        <v>289</v>
      </c>
      <c r="C50" s="682"/>
      <c r="D50" s="393">
        <f t="shared" ref="D50:O50" si="7">SUM(D47:D49)</f>
        <v>110000</v>
      </c>
      <c r="E50" s="393">
        <f t="shared" si="7"/>
        <v>110000</v>
      </c>
      <c r="F50" s="393">
        <f t="shared" si="7"/>
        <v>2800000</v>
      </c>
      <c r="G50" s="393">
        <f t="shared" si="7"/>
        <v>2800000</v>
      </c>
      <c r="H50" s="393">
        <f t="shared" si="7"/>
        <v>0</v>
      </c>
      <c r="I50" s="393">
        <f t="shared" si="7"/>
        <v>0</v>
      </c>
      <c r="J50" s="393">
        <f t="shared" si="7"/>
        <v>300944</v>
      </c>
      <c r="K50" s="393">
        <f t="shared" si="7"/>
        <v>300944</v>
      </c>
      <c r="L50" s="393">
        <f t="shared" si="7"/>
        <v>3562176</v>
      </c>
      <c r="M50" s="393">
        <f t="shared" si="7"/>
        <v>3562176</v>
      </c>
      <c r="N50" s="393">
        <f t="shared" si="7"/>
        <v>0</v>
      </c>
      <c r="O50" s="393">
        <f t="shared" si="7"/>
        <v>0</v>
      </c>
      <c r="P50" s="393">
        <f>SUM(P47:P49)</f>
        <v>6773120</v>
      </c>
      <c r="Q50" s="393">
        <f>SUM(Q47:Q49)</f>
        <v>6773120</v>
      </c>
      <c r="R50" s="156"/>
      <c r="S50" s="37"/>
      <c r="T50" s="37"/>
      <c r="U50" s="37"/>
      <c r="V50" s="37"/>
      <c r="W50" s="37"/>
      <c r="X50" s="37"/>
      <c r="Y50" s="37"/>
    </row>
    <row r="51" spans="1:25" ht="18.95" customHeight="1" thickBot="1">
      <c r="A51" s="683" t="s">
        <v>211</v>
      </c>
      <c r="B51" s="396" t="s">
        <v>328</v>
      </c>
      <c r="C51" s="395" t="s">
        <v>423</v>
      </c>
      <c r="D51" s="391"/>
      <c r="E51" s="391"/>
      <c r="F51" s="391"/>
      <c r="G51" s="391"/>
      <c r="H51" s="391"/>
      <c r="I51" s="391"/>
      <c r="J51" s="391">
        <v>1397501</v>
      </c>
      <c r="K51" s="391">
        <v>1397501</v>
      </c>
      <c r="L51" s="391">
        <f>1128920+99433802</f>
        <v>100562722</v>
      </c>
      <c r="M51" s="391">
        <v>100562722</v>
      </c>
      <c r="N51" s="542"/>
      <c r="O51" s="542"/>
      <c r="P51" s="393">
        <f t="shared" ref="P51:P59" si="8">+N51+H51+F51+D51+J51+L51</f>
        <v>101960223</v>
      </c>
      <c r="Q51" s="393">
        <f t="shared" ref="Q51:Q59" si="9">+O51+I51+G51+E51+K51+M51</f>
        <v>101960223</v>
      </c>
      <c r="R51" s="37"/>
      <c r="S51" s="37"/>
      <c r="T51" s="37"/>
      <c r="U51" s="37"/>
      <c r="V51" s="37"/>
      <c r="W51" s="37"/>
      <c r="X51" s="37"/>
      <c r="Y51" s="37"/>
    </row>
    <row r="52" spans="1:25" ht="21" customHeight="1" thickBot="1">
      <c r="A52" s="684"/>
      <c r="B52" s="257" t="s">
        <v>291</v>
      </c>
      <c r="C52" s="258" t="s">
        <v>281</v>
      </c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540"/>
      <c r="O52" s="540"/>
      <c r="P52" s="393">
        <f t="shared" si="8"/>
        <v>0</v>
      </c>
      <c r="Q52" s="393">
        <f t="shared" si="9"/>
        <v>0</v>
      </c>
      <c r="R52" s="37"/>
      <c r="S52" s="37"/>
      <c r="T52" s="37"/>
      <c r="U52" s="37"/>
      <c r="V52" s="37"/>
      <c r="W52" s="37"/>
      <c r="X52" s="37"/>
      <c r="Y52" s="37"/>
    </row>
    <row r="53" spans="1:25" ht="21" customHeight="1" thickBot="1">
      <c r="A53" s="684"/>
      <c r="B53" s="257" t="s">
        <v>292</v>
      </c>
      <c r="C53" s="258" t="s">
        <v>282</v>
      </c>
      <c r="D53" s="425">
        <v>20000</v>
      </c>
      <c r="E53" s="425">
        <v>20000</v>
      </c>
      <c r="F53" s="425"/>
      <c r="G53" s="425"/>
      <c r="H53" s="425"/>
      <c r="I53" s="425"/>
      <c r="J53" s="425"/>
      <c r="K53" s="425"/>
      <c r="L53" s="425"/>
      <c r="M53" s="425"/>
      <c r="N53" s="540"/>
      <c r="O53" s="540"/>
      <c r="P53" s="393">
        <f t="shared" si="8"/>
        <v>20000</v>
      </c>
      <c r="Q53" s="393">
        <f t="shared" si="9"/>
        <v>20000</v>
      </c>
      <c r="R53" s="37"/>
      <c r="S53" s="37"/>
      <c r="T53" s="37"/>
      <c r="U53" s="37"/>
      <c r="V53" s="37"/>
      <c r="W53" s="37"/>
      <c r="X53" s="37"/>
      <c r="Y53" s="37"/>
    </row>
    <row r="54" spans="1:25" ht="21" customHeight="1" thickBot="1">
      <c r="A54" s="684"/>
      <c r="B54" s="257" t="s">
        <v>362</v>
      </c>
      <c r="C54" s="258" t="s">
        <v>430</v>
      </c>
      <c r="D54" s="425">
        <v>0</v>
      </c>
      <c r="E54" s="425"/>
      <c r="F54" s="425"/>
      <c r="G54" s="425"/>
      <c r="H54" s="425"/>
      <c r="I54" s="425"/>
      <c r="J54" s="425"/>
      <c r="K54" s="425"/>
      <c r="L54" s="425"/>
      <c r="M54" s="425"/>
      <c r="N54" s="540"/>
      <c r="O54" s="540"/>
      <c r="P54" s="393">
        <f t="shared" si="8"/>
        <v>0</v>
      </c>
      <c r="Q54" s="393">
        <f t="shared" si="9"/>
        <v>0</v>
      </c>
      <c r="R54" s="37"/>
      <c r="S54" s="37"/>
      <c r="T54" s="37"/>
      <c r="U54" s="37"/>
      <c r="V54" s="37"/>
      <c r="W54" s="37"/>
      <c r="X54" s="37"/>
      <c r="Y54" s="37"/>
    </row>
    <row r="55" spans="1:25" ht="21" customHeight="1" thickBot="1">
      <c r="A55" s="684"/>
      <c r="B55" s="257" t="s">
        <v>293</v>
      </c>
      <c r="C55" s="258" t="s">
        <v>283</v>
      </c>
      <c r="D55" s="425">
        <f>95000+400000</f>
        <v>495000</v>
      </c>
      <c r="E55" s="425">
        <v>495000</v>
      </c>
      <c r="F55" s="425">
        <v>2024525</v>
      </c>
      <c r="G55" s="425">
        <v>8082220</v>
      </c>
      <c r="H55" s="425"/>
      <c r="I55" s="425"/>
      <c r="J55" s="425"/>
      <c r="K55" s="425"/>
      <c r="L55" s="425"/>
      <c r="M55" s="425"/>
      <c r="N55" s="540"/>
      <c r="O55" s="540"/>
      <c r="P55" s="393">
        <f t="shared" si="8"/>
        <v>2519525</v>
      </c>
      <c r="Q55" s="393">
        <f t="shared" si="9"/>
        <v>8577220</v>
      </c>
      <c r="R55" s="37"/>
      <c r="S55" s="37"/>
      <c r="T55" s="37"/>
      <c r="U55" s="37"/>
      <c r="V55" s="37"/>
      <c r="W55" s="37"/>
      <c r="X55" s="37"/>
      <c r="Y55" s="37"/>
    </row>
    <row r="56" spans="1:25" ht="21" customHeight="1" thickBot="1">
      <c r="A56" s="684"/>
      <c r="B56" s="257" t="s">
        <v>294</v>
      </c>
      <c r="C56" s="258" t="s">
        <v>284</v>
      </c>
      <c r="D56" s="425">
        <f>2300000+8600000+275000</f>
        <v>11175000</v>
      </c>
      <c r="E56" s="425">
        <v>11175000</v>
      </c>
      <c r="F56" s="425"/>
      <c r="G56" s="425"/>
      <c r="H56" s="425"/>
      <c r="I56" s="425"/>
      <c r="J56" s="425"/>
      <c r="K56" s="425"/>
      <c r="L56" s="425"/>
      <c r="M56" s="425"/>
      <c r="N56" s="540"/>
      <c r="O56" s="540"/>
      <c r="P56" s="393">
        <f t="shared" si="8"/>
        <v>11175000</v>
      </c>
      <c r="Q56" s="393">
        <f t="shared" si="9"/>
        <v>11175000</v>
      </c>
      <c r="R56" s="37"/>
      <c r="S56" s="37"/>
      <c r="T56" s="37"/>
      <c r="U56" s="37"/>
      <c r="V56" s="37"/>
      <c r="W56" s="37"/>
      <c r="X56" s="37"/>
      <c r="Y56" s="37"/>
    </row>
    <row r="57" spans="1:25" ht="21" customHeight="1" thickBot="1">
      <c r="A57" s="684"/>
      <c r="B57" s="257" t="s">
        <v>260</v>
      </c>
      <c r="C57" s="258" t="s">
        <v>332</v>
      </c>
      <c r="D57" s="425"/>
      <c r="E57" s="425"/>
      <c r="F57" s="425"/>
      <c r="G57" s="425"/>
      <c r="H57" s="425"/>
      <c r="I57" s="425"/>
      <c r="J57" s="425"/>
      <c r="K57" s="425"/>
      <c r="L57" s="425"/>
      <c r="M57" s="425"/>
      <c r="N57" s="544"/>
      <c r="O57" s="544"/>
      <c r="P57" s="393">
        <f t="shared" si="8"/>
        <v>0</v>
      </c>
      <c r="Q57" s="393">
        <f t="shared" si="9"/>
        <v>0</v>
      </c>
      <c r="R57" s="37"/>
      <c r="S57" s="37"/>
      <c r="T57" s="37"/>
      <c r="U57" s="37"/>
      <c r="V57" s="37"/>
      <c r="W57" s="37"/>
      <c r="X57" s="37"/>
      <c r="Y57" s="37"/>
    </row>
    <row r="58" spans="1:25" ht="21" customHeight="1" thickBot="1">
      <c r="A58" s="684"/>
      <c r="B58" s="257" t="s">
        <v>259</v>
      </c>
      <c r="C58" s="258" t="s">
        <v>331</v>
      </c>
      <c r="D58" s="425">
        <f>1600000+6050000</f>
        <v>7650000</v>
      </c>
      <c r="E58" s="425">
        <v>7650000</v>
      </c>
      <c r="F58" s="425"/>
      <c r="G58" s="425"/>
      <c r="H58" s="425"/>
      <c r="I58" s="425"/>
      <c r="J58" s="425"/>
      <c r="K58" s="425"/>
      <c r="L58" s="425"/>
      <c r="M58" s="425"/>
      <c r="N58" s="544"/>
      <c r="O58" s="544"/>
      <c r="P58" s="393">
        <f t="shared" si="8"/>
        <v>7650000</v>
      </c>
      <c r="Q58" s="393">
        <f t="shared" si="9"/>
        <v>7650000</v>
      </c>
      <c r="R58" s="37"/>
      <c r="S58" s="37"/>
      <c r="T58" s="37"/>
      <c r="U58" s="37"/>
      <c r="V58" s="37"/>
      <c r="W58" s="37"/>
      <c r="X58" s="37"/>
      <c r="Y58" s="37"/>
    </row>
    <row r="59" spans="1:25" ht="21" customHeight="1" thickBot="1">
      <c r="A59" s="684"/>
      <c r="B59" s="257" t="s">
        <v>227</v>
      </c>
      <c r="C59" s="258" t="s">
        <v>277</v>
      </c>
      <c r="D59" s="425">
        <f>680000+2500000+600000</f>
        <v>3780000</v>
      </c>
      <c r="E59" s="425">
        <v>3780000</v>
      </c>
      <c r="F59" s="425"/>
      <c r="G59" s="425"/>
      <c r="H59" s="425"/>
      <c r="I59" s="425"/>
      <c r="J59" s="425"/>
      <c r="K59" s="425"/>
      <c r="L59" s="425"/>
      <c r="M59" s="425"/>
      <c r="N59" s="544"/>
      <c r="O59" s="544"/>
      <c r="P59" s="393">
        <f t="shared" si="8"/>
        <v>3780000</v>
      </c>
      <c r="Q59" s="393">
        <f t="shared" si="9"/>
        <v>3780000</v>
      </c>
      <c r="R59" s="37"/>
      <c r="S59" s="37"/>
      <c r="T59" s="37"/>
      <c r="U59" s="37"/>
      <c r="V59" s="37"/>
      <c r="W59" s="37"/>
      <c r="X59" s="37"/>
      <c r="Y59" s="37"/>
    </row>
    <row r="60" spans="1:25" ht="33" customHeight="1" thickBot="1">
      <c r="A60" s="685"/>
      <c r="B60" s="686" t="s">
        <v>295</v>
      </c>
      <c r="C60" s="687"/>
      <c r="D60" s="393">
        <f>SUM(D51:D59)</f>
        <v>23120000</v>
      </c>
      <c r="E60" s="393">
        <f t="shared" ref="E60:O60" si="10">SUM(E51:E59)</f>
        <v>23120000</v>
      </c>
      <c r="F60" s="393">
        <f t="shared" si="10"/>
        <v>2024525</v>
      </c>
      <c r="G60" s="393">
        <f t="shared" si="10"/>
        <v>8082220</v>
      </c>
      <c r="H60" s="393">
        <f t="shared" si="10"/>
        <v>0</v>
      </c>
      <c r="I60" s="393">
        <f t="shared" si="10"/>
        <v>0</v>
      </c>
      <c r="J60" s="393">
        <f t="shared" si="10"/>
        <v>1397501</v>
      </c>
      <c r="K60" s="393">
        <f t="shared" si="10"/>
        <v>1397501</v>
      </c>
      <c r="L60" s="393">
        <f t="shared" si="10"/>
        <v>100562722</v>
      </c>
      <c r="M60" s="393">
        <f t="shared" si="10"/>
        <v>100562722</v>
      </c>
      <c r="N60" s="393">
        <f t="shared" si="10"/>
        <v>0</v>
      </c>
      <c r="O60" s="393">
        <f t="shared" si="10"/>
        <v>0</v>
      </c>
      <c r="P60" s="393">
        <f>SUM(P51:P59)</f>
        <v>127104748</v>
      </c>
      <c r="Q60" s="393">
        <f>SUM(Q51:Q59)</f>
        <v>133162443</v>
      </c>
      <c r="R60" s="156"/>
      <c r="S60" s="37"/>
      <c r="T60" s="37"/>
      <c r="U60" s="37"/>
      <c r="V60" s="37"/>
      <c r="W60" s="37"/>
      <c r="X60" s="37"/>
      <c r="Y60" s="37"/>
    </row>
    <row r="61" spans="1:25" ht="26.25" customHeight="1" thickBot="1">
      <c r="A61" s="679" t="s">
        <v>56</v>
      </c>
      <c r="B61" s="679"/>
      <c r="C61" s="679"/>
      <c r="D61" s="393">
        <f t="shared" ref="D61:P61" si="11">+D60+D50+D46+D43+D38</f>
        <v>55450000</v>
      </c>
      <c r="E61" s="393">
        <f t="shared" si="11"/>
        <v>55450000</v>
      </c>
      <c r="F61" s="393">
        <f t="shared" si="11"/>
        <v>364567850</v>
      </c>
      <c r="G61" s="393">
        <f t="shared" si="11"/>
        <v>399320943</v>
      </c>
      <c r="H61" s="393">
        <f t="shared" si="11"/>
        <v>5096029</v>
      </c>
      <c r="I61" s="393">
        <f t="shared" si="11"/>
        <v>452983194</v>
      </c>
      <c r="J61" s="393">
        <f t="shared" si="11"/>
        <v>225056072</v>
      </c>
      <c r="K61" s="393">
        <f t="shared" si="11"/>
        <v>228996200</v>
      </c>
      <c r="L61" s="393">
        <f t="shared" si="11"/>
        <v>219227564</v>
      </c>
      <c r="M61" s="393">
        <f t="shared" si="11"/>
        <v>220188525</v>
      </c>
      <c r="N61" s="393">
        <f t="shared" si="11"/>
        <v>79270000</v>
      </c>
      <c r="O61" s="393">
        <f t="shared" si="11"/>
        <v>73270000</v>
      </c>
      <c r="P61" s="393">
        <f t="shared" si="11"/>
        <v>948667515</v>
      </c>
      <c r="Q61" s="393">
        <f t="shared" ref="Q61" si="12">+Q60+Q50+Q46+Q43+Q38</f>
        <v>1430208862</v>
      </c>
      <c r="R61" s="37"/>
      <c r="S61" s="37"/>
      <c r="T61" s="37"/>
      <c r="U61" s="37"/>
      <c r="V61" s="37"/>
      <c r="W61" s="37"/>
      <c r="X61" s="37"/>
      <c r="Y61" s="37"/>
    </row>
    <row r="62" spans="1:25">
      <c r="J62" s="44"/>
    </row>
    <row r="63" spans="1:25">
      <c r="J63" s="44">
        <f>+P61-L61</f>
        <v>729439951</v>
      </c>
    </row>
    <row r="64" spans="1:25">
      <c r="I64" s="44"/>
      <c r="J64" s="44"/>
    </row>
    <row r="65" spans="9:17">
      <c r="J65" s="44">
        <f>+'5.a sz.mell.'!X66-'5 b.sz.mell.'!J63</f>
        <v>0</v>
      </c>
    </row>
    <row r="66" spans="9:17">
      <c r="I66" s="451"/>
      <c r="J66" s="451"/>
    </row>
    <row r="67" spans="9:17">
      <c r="J67" s="44"/>
    </row>
    <row r="68" spans="9:17">
      <c r="I68" s="44"/>
    </row>
    <row r="69" spans="9:17">
      <c r="P69" s="44"/>
      <c r="Q69" s="44"/>
    </row>
  </sheetData>
  <mergeCells count="16">
    <mergeCell ref="B50:C50"/>
    <mergeCell ref="B60:C60"/>
    <mergeCell ref="A61:C61"/>
    <mergeCell ref="A44:A46"/>
    <mergeCell ref="A47:A50"/>
    <mergeCell ref="A51:A60"/>
    <mergeCell ref="B46:C46"/>
    <mergeCell ref="A2:J2"/>
    <mergeCell ref="A1:J1"/>
    <mergeCell ref="A6:A38"/>
    <mergeCell ref="A39:A43"/>
    <mergeCell ref="B43:C43"/>
    <mergeCell ref="D4:O4"/>
    <mergeCell ref="A4:A5"/>
    <mergeCell ref="B4:B5"/>
    <mergeCell ref="C4:C5"/>
  </mergeCells>
  <pageMargins left="0.74803149606299213" right="0.74803149606299213" top="0.98425196850393704" bottom="0.98425196850393704" header="0.51181102362204722" footer="0.51181102362204722"/>
  <pageSetup paperSize="8" scale="55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I53"/>
  <sheetViews>
    <sheetView view="pageBreakPreview" zoomScale="90" zoomScaleNormal="115" zoomScaleSheetLayoutView="90" workbookViewId="0">
      <selection activeCell="B32" sqref="B32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8.42578125" style="39" customWidth="1"/>
    <col min="6" max="6" width="17.42578125" style="37" customWidth="1"/>
    <col min="7" max="16384" width="8.85546875" style="37"/>
  </cols>
  <sheetData>
    <row r="1" spans="1:9" ht="15.75">
      <c r="A1" s="643" t="s">
        <v>668</v>
      </c>
      <c r="B1" s="643"/>
      <c r="C1" s="643"/>
      <c r="D1" s="643"/>
      <c r="E1" s="643"/>
    </row>
    <row r="2" spans="1:9" s="39" customFormat="1" ht="27.75" customHeight="1">
      <c r="A2" s="696" t="s">
        <v>548</v>
      </c>
      <c r="B2" s="696"/>
      <c r="C2" s="696"/>
      <c r="D2" s="696"/>
      <c r="E2" s="696"/>
      <c r="F2" s="158"/>
      <c r="G2" s="158"/>
      <c r="H2" s="158"/>
      <c r="I2" s="158"/>
    </row>
    <row r="3" spans="1:9" ht="29.25" customHeight="1">
      <c r="A3" s="697" t="s">
        <v>147</v>
      </c>
      <c r="B3" s="697"/>
      <c r="C3" s="697"/>
      <c r="D3" s="697"/>
      <c r="E3" s="697"/>
      <c r="F3" s="158"/>
      <c r="G3" s="158"/>
      <c r="H3" s="158"/>
      <c r="I3" s="158"/>
    </row>
    <row r="4" spans="1:9" ht="12.75" customHeight="1">
      <c r="B4" s="159"/>
      <c r="C4" s="160"/>
      <c r="D4" s="161" t="s">
        <v>148</v>
      </c>
      <c r="F4" s="158"/>
      <c r="G4" s="158"/>
      <c r="H4" s="158"/>
      <c r="I4" s="158"/>
    </row>
    <row r="5" spans="1:9" ht="12.75" customHeight="1">
      <c r="A5" s="695" t="s">
        <v>149</v>
      </c>
      <c r="B5" s="695"/>
      <c r="C5" s="695"/>
      <c r="D5" s="162">
        <v>1426453</v>
      </c>
      <c r="F5" s="158"/>
      <c r="G5" s="158"/>
      <c r="H5" s="158"/>
      <c r="I5" s="158"/>
    </row>
    <row r="6" spans="1:9" ht="12.75" customHeight="1">
      <c r="A6" s="163"/>
      <c r="B6" s="164"/>
      <c r="C6" s="164"/>
      <c r="D6" s="165"/>
      <c r="F6" s="158"/>
      <c r="G6" s="158"/>
      <c r="H6" s="158"/>
      <c r="I6" s="158"/>
    </row>
    <row r="7" spans="1:9" ht="15.75" customHeight="1">
      <c r="A7" s="695" t="s">
        <v>150</v>
      </c>
      <c r="B7" s="695"/>
      <c r="C7" s="695"/>
      <c r="D7" s="166"/>
      <c r="F7" s="158"/>
      <c r="G7" s="158"/>
      <c r="H7" s="158"/>
      <c r="I7" s="158"/>
    </row>
    <row r="8" spans="1:9" ht="12.75" customHeight="1">
      <c r="B8" s="159"/>
      <c r="C8" s="167"/>
      <c r="D8" s="165" t="s">
        <v>549</v>
      </c>
      <c r="F8" s="158"/>
      <c r="G8" s="158"/>
      <c r="H8" s="158"/>
      <c r="I8" s="158"/>
    </row>
    <row r="9" spans="1:9" ht="12.75" customHeight="1">
      <c r="B9" s="159"/>
      <c r="C9" s="168"/>
      <c r="D9" s="162">
        <v>2458</v>
      </c>
      <c r="F9" s="158"/>
      <c r="G9" s="158"/>
      <c r="H9" s="158"/>
      <c r="I9" s="158"/>
    </row>
    <row r="10" spans="1:9" ht="12.75" customHeight="1">
      <c r="B10" s="159"/>
      <c r="C10" s="169" t="s">
        <v>333</v>
      </c>
      <c r="D10" s="170"/>
      <c r="F10" s="158"/>
      <c r="G10" s="158"/>
      <c r="H10" s="158"/>
      <c r="I10" s="158"/>
    </row>
    <row r="11" spans="1:9" ht="41.25" customHeight="1">
      <c r="B11" s="171"/>
      <c r="C11" s="172" t="s">
        <v>151</v>
      </c>
      <c r="D11" s="489" t="s">
        <v>435</v>
      </c>
      <c r="E11" s="489" t="s">
        <v>624</v>
      </c>
      <c r="F11" s="158"/>
      <c r="G11" s="158"/>
      <c r="H11" s="158"/>
    </row>
    <row r="12" spans="1:9" ht="12.75" customHeight="1">
      <c r="B12" s="162" t="s">
        <v>152</v>
      </c>
      <c r="C12" s="173" t="s">
        <v>65</v>
      </c>
      <c r="D12" s="483" t="s">
        <v>153</v>
      </c>
      <c r="E12" s="536" t="s">
        <v>153</v>
      </c>
      <c r="F12" s="158"/>
      <c r="G12" s="158"/>
      <c r="H12" s="158"/>
    </row>
    <row r="13" spans="1:9" ht="12.75" customHeight="1">
      <c r="B13" s="174" t="s">
        <v>154</v>
      </c>
      <c r="C13" s="175" t="s">
        <v>350</v>
      </c>
      <c r="D13" s="322">
        <f>+'2.sz.mell.'!C5</f>
        <v>70119800</v>
      </c>
      <c r="E13" s="322">
        <f>+'2.sz.mell.'!D5</f>
        <v>83712000</v>
      </c>
      <c r="F13" s="158"/>
      <c r="G13" s="158"/>
      <c r="H13" s="158"/>
    </row>
    <row r="14" spans="1:9" ht="12.75" customHeight="1">
      <c r="B14" s="174" t="s">
        <v>155</v>
      </c>
      <c r="C14" s="175" t="s">
        <v>156</v>
      </c>
      <c r="D14" s="322">
        <f>+D15+D16+D17+D18</f>
        <v>22007970</v>
      </c>
      <c r="E14" s="322">
        <f>+E15+E16+E17+E18</f>
        <v>22007970</v>
      </c>
      <c r="F14" s="158"/>
      <c r="G14" s="158"/>
      <c r="H14" s="158"/>
    </row>
    <row r="15" spans="1:9" ht="12.75" customHeight="1">
      <c r="B15" s="174" t="s">
        <v>157</v>
      </c>
      <c r="C15" s="175" t="s">
        <v>158</v>
      </c>
      <c r="D15" s="322">
        <f>+'2.sz.mell.'!C6</f>
        <v>10198440</v>
      </c>
      <c r="E15" s="322">
        <f>+'2.sz.mell.'!D6</f>
        <v>10198440</v>
      </c>
      <c r="F15" s="158"/>
      <c r="G15" s="158"/>
      <c r="H15" s="158"/>
    </row>
    <row r="16" spans="1:9" ht="12.75" customHeight="1">
      <c r="B16" s="174" t="s">
        <v>159</v>
      </c>
      <c r="C16" s="175" t="s">
        <v>160</v>
      </c>
      <c r="D16" s="322">
        <f>+'2.sz.mell.'!C7</f>
        <v>6400000</v>
      </c>
      <c r="E16" s="322">
        <f>+'2.sz.mell.'!D7</f>
        <v>6400000</v>
      </c>
      <c r="F16" s="158"/>
      <c r="G16" s="158"/>
      <c r="H16" s="158"/>
    </row>
    <row r="17" spans="2:8" ht="12.75" customHeight="1">
      <c r="B17" s="174" t="s">
        <v>161</v>
      </c>
      <c r="C17" s="175" t="s">
        <v>162</v>
      </c>
      <c r="D17" s="322">
        <f>+'2.sz.mell.'!C8</f>
        <v>100000</v>
      </c>
      <c r="E17" s="322">
        <f>+'2.sz.mell.'!D8</f>
        <v>100000</v>
      </c>
      <c r="F17" s="158"/>
      <c r="G17" s="158"/>
      <c r="H17" s="158"/>
    </row>
    <row r="18" spans="2:8" ht="12.75" customHeight="1">
      <c r="B18" s="174" t="s">
        <v>163</v>
      </c>
      <c r="C18" s="175" t="s">
        <v>164</v>
      </c>
      <c r="D18" s="322">
        <f>+'2.sz.mell.'!C9</f>
        <v>5309530</v>
      </c>
      <c r="E18" s="322">
        <f>+'2.sz.mell.'!D9</f>
        <v>5309530</v>
      </c>
      <c r="F18" s="158"/>
      <c r="G18" s="158"/>
      <c r="H18" s="158"/>
    </row>
    <row r="19" spans="2:8" ht="12.75" customHeight="1">
      <c r="B19" s="174" t="s">
        <v>165</v>
      </c>
      <c r="C19" s="175" t="s">
        <v>166</v>
      </c>
      <c r="D19" s="322">
        <f>+'2.sz.mell.'!C10</f>
        <v>7000000</v>
      </c>
      <c r="E19" s="322">
        <f>+'2.sz.mell.'!D10</f>
        <v>7000000</v>
      </c>
      <c r="F19" s="158"/>
      <c r="G19" s="158"/>
      <c r="H19" s="158"/>
    </row>
    <row r="20" spans="2:8" ht="12.75" customHeight="1">
      <c r="B20" s="174" t="s">
        <v>167</v>
      </c>
      <c r="C20" s="175" t="s">
        <v>168</v>
      </c>
      <c r="D20" s="322">
        <f>+'2.sz.mell.'!C22</f>
        <v>73950</v>
      </c>
      <c r="E20" s="322">
        <f>+'2.sz.mell.'!D22</f>
        <v>73950</v>
      </c>
      <c r="F20" s="158"/>
      <c r="G20" s="158"/>
      <c r="H20" s="158"/>
    </row>
    <row r="21" spans="2:8" ht="12.75" customHeight="1">
      <c r="B21" s="174"/>
      <c r="C21" s="175" t="s">
        <v>169</v>
      </c>
      <c r="D21" s="322">
        <f>+'2.sz.mell.'!C11</f>
        <v>0</v>
      </c>
      <c r="E21" s="322">
        <f>+'2.sz.mell.'!D11</f>
        <v>0</v>
      </c>
      <c r="F21" s="158"/>
      <c r="G21" s="158"/>
      <c r="H21" s="158"/>
    </row>
    <row r="22" spans="2:8" ht="12.75" customHeight="1">
      <c r="B22" s="174"/>
      <c r="C22" s="261" t="s">
        <v>348</v>
      </c>
      <c r="D22" s="322">
        <f>+'2.sz.mell.'!C12</f>
        <v>840800</v>
      </c>
      <c r="E22" s="322">
        <f>+'2.sz.mell.'!D12</f>
        <v>840800</v>
      </c>
      <c r="F22" s="158"/>
      <c r="G22" s="158"/>
      <c r="H22" s="158"/>
    </row>
    <row r="23" spans="2:8" ht="12.75" customHeight="1">
      <c r="B23" s="174" t="s">
        <v>38</v>
      </c>
      <c r="C23" s="176" t="s">
        <v>170</v>
      </c>
      <c r="D23" s="323">
        <f>SUM(D13:D14,D19,D20,D21:D22,)</f>
        <v>100042520</v>
      </c>
      <c r="E23" s="323">
        <f>SUM(E13:E14,E19,E20,E21:E22,)</f>
        <v>113634720</v>
      </c>
      <c r="F23" s="604">
        <v>100042520</v>
      </c>
      <c r="G23" s="158"/>
      <c r="H23" s="158"/>
    </row>
    <row r="24" spans="2:8">
      <c r="B24" s="174"/>
      <c r="C24" s="175" t="s">
        <v>505</v>
      </c>
      <c r="D24" s="324">
        <v>45463600</v>
      </c>
      <c r="E24" s="324">
        <v>45463600</v>
      </c>
      <c r="F24" s="203"/>
    </row>
    <row r="25" spans="2:8">
      <c r="B25" s="174"/>
      <c r="C25" s="175" t="s">
        <v>506</v>
      </c>
      <c r="D25" s="324">
        <v>0</v>
      </c>
      <c r="E25" s="324">
        <v>0</v>
      </c>
      <c r="F25" s="203"/>
    </row>
    <row r="26" spans="2:8">
      <c r="B26" s="174"/>
      <c r="C26" s="175" t="s">
        <v>349</v>
      </c>
      <c r="D26" s="324">
        <v>0</v>
      </c>
      <c r="E26" s="324">
        <v>0</v>
      </c>
    </row>
    <row r="27" spans="2:8" ht="32.25" customHeight="1">
      <c r="B27" s="174"/>
      <c r="C27" s="179" t="s">
        <v>509</v>
      </c>
      <c r="D27" s="324">
        <v>1983500</v>
      </c>
      <c r="E27" s="324">
        <v>1983500</v>
      </c>
    </row>
    <row r="28" spans="2:8">
      <c r="B28" s="174"/>
      <c r="C28" s="175" t="s">
        <v>334</v>
      </c>
      <c r="D28" s="324">
        <v>13920000</v>
      </c>
      <c r="E28" s="324">
        <v>13920000</v>
      </c>
    </row>
    <row r="29" spans="2:8">
      <c r="B29" s="174"/>
      <c r="C29" s="177" t="s">
        <v>335</v>
      </c>
      <c r="D29" s="324">
        <v>0</v>
      </c>
      <c r="E29" s="324">
        <v>0</v>
      </c>
    </row>
    <row r="30" spans="2:8">
      <c r="B30" s="174"/>
      <c r="C30" s="175" t="s">
        <v>507</v>
      </c>
      <c r="D30" s="324">
        <v>10129600</v>
      </c>
      <c r="E30" s="324">
        <v>10129600</v>
      </c>
    </row>
    <row r="31" spans="2:8">
      <c r="B31" s="174"/>
      <c r="C31" s="175" t="s">
        <v>508</v>
      </c>
      <c r="D31" s="324">
        <v>0</v>
      </c>
      <c r="E31" s="324">
        <v>0</v>
      </c>
    </row>
    <row r="32" spans="2:8">
      <c r="B32" s="174" t="s">
        <v>39</v>
      </c>
      <c r="C32" s="178" t="s">
        <v>300</v>
      </c>
      <c r="D32" s="325">
        <f>SUM(D24:D31)</f>
        <v>71496700</v>
      </c>
      <c r="E32" s="325">
        <f>SUM(E24:E31)</f>
        <v>71496700</v>
      </c>
      <c r="F32" s="37">
        <v>71496700</v>
      </c>
    </row>
    <row r="33" spans="2:6">
      <c r="B33" s="174"/>
      <c r="C33" s="175" t="s">
        <v>301</v>
      </c>
      <c r="D33" s="324">
        <f>+'2.sz.mell.'!C14</f>
        <v>19727792</v>
      </c>
      <c r="E33" s="324">
        <f>+'2.sz.mell.'!D14</f>
        <v>19727792</v>
      </c>
    </row>
    <row r="34" spans="2:6">
      <c r="B34" s="174"/>
      <c r="C34" s="175" t="s">
        <v>552</v>
      </c>
      <c r="D34" s="324">
        <v>20394000</v>
      </c>
      <c r="E34" s="324">
        <v>20394000</v>
      </c>
    </row>
    <row r="35" spans="2:6">
      <c r="B35" s="174"/>
      <c r="C35" s="175" t="s">
        <v>171</v>
      </c>
      <c r="D35" s="324">
        <v>24051380</v>
      </c>
      <c r="E35" s="324">
        <v>24051380</v>
      </c>
    </row>
    <row r="36" spans="2:6">
      <c r="B36" s="174"/>
      <c r="C36" s="175" t="s">
        <v>553</v>
      </c>
      <c r="D36" s="324">
        <v>932520</v>
      </c>
      <c r="E36" s="324">
        <v>932520</v>
      </c>
    </row>
    <row r="37" spans="2:6">
      <c r="B37" s="174"/>
      <c r="C37" s="175" t="s">
        <v>302</v>
      </c>
      <c r="D37" s="324">
        <v>3400000</v>
      </c>
      <c r="E37" s="324">
        <v>3400000</v>
      </c>
    </row>
    <row r="38" spans="2:6">
      <c r="B38" s="174"/>
      <c r="C38" s="175" t="s">
        <v>550</v>
      </c>
      <c r="D38" s="324">
        <v>5555600</v>
      </c>
      <c r="E38" s="324">
        <v>5555600</v>
      </c>
    </row>
    <row r="39" spans="2:6">
      <c r="B39" s="174"/>
      <c r="C39" s="175" t="s">
        <v>510</v>
      </c>
      <c r="D39" s="324">
        <v>150000</v>
      </c>
      <c r="E39" s="324">
        <v>150000</v>
      </c>
    </row>
    <row r="40" spans="2:6">
      <c r="B40" s="174"/>
      <c r="C40" s="175" t="s">
        <v>551</v>
      </c>
      <c r="D40" s="324">
        <v>5940000</v>
      </c>
      <c r="E40" s="324">
        <v>5940000</v>
      </c>
    </row>
    <row r="41" spans="2:6">
      <c r="B41" s="174"/>
      <c r="C41" s="175" t="s">
        <v>511</v>
      </c>
      <c r="D41" s="324">
        <v>3230000</v>
      </c>
      <c r="E41" s="324">
        <v>3230000</v>
      </c>
    </row>
    <row r="42" spans="2:6">
      <c r="B42" s="536"/>
      <c r="C42" s="175" t="s">
        <v>512</v>
      </c>
      <c r="D42" s="324">
        <v>7482500</v>
      </c>
      <c r="E42" s="324">
        <v>7482500</v>
      </c>
    </row>
    <row r="43" spans="2:6">
      <c r="B43" s="536"/>
      <c r="C43" s="175" t="s">
        <v>513</v>
      </c>
      <c r="D43" s="324">
        <v>3298000</v>
      </c>
      <c r="E43" s="324">
        <v>3298000</v>
      </c>
    </row>
    <row r="44" spans="2:6">
      <c r="B44" s="174" t="s">
        <v>172</v>
      </c>
      <c r="C44" s="176" t="s">
        <v>173</v>
      </c>
      <c r="D44" s="325">
        <f>SUM(D33:D43)</f>
        <v>94161792</v>
      </c>
      <c r="E44" s="325">
        <f>SUM(E33:E43)</f>
        <v>94161792</v>
      </c>
      <c r="F44" s="37">
        <v>94161792</v>
      </c>
    </row>
    <row r="45" spans="2:6">
      <c r="B45" s="174"/>
      <c r="C45" s="175" t="s">
        <v>174</v>
      </c>
      <c r="D45" s="324">
        <f>+'2.sz.mell.'!C21</f>
        <v>3074958</v>
      </c>
      <c r="E45" s="324">
        <f>+'2.sz.mell.'!D21</f>
        <v>3074958</v>
      </c>
    </row>
    <row r="46" spans="2:6">
      <c r="B46" s="174" t="s">
        <v>43</v>
      </c>
      <c r="C46" s="176" t="s">
        <v>175</v>
      </c>
      <c r="D46" s="325">
        <f>D45</f>
        <v>3074958</v>
      </c>
      <c r="E46" s="325">
        <f>E45</f>
        <v>3074958</v>
      </c>
      <c r="F46" s="37">
        <v>3074958</v>
      </c>
    </row>
    <row r="47" spans="2:6">
      <c r="B47" s="174"/>
      <c r="C47" s="176" t="s">
        <v>644</v>
      </c>
      <c r="D47" s="325">
        <f>+'2.sz.mell.'!C34+'2.sz.mell.'!C35</f>
        <v>63287243</v>
      </c>
      <c r="E47" s="325">
        <f>+'2.sz.mell.'!D34+'2.sz.mell.'!D35</f>
        <v>63980503</v>
      </c>
    </row>
    <row r="48" spans="2:6">
      <c r="B48" s="174" t="s">
        <v>211</v>
      </c>
      <c r="C48" s="176" t="s">
        <v>303</v>
      </c>
      <c r="D48" s="325">
        <f>+'2.sz.mell.'!C23</f>
        <v>0</v>
      </c>
      <c r="E48" s="325">
        <f>+'2.sz.mell.'!D23</f>
        <v>0</v>
      </c>
    </row>
    <row r="49" spans="2:6" ht="25.5">
      <c r="B49" s="174"/>
      <c r="C49" s="179" t="s">
        <v>336</v>
      </c>
      <c r="D49" s="325">
        <f>SUM(D23,D32,D44,D46,D48)+D47</f>
        <v>332063213</v>
      </c>
      <c r="E49" s="325">
        <f>SUM(E23,E32,E44,E46,E48)+E47</f>
        <v>346348673</v>
      </c>
    </row>
    <row r="51" spans="2:6">
      <c r="D51" s="44">
        <f>+'2.sz.mell.'!C25+'2.sz.mell.'!C34+'2.sz.mell.'!C35</f>
        <v>332063213</v>
      </c>
      <c r="E51" s="44">
        <f>+'2.sz.mell.'!D25+'2.sz.mell.'!D34+'2.sz.mell.'!D35</f>
        <v>349669380</v>
      </c>
    </row>
    <row r="52" spans="2:6">
      <c r="D52" s="44">
        <f>+D51-D49</f>
        <v>0</v>
      </c>
    </row>
    <row r="53" spans="2:6">
      <c r="E53" s="44">
        <f>+E51-E49</f>
        <v>3320707</v>
      </c>
      <c r="F53" s="37" t="s">
        <v>645</v>
      </c>
    </row>
  </sheetData>
  <mergeCells count="5">
    <mergeCell ref="A7:C7"/>
    <mergeCell ref="A1:E1"/>
    <mergeCell ref="A2:E2"/>
    <mergeCell ref="A3:E3"/>
    <mergeCell ref="A5:C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1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F28"/>
  <sheetViews>
    <sheetView view="pageBreakPreview" zoomScale="60" zoomScaleNormal="100" workbookViewId="0">
      <selection activeCell="B32" sqref="B32"/>
    </sheetView>
  </sheetViews>
  <sheetFormatPr defaultRowHeight="12.75"/>
  <cols>
    <col min="1" max="1" width="10.28515625" style="46" customWidth="1"/>
    <col min="2" max="2" width="55" style="46" customWidth="1"/>
    <col min="3" max="3" width="23.28515625" style="46" customWidth="1"/>
    <col min="4" max="5" width="19.7109375" style="46" customWidth="1"/>
    <col min="6" max="6" width="10.85546875" style="46" bestFit="1" customWidth="1"/>
    <col min="7" max="16384" width="9.140625" style="46"/>
  </cols>
  <sheetData>
    <row r="1" spans="1:6" ht="39" customHeight="1">
      <c r="A1" s="699" t="s">
        <v>669</v>
      </c>
      <c r="B1" s="699"/>
      <c r="C1" s="699"/>
      <c r="D1" s="263"/>
      <c r="E1" s="263"/>
      <c r="F1" s="263"/>
    </row>
    <row r="2" spans="1:6" ht="22.5" customHeight="1">
      <c r="A2" s="260"/>
      <c r="B2" s="260"/>
      <c r="C2" s="260"/>
      <c r="D2" s="260"/>
      <c r="E2" s="263"/>
      <c r="F2" s="263"/>
    </row>
    <row r="3" spans="1:6" ht="39" customHeight="1">
      <c r="A3" s="698" t="s">
        <v>555</v>
      </c>
      <c r="B3" s="698"/>
      <c r="C3" s="698"/>
      <c r="D3" s="262"/>
      <c r="E3" s="262"/>
      <c r="F3" s="262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D7" s="239" t="s">
        <v>317</v>
      </c>
    </row>
    <row r="8" spans="1:6" ht="26.25" customHeight="1" thickBot="1">
      <c r="B8" s="551" t="s">
        <v>65</v>
      </c>
      <c r="C8" s="551" t="s">
        <v>554</v>
      </c>
      <c r="D8" s="551" t="s">
        <v>625</v>
      </c>
      <c r="E8" s="552"/>
      <c r="F8" s="552"/>
    </row>
    <row r="9" spans="1:6" ht="18.75">
      <c r="B9" s="553" t="str">
        <f>+'2.sz.mell.'!B58</f>
        <v>Traktor beszerzés támogatás (ÁHT-n belül) (B25)</v>
      </c>
      <c r="C9" s="554">
        <f>+'2.sz.mell.'!C58</f>
        <v>0</v>
      </c>
      <c r="D9" s="554">
        <f>+'2.sz.mell.'!D58</f>
        <v>0</v>
      </c>
      <c r="E9" s="552"/>
      <c r="F9" s="552"/>
    </row>
    <row r="10" spans="1:6" ht="18.75">
      <c r="B10" s="553" t="str">
        <f>+'2.sz.mell.'!B59</f>
        <v>EFOP program támogatása (B25)</v>
      </c>
      <c r="C10" s="555">
        <f>+'2.sz.mell.'!C59</f>
        <v>5096029</v>
      </c>
      <c r="D10" s="555">
        <f>+'2.sz.mell.'!D59</f>
        <v>5096029</v>
      </c>
      <c r="E10" s="552"/>
      <c r="F10" s="552"/>
    </row>
    <row r="11" spans="1:6" ht="18.75">
      <c r="B11" s="553" t="s">
        <v>514</v>
      </c>
      <c r="C11" s="555">
        <v>3275011</v>
      </c>
      <c r="D11" s="555">
        <v>3275011</v>
      </c>
      <c r="E11" s="552"/>
      <c r="F11" s="552"/>
    </row>
    <row r="12" spans="1:6" ht="18.75">
      <c r="B12" s="553" t="s">
        <v>515</v>
      </c>
      <c r="C12" s="555">
        <v>1821018</v>
      </c>
      <c r="D12" s="555">
        <v>1821018</v>
      </c>
      <c r="E12" s="552"/>
      <c r="F12" s="552"/>
    </row>
    <row r="13" spans="1:6" ht="18.75">
      <c r="B13" s="553" t="str">
        <f>+'2.sz.mell.'!B60</f>
        <v>Orvosi rendelő építés pályázati támogatás (B25)</v>
      </c>
      <c r="C13" s="555">
        <f>+'2.sz.mell.'!C60</f>
        <v>0</v>
      </c>
      <c r="D13" s="555">
        <f>+'2.sz.mell.'!D60</f>
        <v>284433287</v>
      </c>
      <c r="E13" s="552"/>
      <c r="F13" s="552"/>
    </row>
    <row r="14" spans="1:6" ht="18.75">
      <c r="B14" s="553" t="str">
        <f>+'2.sz.mell.'!B61</f>
        <v>Kamerarendszer kiépítésének támogatása (B25)</v>
      </c>
      <c r="C14" s="555">
        <f>+'2.sz.mell.'!C61</f>
        <v>0</v>
      </c>
      <c r="D14" s="555">
        <f>+'2.sz.mell.'!D61</f>
        <v>8798088</v>
      </c>
      <c r="E14" s="552"/>
      <c r="F14" s="552"/>
    </row>
    <row r="15" spans="1:6" ht="18.75">
      <c r="B15" s="553" t="str">
        <f>+'2.sz.mell.'!B62</f>
        <v>Rákóczi utca vízelvezetés támogatása (B25)</v>
      </c>
      <c r="C15" s="555">
        <f>+'2.sz.mell.'!C62</f>
        <v>0</v>
      </c>
      <c r="D15" s="555">
        <f>+'2.sz.mell.'!D62</f>
        <v>154655790</v>
      </c>
      <c r="E15" s="552"/>
      <c r="F15" s="552"/>
    </row>
    <row r="16" spans="1:6" s="49" customFormat="1" ht="33" customHeight="1">
      <c r="B16" s="556" t="s">
        <v>58</v>
      </c>
      <c r="C16" s="557">
        <f>+C9+C10+C13+C14</f>
        <v>5096029</v>
      </c>
      <c r="D16" s="557">
        <f>+D9+D10+D13+D14+D15</f>
        <v>452983194</v>
      </c>
      <c r="E16" s="559">
        <f>+'5 b.sz.mell.'!H61</f>
        <v>5096029</v>
      </c>
      <c r="F16" s="558"/>
    </row>
    <row r="17" spans="2:6" s="562" customFormat="1" ht="39" customHeight="1">
      <c r="B17" s="563" t="s">
        <v>324</v>
      </c>
      <c r="C17" s="564">
        <f>+'3.sz.mell.'!E23</f>
        <v>116182762</v>
      </c>
      <c r="D17" s="564">
        <f>+'3.sz.mell.'!F23</f>
        <v>116182762</v>
      </c>
      <c r="E17" s="566"/>
      <c r="F17" s="565"/>
    </row>
    <row r="18" spans="2:6" ht="27.75" customHeight="1">
      <c r="B18" s="556" t="s">
        <v>58</v>
      </c>
      <c r="C18" s="557">
        <f>SUM(C17)</f>
        <v>116182762</v>
      </c>
      <c r="D18" s="557">
        <f>SUM(D17)</f>
        <v>116182762</v>
      </c>
      <c r="E18" s="552"/>
      <c r="F18" s="552"/>
    </row>
    <row r="19" spans="2:6" ht="26.25" customHeight="1">
      <c r="B19" s="560" t="s">
        <v>59</v>
      </c>
      <c r="C19" s="557">
        <f>SUM(C16,C18)</f>
        <v>121278791</v>
      </c>
      <c r="D19" s="557">
        <f>SUM(D16,D18)</f>
        <v>569165956</v>
      </c>
      <c r="E19" s="561"/>
      <c r="F19" s="552"/>
    </row>
    <row r="20" spans="2:6" ht="18.75">
      <c r="B20" s="552"/>
      <c r="C20" s="552"/>
      <c r="D20" s="552"/>
      <c r="E20" s="552"/>
      <c r="F20" s="552"/>
    </row>
    <row r="21" spans="2:6" ht="18.75">
      <c r="B21" s="552"/>
      <c r="C21" s="561">
        <f>+'3.sz.mell.'!E24</f>
        <v>121278791</v>
      </c>
      <c r="D21" s="561">
        <f>+'3.sz.mell.'!F24</f>
        <v>569165956</v>
      </c>
      <c r="E21" s="552"/>
      <c r="F21" s="552"/>
    </row>
    <row r="22" spans="2:6" ht="18.75">
      <c r="B22" s="552"/>
      <c r="C22" s="561"/>
      <c r="D22" s="552"/>
      <c r="E22" s="552"/>
      <c r="F22" s="552"/>
    </row>
    <row r="23" spans="2:6" ht="18.75">
      <c r="B23" s="552"/>
      <c r="C23" s="552"/>
      <c r="D23" s="561"/>
      <c r="E23" s="552"/>
      <c r="F23" s="552"/>
    </row>
    <row r="24" spans="2:6" ht="18.75">
      <c r="B24" s="552"/>
      <c r="C24" s="552"/>
      <c r="D24" s="552"/>
      <c r="E24" s="552"/>
      <c r="F24" s="552"/>
    </row>
    <row r="25" spans="2:6" ht="18.75">
      <c r="B25" s="552"/>
      <c r="C25" s="552"/>
      <c r="D25" s="552"/>
      <c r="E25" s="552"/>
      <c r="F25" s="552"/>
    </row>
    <row r="26" spans="2:6" ht="18.75">
      <c r="B26" s="552"/>
      <c r="C26" s="552"/>
      <c r="D26" s="552"/>
      <c r="E26" s="552"/>
      <c r="F26" s="552"/>
    </row>
    <row r="27" spans="2:6" ht="18.75">
      <c r="B27" s="552"/>
      <c r="C27" s="552"/>
      <c r="D27" s="552"/>
      <c r="E27" s="552"/>
      <c r="F27" s="552"/>
    </row>
    <row r="28" spans="2:6" ht="18.75">
      <c r="B28" s="552"/>
      <c r="C28" s="552"/>
      <c r="D28" s="552"/>
      <c r="E28" s="552"/>
      <c r="F28" s="552"/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L129"/>
  <sheetViews>
    <sheetView view="pageBreakPreview" zoomScale="60" zoomScaleNormal="100" workbookViewId="0">
      <selection activeCell="B32" sqref="B32"/>
    </sheetView>
  </sheetViews>
  <sheetFormatPr defaultRowHeight="15.75"/>
  <cols>
    <col min="1" max="1" width="5.85546875" style="46" customWidth="1"/>
    <col min="2" max="2" width="57.140625" style="59" customWidth="1"/>
    <col min="3" max="3" width="30.85546875" style="59" customWidth="1"/>
    <col min="4" max="4" width="18.5703125" style="65" customWidth="1"/>
    <col min="5" max="5" width="18.85546875" style="46" customWidth="1"/>
    <col min="6" max="16384" width="9.140625" style="46"/>
  </cols>
  <sheetData>
    <row r="1" spans="1:5" ht="30" customHeight="1">
      <c r="A1" s="632" t="s">
        <v>670</v>
      </c>
      <c r="B1" s="632"/>
      <c r="C1" s="632"/>
      <c r="D1" s="632"/>
      <c r="E1" s="632"/>
    </row>
    <row r="2" spans="1:5" ht="30" customHeight="1">
      <c r="A2" s="259"/>
      <c r="B2" s="259"/>
      <c r="C2" s="259"/>
      <c r="D2" s="259"/>
      <c r="E2" s="259"/>
    </row>
    <row r="3" spans="1:5" ht="49.5" customHeight="1">
      <c r="A3" s="700" t="s">
        <v>556</v>
      </c>
      <c r="B3" s="700"/>
      <c r="C3" s="700"/>
      <c r="D3" s="700"/>
      <c r="E3" s="700"/>
    </row>
    <row r="4" spans="1:5">
      <c r="B4" s="53"/>
      <c r="C4" s="53"/>
      <c r="D4" s="54"/>
    </row>
    <row r="5" spans="1:5" ht="19.5" customHeight="1" thickBot="1">
      <c r="B5" s="53"/>
      <c r="C5" s="53"/>
      <c r="D5" s="54" t="s">
        <v>317</v>
      </c>
    </row>
    <row r="6" spans="1:5" s="49" customFormat="1" ht="56.25" customHeight="1" thickBot="1">
      <c r="B6" s="264" t="s">
        <v>314</v>
      </c>
      <c r="C6" s="265" t="s">
        <v>304</v>
      </c>
      <c r="D6" s="457" t="s">
        <v>516</v>
      </c>
      <c r="E6" s="457" t="s">
        <v>626</v>
      </c>
    </row>
    <row r="7" spans="1:5">
      <c r="B7" s="55" t="s">
        <v>61</v>
      </c>
      <c r="C7" s="55"/>
      <c r="D7" s="267">
        <f>SUM(D8:D10)</f>
        <v>0</v>
      </c>
      <c r="E7" s="267">
        <f>SUM(E8:E10)</f>
        <v>0</v>
      </c>
    </row>
    <row r="8" spans="1:5">
      <c r="B8" s="399"/>
      <c r="C8" s="567" t="s">
        <v>305</v>
      </c>
      <c r="D8" s="398">
        <v>0</v>
      </c>
      <c r="E8" s="398">
        <v>0</v>
      </c>
    </row>
    <row r="9" spans="1:5" hidden="1">
      <c r="B9" s="399" t="s">
        <v>518</v>
      </c>
      <c r="C9" s="567" t="s">
        <v>305</v>
      </c>
      <c r="D9" s="398">
        <v>0</v>
      </c>
      <c r="E9" s="398">
        <v>0</v>
      </c>
    </row>
    <row r="10" spans="1:5" hidden="1">
      <c r="B10" s="345" t="s">
        <v>517</v>
      </c>
      <c r="C10" s="343" t="s">
        <v>305</v>
      </c>
      <c r="D10" s="344">
        <v>0</v>
      </c>
      <c r="E10" s="344">
        <v>0</v>
      </c>
    </row>
    <row r="11" spans="1:5">
      <c r="B11" s="56" t="s">
        <v>62</v>
      </c>
      <c r="C11" s="55"/>
      <c r="D11" s="422">
        <f>+SUM(D12:D34)</f>
        <v>59816102</v>
      </c>
      <c r="E11" s="422">
        <f>+SUM(E12:E38)</f>
        <v>446817551</v>
      </c>
    </row>
    <row r="12" spans="1:5">
      <c r="B12" s="345" t="s">
        <v>557</v>
      </c>
      <c r="C12" s="343" t="s">
        <v>305</v>
      </c>
      <c r="D12" s="400">
        <f>300000+1100000</f>
        <v>1400000</v>
      </c>
      <c r="E12" s="400">
        <f>300000+1100000</f>
        <v>1400000</v>
      </c>
    </row>
    <row r="13" spans="1:5">
      <c r="B13" s="342" t="s">
        <v>558</v>
      </c>
      <c r="C13" s="266" t="s">
        <v>305</v>
      </c>
      <c r="D13" s="400">
        <f>2362204+637795</f>
        <v>2999999</v>
      </c>
      <c r="E13" s="400">
        <f>2362204+637795</f>
        <v>2999999</v>
      </c>
    </row>
    <row r="14" spans="1:5">
      <c r="B14" s="342" t="s">
        <v>559</v>
      </c>
      <c r="C14" s="266" t="s">
        <v>305</v>
      </c>
      <c r="D14" s="400">
        <v>436880</v>
      </c>
      <c r="E14" s="400">
        <v>436880</v>
      </c>
    </row>
    <row r="15" spans="1:5" ht="47.25">
      <c r="B15" s="568" t="s">
        <v>560</v>
      </c>
      <c r="C15" s="266" t="s">
        <v>305</v>
      </c>
      <c r="D15" s="400">
        <f>1835000+1100000</f>
        <v>2935000</v>
      </c>
      <c r="E15" s="400">
        <f>1835000+1100000</f>
        <v>2935000</v>
      </c>
    </row>
    <row r="16" spans="1:5">
      <c r="B16" s="342" t="s">
        <v>561</v>
      </c>
      <c r="C16" s="266" t="s">
        <v>305</v>
      </c>
      <c r="D16" s="400">
        <v>700000</v>
      </c>
      <c r="E16" s="400">
        <v>700000</v>
      </c>
    </row>
    <row r="17" spans="2:12">
      <c r="B17" s="342" t="s">
        <v>562</v>
      </c>
      <c r="C17" s="266" t="s">
        <v>305</v>
      </c>
      <c r="D17" s="400">
        <v>2400000</v>
      </c>
      <c r="E17" s="400">
        <v>2400000</v>
      </c>
    </row>
    <row r="18" spans="2:12">
      <c r="B18" s="342" t="s">
        <v>563</v>
      </c>
      <c r="C18" s="266" t="s">
        <v>305</v>
      </c>
      <c r="D18" s="400">
        <v>1000000</v>
      </c>
      <c r="E18" s="400">
        <v>1000000</v>
      </c>
    </row>
    <row r="19" spans="2:12" ht="63">
      <c r="B19" s="568" t="s">
        <v>654</v>
      </c>
      <c r="C19" s="266" t="s">
        <v>306</v>
      </c>
      <c r="D19" s="400">
        <f>4999736+1350000+1215000+4500000</f>
        <v>12064736</v>
      </c>
      <c r="E19" s="626">
        <f>4999736+1350000</f>
        <v>6349736</v>
      </c>
      <c r="F19" s="46">
        <f>4500000+1215000</f>
        <v>5715000</v>
      </c>
      <c r="G19" s="46">
        <f>4999736+1350000</f>
        <v>6349736</v>
      </c>
      <c r="J19" s="46">
        <v>21434658</v>
      </c>
      <c r="K19" s="46">
        <f>4999736+1350000+11811022+3188976+66869+18055</f>
        <v>21434658</v>
      </c>
    </row>
    <row r="20" spans="2:12" ht="31.5">
      <c r="B20" s="568" t="s">
        <v>651</v>
      </c>
      <c r="C20" s="266" t="s">
        <v>306</v>
      </c>
      <c r="D20" s="400">
        <v>0</v>
      </c>
      <c r="E20" s="626">
        <f>4500000+1215000</f>
        <v>5715000</v>
      </c>
    </row>
    <row r="21" spans="2:12">
      <c r="B21" s="568" t="s">
        <v>646</v>
      </c>
      <c r="C21" s="266" t="s">
        <v>306</v>
      </c>
      <c r="D21" s="400">
        <v>0</v>
      </c>
      <c r="E21" s="400">
        <v>273050</v>
      </c>
      <c r="J21" s="46" t="s">
        <v>648</v>
      </c>
    </row>
    <row r="22" spans="2:12">
      <c r="B22" s="342" t="s">
        <v>652</v>
      </c>
      <c r="C22" s="266" t="s">
        <v>306</v>
      </c>
      <c r="D22" s="400">
        <f>11811022+3188976</f>
        <v>14999998</v>
      </c>
      <c r="E22" s="626">
        <f>11811022+3188976-1490036</f>
        <v>13509962</v>
      </c>
      <c r="J22" s="46" t="s">
        <v>649</v>
      </c>
    </row>
    <row r="23" spans="2:12">
      <c r="B23" s="342" t="s">
        <v>653</v>
      </c>
      <c r="C23" s="266" t="s">
        <v>305</v>
      </c>
      <c r="D23" s="400">
        <v>0</v>
      </c>
      <c r="E23" s="626">
        <f>1905000+1490036+763400+118600</f>
        <v>4277036</v>
      </c>
    </row>
    <row r="24" spans="2:12">
      <c r="B24" s="342" t="s">
        <v>564</v>
      </c>
      <c r="C24" s="266" t="s">
        <v>306</v>
      </c>
      <c r="D24" s="400">
        <f>66869+18055</f>
        <v>84924</v>
      </c>
      <c r="E24" s="626">
        <f>66869+18055</f>
        <v>84924</v>
      </c>
      <c r="L24" s="46">
        <f>11811022+3188976</f>
        <v>14999998</v>
      </c>
    </row>
    <row r="25" spans="2:12">
      <c r="B25" s="342" t="s">
        <v>565</v>
      </c>
      <c r="C25" s="266" t="s">
        <v>306</v>
      </c>
      <c r="D25" s="400">
        <f>1200000+350000</f>
        <v>1550000</v>
      </c>
      <c r="E25" s="400">
        <v>1674000</v>
      </c>
      <c r="J25" s="46" t="s">
        <v>650</v>
      </c>
    </row>
    <row r="26" spans="2:12">
      <c r="B26" s="342" t="s">
        <v>566</v>
      </c>
      <c r="C26" s="266" t="s">
        <v>306</v>
      </c>
      <c r="D26" s="400">
        <f>1520000+410400</f>
        <v>1930400</v>
      </c>
      <c r="E26" s="400">
        <f>1520000+410400</f>
        <v>1930400</v>
      </c>
      <c r="K26" s="46">
        <f>66869+18055</f>
        <v>84924</v>
      </c>
    </row>
    <row r="27" spans="2:12">
      <c r="B27" s="342" t="s">
        <v>567</v>
      </c>
      <c r="C27" s="266" t="s">
        <v>306</v>
      </c>
      <c r="D27" s="400">
        <f>12000000+3240000</f>
        <v>15240000</v>
      </c>
      <c r="E27" s="400">
        <f>12000000+3240000</f>
        <v>15240000</v>
      </c>
    </row>
    <row r="28" spans="2:12">
      <c r="B28" s="342" t="s">
        <v>572</v>
      </c>
      <c r="C28" s="266" t="s">
        <v>305</v>
      </c>
      <c r="D28" s="605">
        <v>682365</v>
      </c>
      <c r="E28" s="605">
        <v>682365</v>
      </c>
    </row>
    <row r="29" spans="2:12">
      <c r="B29" s="342" t="s">
        <v>568</v>
      </c>
      <c r="C29" s="266" t="s">
        <v>305</v>
      </c>
      <c r="D29" s="400">
        <v>381000</v>
      </c>
      <c r="E29" s="400">
        <v>421513</v>
      </c>
    </row>
    <row r="30" spans="2:12">
      <c r="B30" s="342" t="s">
        <v>569</v>
      </c>
      <c r="C30" s="266" t="s">
        <v>305</v>
      </c>
      <c r="D30" s="400">
        <v>50800</v>
      </c>
      <c r="E30" s="400">
        <v>50800</v>
      </c>
    </row>
    <row r="31" spans="2:12">
      <c r="B31" s="342" t="s">
        <v>570</v>
      </c>
      <c r="C31" s="266" t="s">
        <v>305</v>
      </c>
      <c r="D31" s="400">
        <v>205000</v>
      </c>
      <c r="E31" s="400">
        <v>205000</v>
      </c>
    </row>
    <row r="32" spans="2:12">
      <c r="B32" s="342" t="s">
        <v>571</v>
      </c>
      <c r="C32" s="266" t="s">
        <v>305</v>
      </c>
      <c r="D32" s="400">
        <v>205000</v>
      </c>
      <c r="E32" s="400">
        <v>205000</v>
      </c>
    </row>
    <row r="33" spans="2:5">
      <c r="B33" s="342" t="s">
        <v>573</v>
      </c>
      <c r="C33" s="266" t="s">
        <v>306</v>
      </c>
      <c r="D33" s="400">
        <v>150000</v>
      </c>
      <c r="E33" s="400">
        <v>150000</v>
      </c>
    </row>
    <row r="34" spans="2:5">
      <c r="B34" s="568" t="s">
        <v>574</v>
      </c>
      <c r="C34" s="569" t="s">
        <v>306</v>
      </c>
      <c r="D34" s="400">
        <v>400000</v>
      </c>
      <c r="E34" s="400">
        <v>400000</v>
      </c>
    </row>
    <row r="35" spans="2:5">
      <c r="B35" s="568" t="s">
        <v>647</v>
      </c>
      <c r="C35" s="569" t="s">
        <v>305</v>
      </c>
      <c r="D35" s="400">
        <v>0</v>
      </c>
      <c r="E35" s="400">
        <v>191232</v>
      </c>
    </row>
    <row r="36" spans="2:5">
      <c r="B36" s="568" t="str">
        <f>+'7.sz.mell.'!B13</f>
        <v>Orvosi rendelő építés pályázati támogatás (B25)</v>
      </c>
      <c r="C36" s="569" t="s">
        <v>305</v>
      </c>
      <c r="D36" s="400">
        <f>+'7.sz.mell.'!C13</f>
        <v>0</v>
      </c>
      <c r="E36" s="400">
        <f>+'5.a sz.mell.'!U22-E35</f>
        <v>218881981</v>
      </c>
    </row>
    <row r="37" spans="2:5">
      <c r="B37" s="568" t="str">
        <f>+'7.sz.mell.'!B14</f>
        <v>Kamerarendszer kiépítésének támogatása (B25)</v>
      </c>
      <c r="C37" s="569" t="s">
        <v>305</v>
      </c>
      <c r="D37" s="400">
        <f>+'7.sz.mell.'!C14</f>
        <v>0</v>
      </c>
      <c r="E37" s="400">
        <f>+'5.a sz.mell.'!U21</f>
        <v>10047883</v>
      </c>
    </row>
    <row r="38" spans="2:5">
      <c r="B38" s="568" t="str">
        <f>+'7.sz.mell.'!B15</f>
        <v>Rákóczi utca vízelvezetés támogatása (B25)</v>
      </c>
      <c r="C38" s="569" t="s">
        <v>306</v>
      </c>
      <c r="D38" s="400">
        <f>+'7.sz.mell.'!C15</f>
        <v>0</v>
      </c>
      <c r="E38" s="400">
        <f>+'5.a sz.mell.'!W14</f>
        <v>154655790</v>
      </c>
    </row>
    <row r="39" spans="2:5" ht="15" customHeight="1">
      <c r="B39" s="52" t="s">
        <v>58</v>
      </c>
      <c r="C39" s="52"/>
      <c r="D39" s="341">
        <f>+D11+D7</f>
        <v>59816102</v>
      </c>
      <c r="E39" s="341">
        <f>+E11+E7</f>
        <v>446817551</v>
      </c>
    </row>
    <row r="40" spans="2:5" s="49" customFormat="1">
      <c r="B40" s="57"/>
      <c r="C40" s="57"/>
      <c r="D40" s="460"/>
    </row>
    <row r="41" spans="2:5" ht="24.75" customHeight="1">
      <c r="B41" s="57"/>
      <c r="C41" s="57"/>
      <c r="D41" s="58">
        <f>+'5.a sz.mell.'!T66+'5.a sz.mell.'!V66</f>
        <v>59816102</v>
      </c>
      <c r="E41" s="58">
        <f>+'5.a sz.mell.'!U66+'5.a sz.mell.'!W66</f>
        <v>446817551</v>
      </c>
    </row>
    <row r="42" spans="2:5" ht="11.25" customHeight="1">
      <c r="B42" s="57"/>
      <c r="C42" s="57"/>
      <c r="D42" s="58"/>
    </row>
    <row r="43" spans="2:5" s="49" customFormat="1">
      <c r="B43" s="57"/>
      <c r="C43" s="57"/>
      <c r="D43" s="58">
        <f>+D39-D41</f>
        <v>0</v>
      </c>
      <c r="E43" s="460">
        <f>+E41-D39</f>
        <v>387001449</v>
      </c>
    </row>
    <row r="44" spans="2:5" s="49" customFormat="1">
      <c r="B44" s="59"/>
      <c r="C44" s="59"/>
      <c r="D44" s="59"/>
    </row>
    <row r="45" spans="2:5">
      <c r="D45" s="59"/>
      <c r="E45" s="431">
        <f>+E39-E41</f>
        <v>0</v>
      </c>
    </row>
    <row r="46" spans="2:5" s="49" customFormat="1">
      <c r="B46" s="59"/>
      <c r="C46" s="59"/>
      <c r="D46" s="59"/>
      <c r="E46" s="49">
        <v>1905000</v>
      </c>
    </row>
    <row r="47" spans="2:5">
      <c r="D47" s="59"/>
    </row>
    <row r="48" spans="2:5">
      <c r="D48" s="59"/>
    </row>
    <row r="49" spans="2:4">
      <c r="D49" s="59"/>
    </row>
    <row r="50" spans="2:4">
      <c r="D50" s="59"/>
    </row>
    <row r="51" spans="2:4">
      <c r="D51" s="59"/>
    </row>
    <row r="52" spans="2:4">
      <c r="D52" s="59"/>
    </row>
    <row r="53" spans="2:4">
      <c r="D53" s="59"/>
    </row>
    <row r="54" spans="2:4">
      <c r="D54" s="59"/>
    </row>
    <row r="55" spans="2:4">
      <c r="D55" s="59"/>
    </row>
    <row r="56" spans="2:4">
      <c r="D56" s="59"/>
    </row>
    <row r="57" spans="2:4">
      <c r="B57" s="60"/>
      <c r="C57" s="60"/>
      <c r="D57" s="61"/>
    </row>
    <row r="58" spans="2:4">
      <c r="B58" s="60"/>
      <c r="C58" s="60"/>
      <c r="D58" s="61"/>
    </row>
    <row r="59" spans="2:4">
      <c r="B59" s="60"/>
      <c r="C59" s="60"/>
      <c r="D59" s="61"/>
    </row>
    <row r="60" spans="2:4">
      <c r="B60" s="60"/>
      <c r="C60" s="60"/>
      <c r="D60" s="61"/>
    </row>
    <row r="61" spans="2:4" s="51" customFormat="1">
      <c r="B61" s="60"/>
      <c r="C61" s="60"/>
      <c r="D61" s="61"/>
    </row>
    <row r="62" spans="2:4" s="49" customFormat="1">
      <c r="B62" s="60"/>
      <c r="C62" s="60"/>
      <c r="D62" s="61"/>
    </row>
    <row r="63" spans="2:4" s="62" customFormat="1">
      <c r="B63" s="60"/>
      <c r="C63" s="60"/>
      <c r="D63" s="61"/>
    </row>
    <row r="64" spans="2:4">
      <c r="B64" s="60"/>
      <c r="C64" s="60"/>
      <c r="D64" s="61"/>
    </row>
    <row r="65" spans="2:4">
      <c r="B65" s="60"/>
      <c r="C65" s="60"/>
      <c r="D65" s="61"/>
    </row>
    <row r="66" spans="2:4">
      <c r="B66" s="60"/>
      <c r="C66" s="60"/>
      <c r="D66" s="61"/>
    </row>
    <row r="67" spans="2:4">
      <c r="B67" s="60"/>
      <c r="C67" s="60"/>
      <c r="D67" s="61"/>
    </row>
    <row r="68" spans="2:4">
      <c r="B68" s="60"/>
      <c r="C68" s="60"/>
      <c r="D68" s="61"/>
    </row>
    <row r="69" spans="2:4">
      <c r="B69" s="60"/>
      <c r="C69" s="60"/>
      <c r="D69" s="61"/>
    </row>
    <row r="70" spans="2:4">
      <c r="B70" s="60"/>
      <c r="C70" s="60"/>
      <c r="D70" s="61"/>
    </row>
    <row r="71" spans="2:4">
      <c r="B71" s="60"/>
      <c r="C71" s="60"/>
      <c r="D71" s="61"/>
    </row>
    <row r="72" spans="2:4">
      <c r="B72" s="60"/>
      <c r="C72" s="60"/>
      <c r="D72" s="61"/>
    </row>
    <row r="73" spans="2:4">
      <c r="B73" s="60"/>
      <c r="C73" s="60"/>
      <c r="D73" s="61"/>
    </row>
    <row r="74" spans="2:4">
      <c r="B74" s="60"/>
      <c r="C74" s="60"/>
      <c r="D74" s="61"/>
    </row>
    <row r="75" spans="2:4">
      <c r="B75" s="57"/>
      <c r="C75" s="57"/>
      <c r="D75" s="63"/>
    </row>
    <row r="76" spans="2:4">
      <c r="D76" s="59"/>
    </row>
    <row r="77" spans="2:4">
      <c r="D77" s="59"/>
    </row>
    <row r="78" spans="2:4" s="49" customFormat="1">
      <c r="B78" s="57"/>
      <c r="C78" s="57"/>
      <c r="D78" s="57"/>
    </row>
    <row r="79" spans="2:4">
      <c r="D79" s="59"/>
    </row>
    <row r="80" spans="2:4">
      <c r="D80" s="59"/>
    </row>
    <row r="81" spans="2:4" s="49" customFormat="1">
      <c r="B81" s="57"/>
      <c r="C81" s="57"/>
      <c r="D81" s="59"/>
    </row>
    <row r="82" spans="2:4">
      <c r="B82" s="60"/>
      <c r="C82" s="60"/>
      <c r="D82" s="64"/>
    </row>
    <row r="83" spans="2:4">
      <c r="B83" s="60"/>
      <c r="C83" s="60"/>
      <c r="D83" s="64"/>
    </row>
    <row r="84" spans="2:4">
      <c r="B84" s="60"/>
      <c r="C84" s="60"/>
      <c r="D84" s="64"/>
    </row>
    <row r="85" spans="2:4">
      <c r="B85" s="60"/>
      <c r="C85" s="60"/>
      <c r="D85" s="64"/>
    </row>
    <row r="86" spans="2:4">
      <c r="B86" s="60"/>
      <c r="C86" s="60"/>
      <c r="D86" s="64"/>
    </row>
    <row r="87" spans="2:4">
      <c r="B87" s="60"/>
      <c r="C87" s="60"/>
      <c r="D87" s="64"/>
    </row>
    <row r="88" spans="2:4">
      <c r="B88" s="60"/>
      <c r="C88" s="60"/>
      <c r="D88" s="64"/>
    </row>
    <row r="89" spans="2:4">
      <c r="B89" s="60"/>
      <c r="C89" s="60"/>
      <c r="D89" s="64"/>
    </row>
    <row r="90" spans="2:4">
      <c r="B90" s="57"/>
      <c r="C90" s="57"/>
      <c r="D90" s="58"/>
    </row>
    <row r="91" spans="2:4">
      <c r="B91" s="57"/>
      <c r="C91" s="57"/>
    </row>
    <row r="92" spans="2:4">
      <c r="D92" s="58"/>
    </row>
    <row r="93" spans="2:4">
      <c r="B93" s="57"/>
      <c r="C93" s="57"/>
    </row>
    <row r="95" spans="2:4">
      <c r="D95" s="58"/>
    </row>
    <row r="96" spans="2:4">
      <c r="B96" s="57"/>
      <c r="C96" s="57"/>
      <c r="D96" s="58"/>
    </row>
    <row r="97" spans="2:4">
      <c r="B97" s="57"/>
      <c r="C97" s="57"/>
    </row>
    <row r="98" spans="2:4">
      <c r="D98" s="58"/>
    </row>
    <row r="99" spans="2:4">
      <c r="B99" s="57"/>
      <c r="C99" s="57"/>
      <c r="D99" s="64"/>
    </row>
    <row r="100" spans="2:4">
      <c r="B100" s="66"/>
      <c r="C100" s="66"/>
      <c r="D100" s="64"/>
    </row>
    <row r="101" spans="2:4">
      <c r="B101" s="66"/>
      <c r="C101" s="66"/>
      <c r="D101" s="64"/>
    </row>
    <row r="102" spans="2:4">
      <c r="B102" s="66"/>
      <c r="C102" s="66"/>
      <c r="D102" s="64"/>
    </row>
    <row r="103" spans="2:4">
      <c r="B103" s="66"/>
      <c r="C103" s="66"/>
      <c r="D103" s="64"/>
    </row>
    <row r="104" spans="2:4">
      <c r="B104" s="66"/>
      <c r="C104" s="66"/>
      <c r="D104" s="64"/>
    </row>
    <row r="105" spans="2:4">
      <c r="B105" s="66"/>
      <c r="C105" s="66"/>
      <c r="D105" s="64"/>
    </row>
    <row r="106" spans="2:4">
      <c r="B106" s="66"/>
      <c r="C106" s="66"/>
      <c r="D106" s="64"/>
    </row>
    <row r="107" spans="2:4">
      <c r="B107" s="66"/>
      <c r="C107" s="66"/>
      <c r="D107" s="64"/>
    </row>
    <row r="108" spans="2:4">
      <c r="B108" s="66"/>
      <c r="C108" s="66"/>
    </row>
    <row r="115" spans="2:4">
      <c r="D115" s="58"/>
    </row>
    <row r="116" spans="2:4">
      <c r="B116" s="57"/>
      <c r="C116" s="57"/>
    </row>
    <row r="117" spans="2:4">
      <c r="D117" s="58"/>
    </row>
    <row r="118" spans="2:4">
      <c r="B118" s="57"/>
      <c r="C118" s="57"/>
    </row>
    <row r="121" spans="2:4">
      <c r="D121" s="58"/>
    </row>
    <row r="122" spans="2:4">
      <c r="D122" s="59"/>
    </row>
    <row r="123" spans="2:4">
      <c r="D123" s="58"/>
    </row>
    <row r="124" spans="2:4">
      <c r="B124" s="57"/>
      <c r="C124" s="57"/>
      <c r="D124" s="64"/>
    </row>
    <row r="125" spans="2:4">
      <c r="B125" s="66"/>
      <c r="C125" s="66"/>
    </row>
    <row r="126" spans="2:4">
      <c r="D126" s="58"/>
    </row>
    <row r="127" spans="2:4">
      <c r="B127" s="57"/>
      <c r="C127" s="57"/>
    </row>
    <row r="128" spans="2:4">
      <c r="D128" s="58"/>
    </row>
    <row r="129" spans="2:3">
      <c r="B129" s="57"/>
      <c r="C129" s="57"/>
    </row>
  </sheetData>
  <mergeCells count="2">
    <mergeCell ref="A3:E3"/>
    <mergeCell ref="A1:E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'11.sz.mell.'!Nyomtatási_terület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2020-07-09T14:33:03Z</cp:lastPrinted>
  <dcterms:created xsi:type="dcterms:W3CDTF">2015-02-02T07:42:02Z</dcterms:created>
  <dcterms:modified xsi:type="dcterms:W3CDTF">2020-07-15T11:09:05Z</dcterms:modified>
</cp:coreProperties>
</file>