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6" tabRatio="597" firstSheet="15" activeTab="19"/>
  </bookViews>
  <sheets>
    <sheet name="1.címrend" sheetId="1" r:id="rId1"/>
    <sheet name="2.sz.hiány finansz." sheetId="2" r:id="rId2"/>
    <sheet name="3.bev-kiadások" sheetId="3" r:id="rId3"/>
    <sheet name="4. bevételek forr. " sheetId="4" r:id="rId4"/>
    <sheet name="5.A. sz. mell-műk kiadások" sheetId="5" r:id="rId5"/>
    <sheet name="5.B.sz. személy-dologi bontás" sheetId="6" r:id="rId6"/>
    <sheet name="6.sz. össz.mérleg" sheetId="7" r:id="rId7"/>
    <sheet name="7.sz. felújítások" sheetId="8" r:id="rId8"/>
    <sheet name="8.felhalm. kiadások" sheetId="9" r:id="rId9"/>
    <sheet name="9.létszám" sheetId="10" r:id="rId10"/>
    <sheet name="10. mell Uniós pr." sheetId="11" r:id="rId11"/>
    <sheet name="11. többéves" sheetId="12" r:id="rId12"/>
    <sheet name="12.sz.Előir.felh.ütemterv" sheetId="13" r:id="rId13"/>
    <sheet name="13.Közvetett tám." sheetId="14" r:id="rId14"/>
    <sheet name="14. Lakosságnak nyújtott tám" sheetId="15" r:id="rId15"/>
    <sheet name="16. Köv 2 év" sheetId="16" r:id="rId16"/>
    <sheet name="17. Ált és Céltart" sheetId="17" r:id="rId17"/>
    <sheet name="15. Speciális célú támogatások" sheetId="18" r:id="rId18"/>
    <sheet name="18.sz Stabilitás" sheetId="19" r:id="rId19"/>
    <sheet name="Mérleg" sheetId="20" r:id="rId20"/>
  </sheets>
  <definedNames>
    <definedName name="_xlnm.Print_Area" localSheetId="17">'15. Speciális célú támogatások'!$A$1:$D$31</definedName>
    <definedName name="_xlnm.Print_Area" localSheetId="15">'16. Köv 2 év'!$A$1:$E$40</definedName>
    <definedName name="_xlnm.Print_Area" localSheetId="1">'2.sz.hiány finansz.'!$A$1:$F$24</definedName>
    <definedName name="_xlnm.Print_Area" localSheetId="2">'3.bev-kiadások'!$A$1:$F$75</definedName>
    <definedName name="_xlnm.Print_Area" localSheetId="3">'4. bevételek forr. '!$A$1:$E$50</definedName>
    <definedName name="_xlnm.Print_Area" localSheetId="4">'5.A. sz. mell-műk kiadások'!$A$1:$J$36</definedName>
    <definedName name="_xlnm.Print_Area" localSheetId="6">'6.sz. össz.mérleg'!$A$1:$E$38</definedName>
    <definedName name="_xlnm.Print_Area" localSheetId="7">'7.sz. felújítások'!$A$1:$D$12</definedName>
    <definedName name="_xlnm.Print_Area" localSheetId="8">'8.felhalm. kiadások'!$A$1:$E$15</definedName>
  </definedNames>
  <calcPr fullCalcOnLoad="1"/>
</workbook>
</file>

<file path=xl/sharedStrings.xml><?xml version="1.0" encoding="utf-8"?>
<sst xmlns="http://schemas.openxmlformats.org/spreadsheetml/2006/main" count="860" uniqueCount="597">
  <si>
    <t>Sorszám</t>
  </si>
  <si>
    <t>Megnevezés</t>
  </si>
  <si>
    <t>Működési bevételek</t>
  </si>
  <si>
    <t>1.</t>
  </si>
  <si>
    <t>2.</t>
  </si>
  <si>
    <t>Helyi adók</t>
  </si>
  <si>
    <t>Felhalmozási és tőke jellegű bevételek</t>
  </si>
  <si>
    <t>Összesen</t>
  </si>
  <si>
    <t>Működési kiadások</t>
  </si>
  <si>
    <t>3.</t>
  </si>
  <si>
    <t>4.</t>
  </si>
  <si>
    <t>Összesen:</t>
  </si>
  <si>
    <t>7.</t>
  </si>
  <si>
    <t>Személyi juttatások</t>
  </si>
  <si>
    <t>Dologi kiadások</t>
  </si>
  <si>
    <t>Felhalmozási bevételek</t>
  </si>
  <si>
    <t>Ssz.</t>
  </si>
  <si>
    <t>Személyi</t>
  </si>
  <si>
    <t>Létszám</t>
  </si>
  <si>
    <t xml:space="preserve">I. </t>
  </si>
  <si>
    <t>Tartalék</t>
  </si>
  <si>
    <t>Felújítás</t>
  </si>
  <si>
    <t xml:space="preserve"> </t>
  </si>
  <si>
    <t>II.</t>
  </si>
  <si>
    <t>eredeti ei.</t>
  </si>
  <si>
    <t xml:space="preserve">III. </t>
  </si>
  <si>
    <t>IV.</t>
  </si>
  <si>
    <t>V.</t>
  </si>
  <si>
    <t>összesen</t>
  </si>
  <si>
    <t>előirányzat</t>
  </si>
  <si>
    <t>Támogatás, támogatásértékű kiadások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</si>
  <si>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</si>
  <si>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</si>
  <si>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</si>
  <si>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</si>
  <si>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működési célú hosszú lejáratú hitelek</t>
  </si>
  <si>
    <t>egyéb hosszú lejáratú kötelezettségek</t>
  </si>
  <si>
    <t>előző évi pénzmaradvány</t>
  </si>
  <si>
    <t>támogatás</t>
  </si>
  <si>
    <t>A.</t>
  </si>
  <si>
    <t>Ellátottak juttatásai</t>
  </si>
  <si>
    <t>II:</t>
  </si>
  <si>
    <t>Felhalmozási kiadások</t>
  </si>
  <si>
    <t>VII.</t>
  </si>
  <si>
    <t xml:space="preserve">Összesen: </t>
  </si>
  <si>
    <t xml:space="preserve">5. </t>
  </si>
  <si>
    <t xml:space="preserve">4. </t>
  </si>
  <si>
    <t xml:space="preserve">1. </t>
  </si>
  <si>
    <t>e Ft-ban</t>
  </si>
  <si>
    <t>Évek</t>
  </si>
  <si>
    <t>Feladatok</t>
  </si>
  <si>
    <t>Önkormányzat</t>
  </si>
  <si>
    <t xml:space="preserve">I. cím: </t>
  </si>
  <si>
    <t>Támogatási kölcsönök visszatérülése</t>
  </si>
  <si>
    <t>Értékpapírtok értékesítésének bevétele</t>
  </si>
  <si>
    <t xml:space="preserve">B. </t>
  </si>
  <si>
    <t>Személyi jellegű kiadások</t>
  </si>
  <si>
    <t>Munkaadói jellegű kiadások</t>
  </si>
  <si>
    <t>Felújítások</t>
  </si>
  <si>
    <t>ezen belül működési és felhalmozási bevételei és kiadásai</t>
  </si>
  <si>
    <t>A költségvetési hiány belső finanszírozására szolgáló</t>
  </si>
  <si>
    <t>A költségvetési hiány külső finanszírozására szolgáló</t>
  </si>
  <si>
    <t>1. Működési célú hitel felvétele</t>
  </si>
  <si>
    <t>Bevételek</t>
  </si>
  <si>
    <t>Összevont költségvetési mérleg</t>
  </si>
  <si>
    <t>Eredeti</t>
  </si>
  <si>
    <t>I.</t>
  </si>
  <si>
    <t>5.</t>
  </si>
  <si>
    <t>6.</t>
  </si>
  <si>
    <t>Kiadások</t>
  </si>
  <si>
    <t>Munkaadói juttatások</t>
  </si>
  <si>
    <t>Kiadások össz:</t>
  </si>
  <si>
    <t>Bevételek forrásonként</t>
  </si>
  <si>
    <t xml:space="preserve"> - iparűzési adó</t>
  </si>
  <si>
    <t xml:space="preserve">           Szakfeladatok</t>
  </si>
  <si>
    <t>Felújítási előirányzatok célonként</t>
  </si>
  <si>
    <t xml:space="preserve">S.sz. </t>
  </si>
  <si>
    <t>Több éves kihatással járó feladatok  előirányzatai éves bontásban</t>
  </si>
  <si>
    <t xml:space="preserve">Sz: </t>
  </si>
  <si>
    <t>tervezett</t>
  </si>
  <si>
    <t>Uniós támogatásokkal megvalósuló programok bevételei, kiadásai</t>
  </si>
  <si>
    <t>Hulladékgazdálkodási Társulás Kaposvár</t>
  </si>
  <si>
    <t>Munka és tűzvédelmi társulás- Kaposvár</t>
  </si>
  <si>
    <t>lakosság részére lakásépítéshez, lakásfelújításhoz nyújtott kölcsönök elengedésének összege</t>
  </si>
  <si>
    <t>fő</t>
  </si>
  <si>
    <t>egyéb nyújtott kedvezmény vagy kölcsön elengedésének összege</t>
  </si>
  <si>
    <t>ellátottak térítési díjának, illetve kártérítésének méltányossági alapon történő elengedésének összege</t>
  </si>
  <si>
    <t>Az önkormányzat költségvetési bevételei és kiadásai</t>
  </si>
  <si>
    <t>Bírságok, és egyéb sajátos folyó bevételek</t>
  </si>
  <si>
    <t>Költségvetési hiány belső finansz.</t>
  </si>
  <si>
    <t>Tárgyi eszközök , imm. javak értékesítése</t>
  </si>
  <si>
    <t>Értékpapírok értékesítésének bevétele</t>
  </si>
  <si>
    <t>Hitelek  - felhalmozási célú</t>
  </si>
  <si>
    <t>BEVÉTELEK ÖSSZESEN:</t>
  </si>
  <si>
    <t>finanszírozási műveletek bevételei működésre és felhalmozásra</t>
  </si>
  <si>
    <t>8.</t>
  </si>
  <si>
    <t xml:space="preserve">Összesen: működési kiadások: </t>
  </si>
  <si>
    <t>9.</t>
  </si>
  <si>
    <t>10.</t>
  </si>
  <si>
    <t>11.</t>
  </si>
  <si>
    <t>13.</t>
  </si>
  <si>
    <t>15.</t>
  </si>
  <si>
    <t>16.</t>
  </si>
  <si>
    <t>18.</t>
  </si>
  <si>
    <t>19.</t>
  </si>
  <si>
    <t>21.</t>
  </si>
  <si>
    <t>2. Felhalmozási célú hitel felvétele</t>
  </si>
  <si>
    <t>Felhalmozási kiadások feladatonként</t>
  </si>
  <si>
    <t>Fejlesztési cél megnevezése</t>
  </si>
  <si>
    <t>Előirányzat összege</t>
  </si>
  <si>
    <t xml:space="preserve">Létszám előirányzat  </t>
  </si>
  <si>
    <t>Speciális célú támogatások - átadott pénzeszközök</t>
  </si>
  <si>
    <t>Óvoda fennt.hj.- Somogyjád</t>
  </si>
  <si>
    <t>Dologi,folyó kiadások</t>
  </si>
  <si>
    <t>Kölcsönnyújtás</t>
  </si>
  <si>
    <t>Kölcsönök visszatérülése</t>
  </si>
  <si>
    <t>Működési bevételek összesen:</t>
  </si>
  <si>
    <t>Felhalmozási bevételek összesen:</t>
  </si>
  <si>
    <t>VIII.</t>
  </si>
  <si>
    <t>Támogatás értékű kiadások</t>
  </si>
  <si>
    <t>Leader tagdíj</t>
  </si>
  <si>
    <t>Véglegesen átadott pénzeszközök</t>
  </si>
  <si>
    <t>Ívóvízminőségjavító Társulás</t>
  </si>
  <si>
    <t xml:space="preserve">Hitelek - működési célú </t>
  </si>
  <si>
    <t>Felújítási cél megnevezése</t>
  </si>
  <si>
    <t>Előirányzat</t>
  </si>
  <si>
    <t>2/B.sz. melléklet.</t>
  </si>
  <si>
    <t xml:space="preserve">              3. sz. melléklet/ 2. oldal.</t>
  </si>
  <si>
    <t>KIADÁSOK ÖSSZESEN:</t>
  </si>
  <si>
    <t xml:space="preserve">Működési kiadások összesen: </t>
  </si>
  <si>
    <t xml:space="preserve">Felhalmozási kiadások összesen: </t>
  </si>
  <si>
    <t>Szakfeladatok</t>
  </si>
  <si>
    <t>Rendsz</t>
  </si>
  <si>
    <t>Nem rend</t>
  </si>
  <si>
    <t>Külső</t>
  </si>
  <si>
    <t>Igazgatási tevékenys.</t>
  </si>
  <si>
    <t>Város- és községgazd</t>
  </si>
  <si>
    <t>Falugondnoki szolg.</t>
  </si>
  <si>
    <t xml:space="preserve">Működési kiadások: </t>
  </si>
  <si>
    <t>Utak, hidak üzemelt.</t>
  </si>
  <si>
    <t>Igazgatási tev.</t>
  </si>
  <si>
    <t>Közvilágítás</t>
  </si>
  <si>
    <t>Város-és községgazd.</t>
  </si>
  <si>
    <t>Köztemető fenntartás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</si>
  <si>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</si>
  <si>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</si>
  <si>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</si>
  <si>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</si>
  <si>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</si>
  <si>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</si>
  <si>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</si>
  <si>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</si>
  <si>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</si>
  <si>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</si>
  <si>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</si>
  <si>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</si>
  <si>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Előző évi pénzmaradvány</t>
  </si>
  <si>
    <t>Működési bevételek összesen</t>
  </si>
  <si>
    <t>Felhalmozási bevételek összesen</t>
  </si>
  <si>
    <t>Bevételek mindösszesen</t>
  </si>
  <si>
    <t xml:space="preserve">Kiadások  </t>
  </si>
  <si>
    <t>Munkaadókat terhelő járulékok</t>
  </si>
  <si>
    <t>Támogatásértékű működési kiadás</t>
  </si>
  <si>
    <t>Ellátottak pénzbeli juttatásai</t>
  </si>
  <si>
    <t>Működési kiadások összesen</t>
  </si>
  <si>
    <t>VI.</t>
  </si>
  <si>
    <t>Működési, fenntartási előirányzatok kiemelt előirányzatonként</t>
  </si>
  <si>
    <t>Beruházás</t>
  </si>
  <si>
    <t>Dologi kiadások, folyó</t>
  </si>
  <si>
    <t>Felhalmozási kiadások összesen:</t>
  </si>
  <si>
    <t>Az önkormányzat önállóan gazdálkodó költségvetési szervekkel nem rendelkezik</t>
  </si>
  <si>
    <t xml:space="preserve"> - építményadó</t>
  </si>
  <si>
    <t>A költségvetési évet követő 2 év várható előirányzatai</t>
  </si>
  <si>
    <t>B.</t>
  </si>
  <si>
    <t>Járulékok</t>
  </si>
  <si>
    <t>Támogatásértékú működési</t>
  </si>
  <si>
    <t>Kölcsön nyújtása</t>
  </si>
  <si>
    <t>C.</t>
  </si>
  <si>
    <t xml:space="preserve">                     Fejlesztési bevételek és kiadások</t>
  </si>
  <si>
    <t>Fejlesztési bevételek</t>
  </si>
  <si>
    <t>Fejlesztési kiadások</t>
  </si>
  <si>
    <t>Kiadások mindösszesen</t>
  </si>
  <si>
    <t xml:space="preserve">Általános és céltartalék felosztása </t>
  </si>
  <si>
    <t>Általános tartalék</t>
  </si>
  <si>
    <t>összeg</t>
  </si>
  <si>
    <t>Cél megnevezése</t>
  </si>
  <si>
    <t>terven felüli működési kiadások</t>
  </si>
  <si>
    <t>finanszírozása</t>
  </si>
  <si>
    <t>Általános és céltartalék összesen</t>
  </si>
  <si>
    <t>9/A. melléklet</t>
  </si>
  <si>
    <t>Igazgatás</t>
  </si>
  <si>
    <t xml:space="preserve">          1 fő polgármester</t>
  </si>
  <si>
    <t>Községgazdálkodás</t>
  </si>
  <si>
    <t xml:space="preserve">Falugondnoki szolgálat </t>
  </si>
  <si>
    <t xml:space="preserve">          1 fő közalkalmazott</t>
  </si>
  <si>
    <t>Könyvtár</t>
  </si>
  <si>
    <t>beruházási és fejlesztési hitelek</t>
  </si>
  <si>
    <t>Közvetlen és közvetett támogatásokat tartalmazó kimutatás</t>
  </si>
  <si>
    <t>helyi adóknál, gépjárműadónál biztosított kedvezmény, mentesség összege adónemenként</t>
  </si>
  <si>
    <t>helyiségek , eszközök hasznosításából származó bevételből nyújtott kedvezmény, mentesség összege</t>
  </si>
  <si>
    <t xml:space="preserve">összesen: </t>
  </si>
  <si>
    <t>gépjárműadónál mozgáskorlátozott része</t>
  </si>
  <si>
    <t>Fogorvosi szolgálat Mernye</t>
  </si>
  <si>
    <t>Támogatás államháztartáson belülről</t>
  </si>
  <si>
    <t>A saját bevételek és az adósságot keletkeztető ügyletekből és kezességvállalásokból</t>
  </si>
  <si>
    <t xml:space="preserve">                       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</si>
  <si>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</si>
  <si>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</si>
  <si>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</si>
  <si>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</si>
  <si>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</si>
  <si>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</si>
  <si>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</si>
  <si>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</si>
  <si>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hitel,( kölcsön) felvétele - működési</t>
  </si>
  <si>
    <t>hitel,( kölcsön) felvétele - fejlesztési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</si>
  <si>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</si>
  <si>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</si>
  <si>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</si>
  <si>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</si>
  <si>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</si>
  <si>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</si>
  <si>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Víztermelés</t>
  </si>
  <si>
    <t>17.</t>
  </si>
  <si>
    <t>III.</t>
  </si>
  <si>
    <t>Üzemeltetésből, koncesszióból szárm bev</t>
  </si>
  <si>
    <t>Hiány/Többlet</t>
  </si>
  <si>
    <t>Bevételek főösszesen</t>
  </si>
  <si>
    <t>Kiadások főösszesen</t>
  </si>
  <si>
    <t>Hiány főösszesen</t>
  </si>
  <si>
    <t>Bérleti díjak</t>
  </si>
  <si>
    <t>Áru-, és készletértékesítés</t>
  </si>
  <si>
    <t>Közhatalmi bevételek</t>
  </si>
  <si>
    <t>Központi adók (gjműadó)</t>
  </si>
  <si>
    <t>12.</t>
  </si>
  <si>
    <t>14.</t>
  </si>
  <si>
    <t>1. Előző évi pénzmaradány igénybevétele</t>
  </si>
  <si>
    <t>Önkormányzatok működési támogatásai</t>
  </si>
  <si>
    <t>Pénzmaradvány</t>
  </si>
  <si>
    <t>Beruházások</t>
  </si>
  <si>
    <t>Beruházás áfája</t>
  </si>
  <si>
    <t>Felhalmozási célu támogatás áht-on belülre</t>
  </si>
  <si>
    <t>Előző évek pénzmaradványa</t>
  </si>
  <si>
    <t>066020 - Város- és községgazd</t>
  </si>
  <si>
    <t>107055 - Falugondnoki szolgáltatás</t>
  </si>
  <si>
    <t>063020 - Víztermelés, vízellátás</t>
  </si>
  <si>
    <t xml:space="preserve">051030-  Települési hulladék kezelés </t>
  </si>
  <si>
    <t>045160 - Utak, hidak üzemeltetése</t>
  </si>
  <si>
    <t>064010 - Közvilágítás</t>
  </si>
  <si>
    <t>091140 - Óvoda támogatása (Sjád)</t>
  </si>
  <si>
    <t>072311 - Fogorvosi szolgálat (Mernye)</t>
  </si>
  <si>
    <t>013320 - Köztemető fenntartás és működtetés</t>
  </si>
  <si>
    <t>011130 - Önkormányzatok igazgatási tev.</t>
  </si>
  <si>
    <t>Munkaad.</t>
  </si>
  <si>
    <t>Dologi</t>
  </si>
  <si>
    <t>Ellátottak</t>
  </si>
  <si>
    <t>Tám.,kölcs.</t>
  </si>
  <si>
    <t>Finansz.</t>
  </si>
  <si>
    <t>Össz.</t>
  </si>
  <si>
    <t>Kötelező</t>
  </si>
  <si>
    <t>Ebből</t>
  </si>
  <si>
    <t>Műk.tám.-ok áht-on belülről</t>
  </si>
  <si>
    <t>Felh.célu önkormányzati tám.-ok</t>
  </si>
  <si>
    <t>Felhalmozási és tőkejellegű bev.-ek</t>
  </si>
  <si>
    <t>Felh.célu tám.-ok áht-on belülről</t>
  </si>
  <si>
    <t>Felhalm.célu támogatások</t>
  </si>
  <si>
    <t>Startmunka programok</t>
  </si>
  <si>
    <t>Önkormányzatok működési tám.-ai</t>
  </si>
  <si>
    <t>Kölcsönök nyújtása</t>
  </si>
  <si>
    <t>Felhalmozási célu támogatás</t>
  </si>
  <si>
    <t>Hitel felvétel</t>
  </si>
  <si>
    <t>Működési pénzeszköz átad.</t>
  </si>
  <si>
    <t>Felsőmocsolád</t>
  </si>
  <si>
    <t>Hitel törlesztés</t>
  </si>
  <si>
    <t>Szolgáltatások díja</t>
  </si>
  <si>
    <t xml:space="preserve"> - tartózkodás utáni idegenf.adó</t>
  </si>
  <si>
    <t>I.1.</t>
  </si>
  <si>
    <t>I.2.</t>
  </si>
  <si>
    <t>I.3.</t>
  </si>
  <si>
    <t>082044 - Könyvtári szolgáltatások</t>
  </si>
  <si>
    <t>Járulék</t>
  </si>
  <si>
    <t>Likvid hitel törlesztés</t>
  </si>
  <si>
    <t>Katasztrófavédelmi Társulás</t>
  </si>
  <si>
    <t>20.</t>
  </si>
  <si>
    <t>Belső ellenőrzési díj - Sjád</t>
  </si>
  <si>
    <t>Szociális Társulás-Mernye</t>
  </si>
  <si>
    <t>Működési támogatás vállalkozásnak (érd.hj.)</t>
  </si>
  <si>
    <t>Működési célú kiadások - ÁH-n belül</t>
  </si>
  <si>
    <t>Működési célú kiadások - ÁH-n kívül</t>
  </si>
  <si>
    <t>Finanszírozási kiadások</t>
  </si>
  <si>
    <t>Helyi önkormányzatok működésének ált.tám</t>
  </si>
  <si>
    <t>Igazgatási szolgáltatás díja</t>
  </si>
  <si>
    <t>Közhatalmi bevétel</t>
  </si>
  <si>
    <t>magánszemélyek komm adója</t>
  </si>
  <si>
    <t>Települési önkormányzatok szociális, gyermekjóléti és gyermekétkeztetési fel. támogatása</t>
  </si>
  <si>
    <t>Települési önkormányzatok kulturális felada
tainak támogatása</t>
  </si>
  <si>
    <t>Ft-ban</t>
  </si>
  <si>
    <t>066010 - Zöldterületkezelés</t>
  </si>
  <si>
    <t>041233 - Hosszabb időtartamú közfoglalk.</t>
  </si>
  <si>
    <t>107054 - Családsegítés és gyermekjólét</t>
  </si>
  <si>
    <t>082092 - Közművelődés</t>
  </si>
  <si>
    <t>107060 -Egyéb szoc és természetbeni tám</t>
  </si>
  <si>
    <t>018010 - Önk. Elszámolásai</t>
  </si>
  <si>
    <t>Repr.</t>
  </si>
  <si>
    <t>Össz</t>
  </si>
  <si>
    <t>Közművelődés</t>
  </si>
  <si>
    <t>Zöldterület kezelés</t>
  </si>
  <si>
    <t xml:space="preserve"> Ft-ban</t>
  </si>
  <si>
    <t>Ft</t>
  </si>
  <si>
    <t>A</t>
  </si>
  <si>
    <t>B</t>
  </si>
  <si>
    <t>C</t>
  </si>
  <si>
    <t>D</t>
  </si>
  <si>
    <t>Lakosságnak juttatott támogatások, szociális támogatások</t>
  </si>
  <si>
    <t>Összeg</t>
  </si>
  <si>
    <t>Zárolás 2016.06.30-ig</t>
  </si>
  <si>
    <t>Települési támogatás</t>
  </si>
  <si>
    <t>Rendkívüli települési támogatás</t>
  </si>
  <si>
    <t>Családsegítés és gyermekjólét Mernye</t>
  </si>
  <si>
    <t>Mernyei Közös Önkormányzati Hivatal</t>
  </si>
  <si>
    <t>Civil szervezetek támogatása</t>
  </si>
  <si>
    <t>Átadott pénzeszközök ÁH-n kívülre</t>
  </si>
  <si>
    <t>Lakossági kölcsön nyújtás</t>
  </si>
  <si>
    <t>Önkormányzatok műk. Tám</t>
  </si>
  <si>
    <t>Ellátottak pénzbeni juttatásai</t>
  </si>
  <si>
    <t>Finanszírozási kiadás</t>
  </si>
  <si>
    <r>
      <t xml:space="preserve">A címrend </t>
    </r>
    <r>
      <rPr>
        <b/>
        <sz val="10"/>
        <rFont val="Arial"/>
        <family val="2"/>
      </rPr>
      <t xml:space="preserve">                                               Felsőmocsolád</t>
    </r>
  </si>
  <si>
    <t xml:space="preserve"> Ft-ban </t>
  </si>
  <si>
    <t>013350 - Lakóingatlan bérbeadása</t>
  </si>
  <si>
    <t>041032 - Start közfoglalkoztatás</t>
  </si>
  <si>
    <t>Beruházások áfája</t>
  </si>
  <si>
    <t>072111 - Háziorvosi szolgálat</t>
  </si>
  <si>
    <t xml:space="preserve">Hosszú közfogl. </t>
  </si>
  <si>
    <t>START közfogl</t>
  </si>
  <si>
    <t>START közfogl.</t>
  </si>
  <si>
    <t>Hosszú időtart. Közfogl.</t>
  </si>
  <si>
    <t>Települési hull kez.</t>
  </si>
  <si>
    <t>Háziorvosi szolg.</t>
  </si>
  <si>
    <t>Lakóing bérbeadása</t>
  </si>
  <si>
    <t>Felsőmocsolád Község Önkormányzata</t>
  </si>
  <si>
    <t xml:space="preserve"> Felsőmocsolád Község önkormányzata</t>
  </si>
  <si>
    <t>TÖOSZ</t>
  </si>
  <si>
    <t>Egyéb működési bevételek</t>
  </si>
  <si>
    <t xml:space="preserve"> - kommunális adó</t>
  </si>
  <si>
    <t>Támogatás értékű bevétel elkülönített állami pnzalapból - közfogl.</t>
  </si>
  <si>
    <t>Felhalmozási célú átvett pénzeszköz</t>
  </si>
  <si>
    <t>107051 - Szociális étkeztetés</t>
  </si>
  <si>
    <t>107052 - Házi segítségnyújtás(Mernye)</t>
  </si>
  <si>
    <t>104042 - Család és gyermekjóléti szolg (Mernye)</t>
  </si>
  <si>
    <t>084031 - Civil szervezetek támogatása</t>
  </si>
  <si>
    <t>22.</t>
  </si>
  <si>
    <t>23.</t>
  </si>
  <si>
    <t>24.</t>
  </si>
  <si>
    <t>25.</t>
  </si>
  <si>
    <t>900020 - Funkcióra nem sorolható tételei</t>
  </si>
  <si>
    <t>26.</t>
  </si>
  <si>
    <t>Játszótér</t>
  </si>
  <si>
    <t>ebből:  0 fő közalkalmazott</t>
  </si>
  <si>
    <t>Hosszabb időtartamú közfogl</t>
  </si>
  <si>
    <t xml:space="preserve">                                    Előrányzat felhasználási terv</t>
  </si>
  <si>
    <t>Szünidei gyermekétkeztetés</t>
  </si>
  <si>
    <t>Szociális Étkeztetés-Mernye</t>
  </si>
  <si>
    <t>Házi segítségnyújtás - Mernye</t>
  </si>
  <si>
    <t>KKKOÖSZ</t>
  </si>
  <si>
    <r>
      <t>011130</t>
    </r>
    <r>
      <rPr>
        <sz val="12"/>
        <rFont val="Times New Roman"/>
        <family val="1"/>
      </rPr>
      <t xml:space="preserve"> Önkormányzatok és önkormányzati hivatalok jogalkotó és általános igazgatási tevékenysége</t>
    </r>
  </si>
  <si>
    <r>
      <t xml:space="preserve">013320 </t>
    </r>
    <r>
      <rPr>
        <sz val="12"/>
        <rFont val="Times New Roman"/>
        <family val="1"/>
      </rPr>
      <t>Köztemető-fenntartás és-működtetés</t>
    </r>
  </si>
  <si>
    <r>
      <t xml:space="preserve">045160 </t>
    </r>
    <r>
      <rPr>
        <sz val="12"/>
        <rFont val="Times New Roman"/>
        <family val="1"/>
      </rPr>
      <t>Közutak, hidak, alagutak üzemeltetése, fenntartása</t>
    </r>
  </si>
  <si>
    <r>
      <t xml:space="preserve">064010 </t>
    </r>
    <r>
      <rPr>
        <sz val="12"/>
        <rFont val="Times New Roman"/>
        <family val="1"/>
      </rPr>
      <t>Közvilágítás</t>
    </r>
  </si>
  <si>
    <r>
      <t xml:space="preserve">066020 </t>
    </r>
    <r>
      <rPr>
        <sz val="12"/>
        <rFont val="Times New Roman"/>
        <family val="1"/>
      </rPr>
      <t>Város-, községgazdálkodási egyéb szolgáltatások</t>
    </r>
  </si>
  <si>
    <r>
      <t xml:space="preserve">107055 </t>
    </r>
    <r>
      <rPr>
        <sz val="12"/>
        <rFont val="Times New Roman"/>
        <family val="1"/>
      </rPr>
      <t>Falugondnoki, tanyagondnoki szolgáltatás</t>
    </r>
  </si>
  <si>
    <r>
      <t xml:space="preserve">107060 </t>
    </r>
    <r>
      <rPr>
        <sz val="12"/>
        <rFont val="Times New Roman"/>
        <family val="1"/>
      </rPr>
      <t>Egyéb szociális és természetbeni ellátások, támogatások</t>
    </r>
  </si>
  <si>
    <t>Alcímek: COFOGok</t>
  </si>
  <si>
    <r>
      <t xml:space="preserve">013350 </t>
    </r>
    <r>
      <rPr>
        <sz val="12"/>
        <rFont val="Times New Roman"/>
        <family val="1"/>
      </rPr>
      <t>Az állami vagyonnal való gazdálkodással kapcsolatos feladatok</t>
    </r>
  </si>
  <si>
    <r>
      <t xml:space="preserve">016080 </t>
    </r>
    <r>
      <rPr>
        <sz val="12"/>
        <rFont val="Times New Roman"/>
        <family val="1"/>
      </rPr>
      <t>Kiemelt állami és önkormányzati rendezvények</t>
    </r>
  </si>
  <si>
    <r>
      <t xml:space="preserve">041231 </t>
    </r>
    <r>
      <rPr>
        <sz val="12"/>
        <rFont val="Times New Roman"/>
        <family val="1"/>
      </rPr>
      <t>Rövid időtartamú közfoglalkoztatás</t>
    </r>
  </si>
  <si>
    <r>
      <t xml:space="preserve">041232 </t>
    </r>
    <r>
      <rPr>
        <sz val="12"/>
        <rFont val="Times New Roman"/>
        <family val="1"/>
      </rPr>
      <t>Start-munka program – Téli közfoglalkoztatás</t>
    </r>
  </si>
  <si>
    <r>
      <t xml:space="preserve">041233 </t>
    </r>
    <r>
      <rPr>
        <sz val="12"/>
        <rFont val="Times New Roman"/>
        <family val="1"/>
      </rPr>
      <t>Hosszabb időtartamú közfoglalkoztatás</t>
    </r>
  </si>
  <si>
    <r>
      <t>045120</t>
    </r>
    <r>
      <rPr>
        <sz val="12"/>
        <rFont val="Times New Roman"/>
        <family val="1"/>
      </rPr>
      <t xml:space="preserve"> Út, autópálya építése</t>
    </r>
  </si>
  <si>
    <r>
      <t xml:space="preserve">047320 </t>
    </r>
    <r>
      <rPr>
        <sz val="12"/>
        <rFont val="Times New Roman"/>
        <family val="1"/>
      </rPr>
      <t>Turizmusfejlesztési támogatások és tevékenységek</t>
    </r>
  </si>
  <si>
    <r>
      <t xml:space="preserve">051030 </t>
    </r>
    <r>
      <rPr>
        <sz val="12"/>
        <rFont val="Times New Roman"/>
        <family val="1"/>
      </rPr>
      <t>Nem veszélyes (települési) hulladék vegyes (ömlesztett) begyűjtése, szállítása, átrakása</t>
    </r>
  </si>
  <si>
    <r>
      <t xml:space="preserve">062020 </t>
    </r>
    <r>
      <rPr>
        <sz val="12"/>
        <rFont val="Times New Roman"/>
        <family val="1"/>
      </rPr>
      <t>Településfejlesztési projektek és támogatások</t>
    </r>
  </si>
  <si>
    <r>
      <t xml:space="preserve">063020 </t>
    </r>
    <r>
      <rPr>
        <sz val="12"/>
        <rFont val="Times New Roman"/>
        <family val="1"/>
      </rPr>
      <t>Víztermelés, - kezelés, - ellátás</t>
    </r>
  </si>
  <si>
    <r>
      <t xml:space="preserve">066010 </t>
    </r>
    <r>
      <rPr>
        <sz val="12"/>
        <rFont val="Times New Roman"/>
        <family val="1"/>
      </rPr>
      <t>Zöldterület-kezelés,</t>
    </r>
  </si>
  <si>
    <r>
      <t xml:space="preserve">072111 </t>
    </r>
    <r>
      <rPr>
        <sz val="12"/>
        <rFont val="Times New Roman"/>
        <family val="1"/>
      </rPr>
      <t>Háziorvosi alapellátás</t>
    </r>
  </si>
  <si>
    <r>
      <t xml:space="preserve">072311 </t>
    </r>
    <r>
      <rPr>
        <sz val="12"/>
        <rFont val="Times New Roman"/>
        <family val="1"/>
      </rPr>
      <t>Fogorvosi alapellátás</t>
    </r>
  </si>
  <si>
    <r>
      <t xml:space="preserve">074031 </t>
    </r>
    <r>
      <rPr>
        <sz val="12"/>
        <rFont val="Times New Roman"/>
        <family val="1"/>
      </rPr>
      <t>Család és nővédelmi egészségügyi gondozás</t>
    </r>
  </si>
  <si>
    <r>
      <t>082044</t>
    </r>
    <r>
      <rPr>
        <sz val="12"/>
        <rFont val="Times New Roman"/>
        <family val="1"/>
      </rPr>
      <t xml:space="preserve"> Könyvtári szolgáltatások</t>
    </r>
  </si>
  <si>
    <r>
      <t xml:space="preserve">082092 </t>
    </r>
    <r>
      <rPr>
        <sz val="12"/>
        <rFont val="Times New Roman"/>
        <family val="1"/>
      </rPr>
      <t>Közművelődési – hagyományos közösségi kulturális értékek gondozása</t>
    </r>
  </si>
  <si>
    <r>
      <t xml:space="preserve">091140 </t>
    </r>
    <r>
      <rPr>
        <sz val="12"/>
        <rFont val="Times New Roman"/>
        <family val="1"/>
      </rPr>
      <t>Óvodai nevelés működtetési feladatai</t>
    </r>
  </si>
  <si>
    <r>
      <t xml:space="preserve">104037 </t>
    </r>
    <r>
      <rPr>
        <sz val="12"/>
        <rFont val="Times New Roman"/>
        <family val="1"/>
      </rPr>
      <t>Intézményen kívüli gyermekétkeztetés</t>
    </r>
  </si>
  <si>
    <r>
      <t xml:space="preserve">104042 </t>
    </r>
    <r>
      <rPr>
        <sz val="12"/>
        <rFont val="Times New Roman"/>
        <family val="1"/>
      </rPr>
      <t>Család és gyermekjóléti szolgáltatások</t>
    </r>
  </si>
  <si>
    <r>
      <t xml:space="preserve">107051 </t>
    </r>
    <r>
      <rPr>
        <sz val="12"/>
        <rFont val="Times New Roman"/>
        <family val="1"/>
      </rPr>
      <t>Szociális étkeztetés</t>
    </r>
  </si>
  <si>
    <r>
      <t xml:space="preserve">107052 </t>
    </r>
    <r>
      <rPr>
        <sz val="12"/>
        <rFont val="Times New Roman"/>
        <family val="1"/>
      </rPr>
      <t>Házi segítségnyújtás</t>
    </r>
  </si>
  <si>
    <r>
      <t xml:space="preserve">107080 </t>
    </r>
    <r>
      <rPr>
        <sz val="12"/>
        <rFont val="Times New Roman"/>
        <family val="1"/>
      </rPr>
      <t>Esélyegyenlőség elősegítését célzó tevékenységek és programok</t>
    </r>
  </si>
  <si>
    <r>
      <t>018010</t>
    </r>
    <r>
      <rPr>
        <sz val="12"/>
        <rFont val="Times New Roman"/>
        <family val="1"/>
      </rPr>
      <t xml:space="preserve"> Önkormányzatok</t>
    </r>
    <r>
      <rPr>
        <sz val="10"/>
        <color indexed="63"/>
        <rFont val="Arial"/>
        <family val="2"/>
      </rPr>
      <t xml:space="preserve"> </t>
    </r>
    <r>
      <rPr>
        <sz val="12"/>
        <rFont val="Times New Roman"/>
        <family val="1"/>
      </rPr>
      <t>elszámolásai</t>
    </r>
    <r>
      <rPr>
        <sz val="10"/>
        <rFont val="Arial"/>
        <family val="2"/>
      </rPr>
      <t xml:space="preserve"> </t>
    </r>
    <r>
      <rPr>
        <sz val="12"/>
        <rFont val="Times New Roman"/>
        <family val="1"/>
      </rPr>
      <t>a</t>
    </r>
    <r>
      <rPr>
        <sz val="11"/>
        <color indexed="63"/>
        <rFont val="Arial"/>
        <family val="2"/>
      </rPr>
      <t xml:space="preserve"> </t>
    </r>
    <r>
      <rPr>
        <sz val="12"/>
        <rFont val="Times New Roman"/>
        <family val="1"/>
      </rPr>
      <t>központi</t>
    </r>
    <r>
      <rPr>
        <sz val="10"/>
        <color indexed="63"/>
        <rFont val="Arial"/>
        <family val="2"/>
      </rPr>
      <t xml:space="preserve"> </t>
    </r>
    <r>
      <rPr>
        <sz val="12"/>
        <rFont val="Times New Roman"/>
        <family val="1"/>
      </rPr>
      <t>költségvetéssel</t>
    </r>
  </si>
  <si>
    <r>
      <t xml:space="preserve">018030 </t>
    </r>
    <r>
      <rPr>
        <sz val="12"/>
        <rFont val="Times New Roman"/>
        <family val="1"/>
      </rPr>
      <t>Támogatási célú finanszírozási műveletek</t>
    </r>
  </si>
  <si>
    <r>
      <t xml:space="preserve">084031 </t>
    </r>
    <r>
      <rPr>
        <sz val="12"/>
        <rFont val="Times New Roman"/>
        <family val="1"/>
      </rPr>
      <t>Civil szervezetek működési támogatása</t>
    </r>
  </si>
  <si>
    <r>
      <t xml:space="preserve">104051 </t>
    </r>
    <r>
      <rPr>
        <sz val="12"/>
        <rFont val="Times New Roman"/>
        <family val="1"/>
      </rPr>
      <t>Gyermekvédelmi pénzbeli és természetbeni ellátások</t>
    </r>
  </si>
  <si>
    <t>Felhalmozási pénzmaradvány</t>
  </si>
  <si>
    <t>Felújítás áfája</t>
  </si>
  <si>
    <t>Felhalmozsái célú pénzmaradvány</t>
  </si>
  <si>
    <t>27.</t>
  </si>
  <si>
    <t>104051 - Gyermekvédelmi pénzbeli és természetbeni ellátások</t>
  </si>
  <si>
    <t>28.</t>
  </si>
  <si>
    <t>104037 - Intézményen kívüli gyermekétkeztetés</t>
  </si>
  <si>
    <t>Vízkoncesszióból - KAVÍZ</t>
  </si>
  <si>
    <t>Balaton út II.részlet út felújítás</t>
  </si>
  <si>
    <t>Út felújítás</t>
  </si>
  <si>
    <t>TOP</t>
  </si>
  <si>
    <t>VP</t>
  </si>
  <si>
    <t>EFOP</t>
  </si>
  <si>
    <t>módosított ei</t>
  </si>
  <si>
    <t>teljesítés</t>
  </si>
  <si>
    <t>Módosított ei</t>
  </si>
  <si>
    <t>Teljesítés</t>
  </si>
  <si>
    <t>12/A - Mérleg</t>
  </si>
  <si>
    <t>#</t>
  </si>
  <si>
    <t>Előző időszak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</si>
  <si>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</si>
  <si>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</si>
  <si>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</si>
  <si>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</si>
  <si>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</si>
  <si>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</si>
  <si>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</si>
  <si>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</si>
  <si>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</si>
  <si>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</si>
  <si>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</si>
  <si>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</si>
  <si>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</si>
  <si>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</si>
  <si>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</si>
  <si>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</si>
  <si>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</si>
  <si>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</si>
  <si>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</si>
  <si>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</si>
  <si>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</si>
  <si>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</si>
  <si>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</si>
  <si>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</si>
  <si>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</si>
  <si>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</si>
  <si>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</si>
  <si>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</si>
  <si>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</si>
  <si>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</si>
  <si>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</si>
  <si>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</si>
  <si>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</si>
  <si>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</si>
  <si>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</si>
  <si>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</si>
  <si>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</si>
  <si>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</si>
  <si>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</si>
  <si>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</si>
  <si>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</si>
  <si>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</si>
  <si>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</si>
  <si>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</si>
  <si>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</si>
  <si>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73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</si>
  <si>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</si>
  <si>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</si>
  <si>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</si>
  <si>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</si>
  <si>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</si>
  <si>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</si>
  <si>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</si>
  <si>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</si>
  <si>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</si>
  <si>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143</t>
  </si>
  <si>
    <t>D/III/1 Adott előlegek (=D/III/1a+…+D/III/1f)</t>
  </si>
  <si>
    <t>148</t>
  </si>
  <si>
    <t>D/III/1e - ebből: foglalkoztatottaknak adott előlegek</t>
  </si>
  <si>
    <t>151</t>
  </si>
  <si>
    <t>D/III/3 Más által beszedett bevételek elszámolása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</si>
  <si>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</si>
  <si>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</si>
  <si>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</si>
  <si>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</si>
  <si>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</si>
  <si>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</si>
  <si>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</si>
  <si>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</si>
  <si>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</si>
  <si>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</si>
  <si>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</si>
  <si>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</si>
  <si>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</si>
  <si>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</si>
  <si>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</si>
  <si>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</si>
  <si>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</si>
  <si>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</si>
  <si>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</si>
  <si>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</si>
  <si>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</si>
  <si>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</si>
  <si>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</si>
  <si>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</si>
  <si>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</si>
  <si>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</si>
  <si>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</si>
  <si>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</si>
  <si>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</si>
  <si>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</si>
  <si>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</si>
  <si>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</si>
  <si>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</si>
  <si>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</si>
  <si>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</si>
  <si>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</si>
  <si>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</si>
  <si>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</si>
  <si>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187</t>
  </si>
  <si>
    <t>H/I/4 Költségvetési évben esedékes kötelezettségek ellátottak pénzbeli juttatásaira</t>
  </si>
  <si>
    <t>188</t>
  </si>
  <si>
    <t>H/I/5 Költségvetési évben esedékes kötelezettségek egyéb működési célú kiadásokra (&gt;=H/I/5a+H/I/5b)</t>
  </si>
  <si>
    <t>192</t>
  </si>
  <si>
    <t>H/I/7 Költségvetési évben esedékes kötelezettségek felújításokra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</si>
  <si>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</si>
  <si>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</si>
  <si>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</si>
  <si>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</si>
  <si>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</si>
  <si>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</si>
  <si>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</si>
  <si>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</si>
  <si>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</si>
  <si>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</si>
  <si>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</si>
  <si>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</si>
  <si>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</si>
  <si>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</si>
  <si>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</si>
  <si>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</si>
  <si>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</si>
  <si>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</si>
  <si>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</si>
  <si>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</si>
  <si>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ÁHT-n belüli megelőlegezések</t>
  </si>
  <si>
    <t>Működési célú kiegészítő támogatás</t>
  </si>
  <si>
    <t>Elszámolásból származó bevételek</t>
  </si>
  <si>
    <t>IV:</t>
  </si>
  <si>
    <t>V</t>
  </si>
  <si>
    <t>VI:</t>
  </si>
  <si>
    <t>VII</t>
  </si>
  <si>
    <t>VIII</t>
  </si>
  <si>
    <t>Áht-n belüli megelőlegezése</t>
  </si>
  <si>
    <t>045120 - Út építése</t>
  </si>
  <si>
    <t>047320 - Turizmusfejlesztés</t>
  </si>
  <si>
    <t>062020 - Településfejlesztés</t>
  </si>
  <si>
    <t>018030 - Támogatási célú finanszírozási műveletek</t>
  </si>
  <si>
    <t>üzemeltetési anyagok</t>
  </si>
  <si>
    <t>Informatikai szolgáltatás</t>
  </si>
  <si>
    <t>Egyéb kommunikációs szolgáltatás</t>
  </si>
  <si>
    <t>Közüzemi díjak</t>
  </si>
  <si>
    <t>Vásárolt élelmezés</t>
  </si>
  <si>
    <t>Bérleti díj</t>
  </si>
  <si>
    <t>Karbantartás</t>
  </si>
  <si>
    <t>Közvetített szolgáltatás</t>
  </si>
  <si>
    <t>Szakmai tev.segítő sz.</t>
  </si>
  <si>
    <t>Egyéb szolg.</t>
  </si>
  <si>
    <t>Áfa</t>
  </si>
  <si>
    <t>Fizetendő áfa</t>
  </si>
  <si>
    <t>Egyéb dologi kiadás</t>
  </si>
  <si>
    <t>Útépítés</t>
  </si>
  <si>
    <t>Turizmusfejlesztés</t>
  </si>
  <si>
    <t>Településfejlesztés</t>
  </si>
  <si>
    <t>Intézményen kívüli gyermekétkeztetés</t>
  </si>
  <si>
    <t>Egyéb szociálistámogatás</t>
  </si>
  <si>
    <t>ÁHT-n belűli megelőlegezések</t>
  </si>
  <si>
    <t>Körfűrész</t>
  </si>
  <si>
    <t>Kompresszor</t>
  </si>
  <si>
    <t xml:space="preserve">          3 fő képviselő</t>
  </si>
  <si>
    <r>
      <t>1. sz. melléklet  a 3/2019.(V.30.) önkormányzati rendelethez</t>
    </r>
    <r>
      <rPr>
        <b/>
        <sz val="10"/>
        <rFont val="Arial"/>
        <family val="2"/>
      </rPr>
      <t xml:space="preserve">                     </t>
    </r>
  </si>
  <si>
    <t>2/A. sz. melléklet a 3/2019.(V.30.) önkormányzati rendelethez</t>
  </si>
  <si>
    <t>3. számú melléklet a3/2019.(V.30.) önkormányzati rendelethez</t>
  </si>
  <si>
    <t>4. sz. melléklet a 3/2019.(V.30.) önkormányzati rendelethez</t>
  </si>
  <si>
    <t>5/A. melléklet a 3/2019.(V.30.) önkormányzati rendelethez</t>
  </si>
  <si>
    <t>5/B. sz. melléklet a 3/2019.(V.30.) önkormányzati rendelethez</t>
  </si>
  <si>
    <t>6. sz. melléklet a3/2019.(V.30.) önkormányzati rendelethez</t>
  </si>
  <si>
    <t>7. sz. melléklet a3/2019.(V.30.) önkormányzati rendelethez</t>
  </si>
  <si>
    <t>8. sz. melléklet  a 3/2019.(V.30.) önkormányzati rendelethez</t>
  </si>
  <si>
    <t>9.sz. melléklet a 3/2019.(V.30.) önkormányzati rendelethez</t>
  </si>
  <si>
    <t>10. sz. melléklet a 3/2019.(V.30.) önkormányzati rendelethez</t>
  </si>
  <si>
    <t>11. számú melléklet a 3/2019.(V.30.) önkormányzati rendelethez</t>
  </si>
  <si>
    <t>12. számú melléklet a vönkormányzati rendelethez</t>
  </si>
  <si>
    <t>13. sz. melléklet a3/2019.(V.30.) önkormányzati rendelethez</t>
  </si>
  <si>
    <t>14. számú melléklet a 3/2019.(V.30.) önkormányzati rendelethez</t>
  </si>
  <si>
    <t>16. sz. melléklet a 3/2019.(V.30.) önkormányzati rendelethez</t>
  </si>
  <si>
    <t>17. sz. melléklet a 3/2019.(V.30.) önkormányzati rendelethez</t>
  </si>
  <si>
    <t>15. számú melléklet a 3/2019.(V.30.) önkormányzati rendelethez</t>
  </si>
  <si>
    <t xml:space="preserve">     18.számú melléklet a 3/2019.(V.30.)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</si>
</sst>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_-* #,##0.000\ &quot;Ft&quot;_-;\-* #,##0.000\ &quot;Ft&quot;_-;_-* &quot;-&quot;??\ &quot;Ft&quot;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16" fontId="10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21" fillId="0" borderId="0" xfId="0" applyFont="1" applyAlignment="1">
      <alignment/>
    </xf>
    <xf numFmtId="0" fontId="21" fillId="34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Font="1" applyAlignment="1">
      <alignment horizontal="justify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9" xfId="0" applyFont="1" applyBorder="1" applyAlignment="1">
      <alignment horizontal="justify" wrapText="1"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 horizontal="justify"/>
    </xf>
    <xf numFmtId="0" fontId="0" fillId="0" borderId="22" xfId="0" applyFill="1" applyBorder="1" applyAlignment="1">
      <alignment/>
    </xf>
    <xf numFmtId="0" fontId="0" fillId="0" borderId="23" xfId="0" applyFont="1" applyBorder="1" applyAlignment="1">
      <alignment horizontal="justify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10" fillId="0" borderId="17" xfId="0" applyFont="1" applyFill="1" applyBorder="1" applyAlignment="1">
      <alignment horizontal="justify"/>
    </xf>
    <xf numFmtId="0" fontId="10" fillId="0" borderId="31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0" fillId="0" borderId="15" xfId="0" applyFill="1" applyBorder="1" applyAlignment="1">
      <alignment/>
    </xf>
    <xf numFmtId="0" fontId="0" fillId="0" borderId="23" xfId="0" applyFont="1" applyFill="1" applyBorder="1" applyAlignment="1">
      <alignment horizontal="justify"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38" xfId="0" applyFont="1" applyFill="1" applyBorder="1" applyAlignment="1">
      <alignment/>
    </xf>
    <xf numFmtId="0" fontId="59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right"/>
      <protection/>
    </xf>
    <xf numFmtId="0" fontId="0" fillId="0" borderId="10" xfId="54" applyBorder="1">
      <alignment/>
      <protection/>
    </xf>
    <xf numFmtId="0" fontId="0" fillId="0" borderId="10" xfId="54" applyFont="1" applyBorder="1">
      <alignment/>
      <protection/>
    </xf>
    <xf numFmtId="3" fontId="0" fillId="0" borderId="10" xfId="54" applyNumberFormat="1" applyBorder="1">
      <alignment/>
      <protection/>
    </xf>
    <xf numFmtId="3" fontId="0" fillId="0" borderId="10" xfId="54" applyNumberFormat="1" applyFont="1" applyBorder="1">
      <alignment/>
      <protection/>
    </xf>
    <xf numFmtId="0" fontId="10" fillId="0" borderId="10" xfId="54" applyFont="1" applyFill="1" applyBorder="1">
      <alignment/>
      <protection/>
    </xf>
    <xf numFmtId="3" fontId="10" fillId="0" borderId="10" xfId="54" applyNumberFormat="1" applyFont="1" applyBorder="1">
      <alignment/>
      <protection/>
    </xf>
    <xf numFmtId="0" fontId="10" fillId="0" borderId="10" xfId="54" applyFont="1" applyBorder="1">
      <alignment/>
      <protection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35" borderId="0" xfId="0" applyFill="1" applyAlignment="1">
      <alignment/>
    </xf>
    <xf numFmtId="0" fontId="0" fillId="0" borderId="42" xfId="0" applyFont="1" applyBorder="1" applyAlignment="1">
      <alignment wrapText="1"/>
    </xf>
    <xf numFmtId="0" fontId="10" fillId="0" borderId="42" xfId="0" applyFont="1" applyBorder="1" applyAlignment="1">
      <alignment/>
    </xf>
    <xf numFmtId="0" fontId="21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 vertical="center"/>
    </xf>
    <xf numFmtId="179" fontId="16" fillId="0" borderId="11" xfId="56" applyNumberFormat="1" applyFont="1" applyBorder="1" applyAlignment="1">
      <alignment/>
    </xf>
    <xf numFmtId="179" fontId="10" fillId="0" borderId="10" xfId="56" applyNumberFormat="1" applyFont="1" applyBorder="1" applyAlignment="1">
      <alignment/>
    </xf>
    <xf numFmtId="179" fontId="0" fillId="0" borderId="10" xfId="56" applyNumberFormat="1" applyFont="1" applyBorder="1" applyAlignment="1">
      <alignment/>
    </xf>
    <xf numFmtId="179" fontId="0" fillId="0" borderId="0" xfId="56" applyNumberFormat="1" applyFont="1" applyBorder="1" applyAlignment="1">
      <alignment/>
    </xf>
    <xf numFmtId="179" fontId="16" fillId="0" borderId="0" xfId="56" applyNumberFormat="1" applyFont="1" applyBorder="1" applyAlignment="1">
      <alignment/>
    </xf>
    <xf numFmtId="179" fontId="13" fillId="0" borderId="10" xfId="56" applyNumberFormat="1" applyFont="1" applyBorder="1" applyAlignment="1">
      <alignment horizontal="center"/>
    </xf>
    <xf numFmtId="179" fontId="0" fillId="0" borderId="0" xfId="56" applyNumberFormat="1" applyFont="1" applyAlignment="1">
      <alignment/>
    </xf>
    <xf numFmtId="179" fontId="15" fillId="0" borderId="10" xfId="56" applyNumberFormat="1" applyFont="1" applyBorder="1" applyAlignment="1">
      <alignment/>
    </xf>
    <xf numFmtId="179" fontId="0" fillId="0" borderId="0" xfId="56" applyNumberFormat="1" applyFont="1" applyBorder="1" applyAlignment="1">
      <alignment/>
    </xf>
    <xf numFmtId="179" fontId="18" fillId="0" borderId="10" xfId="56" applyNumberFormat="1" applyFont="1" applyBorder="1" applyAlignment="1">
      <alignment/>
    </xf>
    <xf numFmtId="179" fontId="15" fillId="0" borderId="0" xfId="56" applyNumberFormat="1" applyFont="1" applyBorder="1" applyAlignment="1">
      <alignment/>
    </xf>
    <xf numFmtId="179" fontId="5" fillId="0" borderId="0" xfId="56" applyNumberFormat="1" applyFont="1" applyBorder="1" applyAlignment="1">
      <alignment/>
    </xf>
    <xf numFmtId="179" fontId="0" fillId="35" borderId="10" xfId="56" applyNumberFormat="1" applyFont="1" applyFill="1" applyBorder="1" applyAlignment="1">
      <alignment/>
    </xf>
    <xf numFmtId="179" fontId="10" fillId="35" borderId="10" xfId="56" applyNumberFormat="1" applyFont="1" applyFill="1" applyBorder="1" applyAlignment="1">
      <alignment/>
    </xf>
    <xf numFmtId="179" fontId="0" fillId="35" borderId="11" xfId="56" applyNumberFormat="1" applyFont="1" applyFill="1" applyBorder="1" applyAlignment="1">
      <alignment/>
    </xf>
    <xf numFmtId="179" fontId="12" fillId="35" borderId="10" xfId="56" applyNumberFormat="1" applyFont="1" applyFill="1" applyBorder="1" applyAlignment="1">
      <alignment/>
    </xf>
    <xf numFmtId="179" fontId="0" fillId="0" borderId="10" xfId="56" applyNumberFormat="1" applyFont="1" applyBorder="1" applyAlignment="1">
      <alignment/>
    </xf>
    <xf numFmtId="179" fontId="0" fillId="0" borderId="0" xfId="56" applyNumberFormat="1" applyFont="1" applyAlignment="1">
      <alignment/>
    </xf>
    <xf numFmtId="179" fontId="10" fillId="0" borderId="0" xfId="56" applyNumberFormat="1" applyFont="1" applyAlignment="1">
      <alignment/>
    </xf>
    <xf numFmtId="179" fontId="0" fillId="35" borderId="10" xfId="56" applyNumberFormat="1" applyFont="1" applyFill="1" applyBorder="1" applyAlignment="1">
      <alignment wrapText="1"/>
    </xf>
    <xf numFmtId="179" fontId="0" fillId="0" borderId="10" xfId="56" applyNumberFormat="1" applyFont="1" applyBorder="1" applyAlignment="1">
      <alignment wrapText="1"/>
    </xf>
    <xf numFmtId="179" fontId="0" fillId="35" borderId="10" xfId="56" applyNumberFormat="1" applyFont="1" applyFill="1" applyBorder="1" applyAlignment="1">
      <alignment/>
    </xf>
    <xf numFmtId="179" fontId="0" fillId="35" borderId="16" xfId="56" applyNumberFormat="1" applyFont="1" applyFill="1" applyBorder="1" applyAlignment="1">
      <alignment/>
    </xf>
    <xf numFmtId="179" fontId="16" fillId="0" borderId="0" xfId="56" applyNumberFormat="1" applyFont="1" applyAlignment="1">
      <alignment/>
    </xf>
    <xf numFmtId="179" fontId="10" fillId="0" borderId="10" xfId="56" applyNumberFormat="1" applyFont="1" applyBorder="1" applyAlignment="1">
      <alignment horizontal="right"/>
    </xf>
    <xf numFmtId="179" fontId="0" fillId="0" borderId="12" xfId="56" applyNumberFormat="1" applyFont="1" applyBorder="1" applyAlignment="1">
      <alignment/>
    </xf>
    <xf numFmtId="179" fontId="10" fillId="0" borderId="12" xfId="56" applyNumberFormat="1" applyFont="1" applyBorder="1" applyAlignment="1">
      <alignment/>
    </xf>
    <xf numFmtId="179" fontId="10" fillId="0" borderId="38" xfId="0" applyNumberFormat="1" applyFont="1" applyFill="1" applyBorder="1" applyAlignment="1">
      <alignment/>
    </xf>
    <xf numFmtId="179" fontId="12" fillId="0" borderId="10" xfId="56" applyNumberFormat="1" applyFont="1" applyBorder="1" applyAlignment="1">
      <alignment/>
    </xf>
    <xf numFmtId="179" fontId="21" fillId="0" borderId="13" xfId="56" applyNumberFormat="1" applyFont="1" applyBorder="1" applyAlignment="1">
      <alignment horizontal="center"/>
    </xf>
    <xf numFmtId="179" fontId="21" fillId="0" borderId="15" xfId="56" applyNumberFormat="1" applyFont="1" applyBorder="1" applyAlignment="1">
      <alignment horizontal="center"/>
    </xf>
    <xf numFmtId="179" fontId="22" fillId="0" borderId="10" xfId="56" applyNumberFormat="1" applyFont="1" applyBorder="1" applyAlignment="1">
      <alignment/>
    </xf>
    <xf numFmtId="179" fontId="0" fillId="0" borderId="13" xfId="56" applyNumberFormat="1" applyFont="1" applyBorder="1" applyAlignment="1">
      <alignment horizontal="center"/>
    </xf>
    <xf numFmtId="179" fontId="0" fillId="0" borderId="15" xfId="56" applyNumberFormat="1" applyFont="1" applyBorder="1" applyAlignment="1">
      <alignment horizontal="center"/>
    </xf>
    <xf numFmtId="49" fontId="0" fillId="0" borderId="10" xfId="56" applyNumberFormat="1" applyFont="1" applyBorder="1" applyAlignment="1">
      <alignment/>
    </xf>
    <xf numFmtId="179" fontId="10" fillId="0" borderId="15" xfId="56" applyNumberFormat="1" applyFont="1" applyBorder="1" applyAlignment="1">
      <alignment/>
    </xf>
    <xf numFmtId="179" fontId="0" fillId="0" borderId="10" xfId="56" applyNumberFormat="1" applyFont="1" applyBorder="1" applyAlignment="1">
      <alignment horizontal="right"/>
    </xf>
    <xf numFmtId="179" fontId="0" fillId="0" borderId="12" xfId="56" applyNumberFormat="1" applyFont="1" applyBorder="1" applyAlignment="1">
      <alignment/>
    </xf>
    <xf numFmtId="179" fontId="0" fillId="0" borderId="43" xfId="56" applyNumberFormat="1" applyFont="1" applyBorder="1" applyAlignment="1">
      <alignment/>
    </xf>
    <xf numFmtId="179" fontId="0" fillId="0" borderId="43" xfId="56" applyNumberFormat="1" applyFont="1" applyBorder="1" applyAlignment="1">
      <alignment horizontal="right"/>
    </xf>
    <xf numFmtId="179" fontId="10" fillId="0" borderId="44" xfId="56" applyNumberFormat="1" applyFont="1" applyBorder="1" applyAlignment="1">
      <alignment/>
    </xf>
    <xf numFmtId="0" fontId="16" fillId="37" borderId="21" xfId="0" applyFont="1" applyFill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22" fillId="0" borderId="21" xfId="0" applyNumberFormat="1" applyFont="1" applyBorder="1" applyAlignment="1">
      <alignment horizontal="right" vertical="top" wrapText="1"/>
    </xf>
    <xf numFmtId="0" fontId="16" fillId="37" borderId="45" xfId="0" applyFont="1" applyFill="1" applyBorder="1" applyAlignment="1">
      <alignment horizontal="center" vertical="top" wrapText="1"/>
    </xf>
    <xf numFmtId="3" fontId="22" fillId="0" borderId="23" xfId="0" applyNumberFormat="1" applyFont="1" applyBorder="1" applyAlignment="1">
      <alignment horizontal="right" vertical="top" wrapText="1"/>
    </xf>
    <xf numFmtId="0" fontId="16" fillId="37" borderId="46" xfId="0" applyFont="1" applyFill="1" applyBorder="1" applyAlignment="1">
      <alignment horizontal="center" vertical="top" wrapText="1"/>
    </xf>
    <xf numFmtId="0" fontId="16" fillId="37" borderId="47" xfId="0" applyFont="1" applyFill="1" applyBorder="1" applyAlignment="1">
      <alignment horizontal="center" vertical="top" wrapText="1"/>
    </xf>
    <xf numFmtId="0" fontId="16" fillId="37" borderId="48" xfId="0" applyFont="1" applyFill="1" applyBorder="1" applyAlignment="1">
      <alignment horizontal="center" vertical="top" wrapText="1"/>
    </xf>
    <xf numFmtId="0" fontId="16" fillId="37" borderId="22" xfId="0" applyFont="1" applyFill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0" fontId="22" fillId="0" borderId="48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left" vertical="top" wrapText="1"/>
    </xf>
    <xf numFmtId="179" fontId="0" fillId="0" borderId="10" xfId="56" applyNumberFormat="1" applyFont="1" applyBorder="1" applyAlignment="1">
      <alignment horizontal="right" vertical="top" wrapText="1"/>
    </xf>
    <xf numFmtId="179" fontId="10" fillId="0" borderId="10" xfId="56" applyNumberFormat="1" applyFont="1" applyBorder="1" applyAlignment="1">
      <alignment/>
    </xf>
    <xf numFmtId="179" fontId="0" fillId="0" borderId="0" xfId="0" applyNumberForma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54" applyFont="1" applyBorder="1" applyAlignment="1">
      <alignment horizontal="center"/>
      <protection/>
    </xf>
    <xf numFmtId="0" fontId="21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6" fillId="37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8.421875" style="0" customWidth="1"/>
    <col min="2" max="2" width="78.00390625" style="0" bestFit="1" customWidth="1"/>
    <col min="3" max="3" width="6.7109375" style="0" customWidth="1"/>
    <col min="4" max="4" width="8.140625" style="0" customWidth="1"/>
    <col min="5" max="9" width="5.00390625" style="0" bestFit="1" customWidth="1"/>
    <col min="10" max="10" width="6.421875" style="0" bestFit="1" customWidth="1"/>
    <col min="11" max="13" width="5.00390625" style="0" bestFit="1" customWidth="1"/>
    <col min="15" max="15" width="22.8515625" style="0" bestFit="1" customWidth="1"/>
    <col min="21" max="22" width="8.00390625" style="0" customWidth="1"/>
    <col min="23" max="23" width="8.140625" style="0" customWidth="1"/>
  </cols>
  <sheetData>
    <row r="1" ht="12.75">
      <c r="B1" s="120" t="s">
        <v>578</v>
      </c>
    </row>
    <row r="2" ht="12.75">
      <c r="B2" s="25" t="s">
        <v>326</v>
      </c>
    </row>
    <row r="4" spans="1:3" ht="12.75">
      <c r="A4" s="63" t="s">
        <v>170</v>
      </c>
      <c r="B4" s="63"/>
      <c r="C4" s="63"/>
    </row>
    <row r="5" spans="1:3" ht="12.75">
      <c r="A5" s="63"/>
      <c r="B5" s="63"/>
      <c r="C5" s="63"/>
    </row>
    <row r="6" spans="1:3" ht="12.75">
      <c r="A6" s="63"/>
      <c r="B6" s="63"/>
      <c r="C6" s="63"/>
    </row>
    <row r="7" spans="1:2" ht="12.75">
      <c r="A7" s="25" t="s">
        <v>52</v>
      </c>
      <c r="B7" s="25" t="s">
        <v>51</v>
      </c>
    </row>
    <row r="8" ht="12.75">
      <c r="B8" s="26" t="s">
        <v>371</v>
      </c>
    </row>
    <row r="9" spans="1:2" ht="30.75">
      <c r="A9" s="2">
        <v>1</v>
      </c>
      <c r="B9" s="154" t="s">
        <v>364</v>
      </c>
    </row>
    <row r="10" spans="1:2" ht="15">
      <c r="A10" s="2">
        <v>2</v>
      </c>
      <c r="B10" s="154" t="s">
        <v>365</v>
      </c>
    </row>
    <row r="11" spans="1:2" ht="15">
      <c r="A11" s="2">
        <v>3</v>
      </c>
      <c r="B11" s="154" t="s">
        <v>366</v>
      </c>
    </row>
    <row r="12" spans="1:2" ht="15">
      <c r="A12" s="2">
        <v>4</v>
      </c>
      <c r="B12" s="154" t="s">
        <v>367</v>
      </c>
    </row>
    <row r="13" spans="1:2" ht="15">
      <c r="A13" s="2">
        <v>5</v>
      </c>
      <c r="B13" s="154" t="s">
        <v>368</v>
      </c>
    </row>
    <row r="14" spans="1:2" ht="15">
      <c r="A14" s="2">
        <v>6</v>
      </c>
      <c r="B14" s="154" t="s">
        <v>369</v>
      </c>
    </row>
    <row r="15" spans="1:2" ht="15">
      <c r="A15" s="2">
        <v>7</v>
      </c>
      <c r="B15" s="154" t="s">
        <v>370</v>
      </c>
    </row>
    <row r="16" spans="1:2" ht="15">
      <c r="A16" s="2">
        <v>8</v>
      </c>
      <c r="B16" s="154" t="s">
        <v>372</v>
      </c>
    </row>
    <row r="17" spans="1:2" ht="15">
      <c r="A17" s="2">
        <v>9</v>
      </c>
      <c r="B17" s="154" t="s">
        <v>373</v>
      </c>
    </row>
    <row r="18" spans="1:2" ht="15">
      <c r="A18" s="2">
        <v>10</v>
      </c>
      <c r="B18" s="154" t="s">
        <v>374</v>
      </c>
    </row>
    <row r="19" spans="1:2" ht="15">
      <c r="A19" s="2">
        <v>11</v>
      </c>
      <c r="B19" s="154" t="s">
        <v>375</v>
      </c>
    </row>
    <row r="20" spans="1:2" ht="15">
      <c r="A20" s="2">
        <v>12</v>
      </c>
      <c r="B20" s="154" t="s">
        <v>376</v>
      </c>
    </row>
    <row r="21" spans="1:2" ht="15">
      <c r="A21" s="2">
        <v>13</v>
      </c>
      <c r="B21" s="154" t="s">
        <v>377</v>
      </c>
    </row>
    <row r="22" spans="1:2" ht="15">
      <c r="A22" s="2">
        <v>14</v>
      </c>
      <c r="B22" s="154" t="s">
        <v>378</v>
      </c>
    </row>
    <row r="23" spans="1:2" ht="30.75">
      <c r="A23" s="2">
        <v>15</v>
      </c>
      <c r="B23" s="154" t="s">
        <v>379</v>
      </c>
    </row>
    <row r="24" spans="1:2" ht="15">
      <c r="A24" s="2">
        <v>16</v>
      </c>
      <c r="B24" s="154" t="s">
        <v>380</v>
      </c>
    </row>
    <row r="25" spans="1:2" ht="15">
      <c r="A25" s="2">
        <v>17</v>
      </c>
      <c r="B25" s="154" t="s">
        <v>381</v>
      </c>
    </row>
    <row r="26" spans="1:2" ht="15">
      <c r="A26" s="2">
        <v>18</v>
      </c>
      <c r="B26" s="154" t="s">
        <v>382</v>
      </c>
    </row>
    <row r="27" spans="1:2" ht="15">
      <c r="A27" s="2">
        <v>19</v>
      </c>
      <c r="B27" s="154" t="s">
        <v>383</v>
      </c>
    </row>
    <row r="28" spans="1:2" ht="15">
      <c r="A28" s="2">
        <v>20</v>
      </c>
      <c r="B28" s="154" t="s">
        <v>384</v>
      </c>
    </row>
    <row r="29" spans="1:2" ht="15">
      <c r="A29" s="2">
        <v>21</v>
      </c>
      <c r="B29" s="154" t="s">
        <v>385</v>
      </c>
    </row>
    <row r="30" spans="1:2" ht="15">
      <c r="A30" s="2">
        <v>22</v>
      </c>
      <c r="B30" s="154" t="s">
        <v>386</v>
      </c>
    </row>
    <row r="31" spans="1:2" ht="15">
      <c r="A31" s="2">
        <v>23</v>
      </c>
      <c r="B31" s="154" t="s">
        <v>387</v>
      </c>
    </row>
    <row r="32" spans="1:2" ht="15">
      <c r="A32" s="2">
        <v>24</v>
      </c>
      <c r="B32" s="154" t="s">
        <v>388</v>
      </c>
    </row>
    <row r="33" spans="1:2" ht="15">
      <c r="A33" s="2">
        <v>25</v>
      </c>
      <c r="B33" s="154" t="s">
        <v>389</v>
      </c>
    </row>
    <row r="34" spans="1:2" ht="15">
      <c r="A34" s="2">
        <v>26</v>
      </c>
      <c r="B34" s="154" t="s">
        <v>390</v>
      </c>
    </row>
    <row r="35" spans="1:2" ht="15">
      <c r="A35" s="2">
        <v>27</v>
      </c>
      <c r="B35" s="154" t="s">
        <v>391</v>
      </c>
    </row>
    <row r="36" spans="1:2" ht="15">
      <c r="A36" s="2">
        <v>28</v>
      </c>
      <c r="B36" s="154" t="s">
        <v>392</v>
      </c>
    </row>
    <row r="37" spans="1:2" ht="15">
      <c r="A37" s="2">
        <v>29</v>
      </c>
      <c r="B37" s="154" t="s">
        <v>393</v>
      </c>
    </row>
    <row r="38" spans="1:2" ht="15">
      <c r="A38" s="2">
        <v>30</v>
      </c>
      <c r="B38" s="155" t="s">
        <v>394</v>
      </c>
    </row>
    <row r="39" spans="1:2" ht="15">
      <c r="A39" s="2">
        <v>31</v>
      </c>
      <c r="B39" s="155" t="s">
        <v>395</v>
      </c>
    </row>
    <row r="40" spans="1:2" ht="15">
      <c r="A40" s="2">
        <v>32</v>
      </c>
      <c r="B40" s="154" t="s">
        <v>396</v>
      </c>
    </row>
    <row r="41" spans="1:2" ht="15">
      <c r="A41" s="2">
        <v>33</v>
      </c>
      <c r="B41" s="154" t="s">
        <v>397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2" max="2" width="36.8515625" style="0" customWidth="1"/>
    <col min="3" max="3" width="9.00390625" style="0" customWidth="1"/>
    <col min="4" max="4" width="14.421875" style="0" customWidth="1"/>
  </cols>
  <sheetData>
    <row r="1" ht="12.75">
      <c r="B1" s="4" t="s">
        <v>587</v>
      </c>
    </row>
    <row r="2" spans="2:4" ht="12.75">
      <c r="B2" s="33"/>
      <c r="D2" t="s">
        <v>22</v>
      </c>
    </row>
    <row r="3" ht="12.75">
      <c r="B3" s="33" t="s">
        <v>272</v>
      </c>
    </row>
    <row r="5" spans="2:3" ht="12.75">
      <c r="B5" s="4" t="s">
        <v>110</v>
      </c>
      <c r="C5" s="4" t="s">
        <v>22</v>
      </c>
    </row>
    <row r="6" spans="2:3" ht="12.75">
      <c r="B6" s="4" t="s">
        <v>189</v>
      </c>
      <c r="C6" s="4"/>
    </row>
    <row r="7" spans="2:3" ht="12.75">
      <c r="B7" s="4"/>
      <c r="C7" s="4"/>
    </row>
    <row r="8" spans="1:3" ht="12.75">
      <c r="A8" s="4" t="s">
        <v>339</v>
      </c>
      <c r="B8" s="4"/>
      <c r="C8" s="4"/>
    </row>
    <row r="9" spans="1:3" ht="12.75">
      <c r="A9" s="19" t="s">
        <v>16</v>
      </c>
      <c r="B9" s="19" t="s">
        <v>1</v>
      </c>
      <c r="C9" s="19" t="s">
        <v>18</v>
      </c>
    </row>
    <row r="10" spans="1:3" s="4" customFormat="1" ht="12.75">
      <c r="A10" s="19" t="s">
        <v>3</v>
      </c>
      <c r="B10" s="61" t="s">
        <v>190</v>
      </c>
      <c r="C10" s="61">
        <v>4</v>
      </c>
    </row>
    <row r="11" spans="1:3" s="4" customFormat="1" ht="12.75">
      <c r="A11" s="19"/>
      <c r="B11" s="32" t="s">
        <v>357</v>
      </c>
      <c r="C11" s="61"/>
    </row>
    <row r="12" spans="1:3" s="33" customFormat="1" ht="12.75">
      <c r="A12" s="22"/>
      <c r="B12" s="48" t="s">
        <v>191</v>
      </c>
      <c r="C12" s="32"/>
    </row>
    <row r="13" spans="1:3" s="4" customFormat="1" ht="12.75">
      <c r="A13" s="19"/>
      <c r="B13" s="48" t="s">
        <v>577</v>
      </c>
      <c r="C13" s="61"/>
    </row>
    <row r="14" spans="1:3" s="4" customFormat="1" ht="12.75">
      <c r="A14" s="19" t="s">
        <v>4</v>
      </c>
      <c r="B14" s="61" t="s">
        <v>192</v>
      </c>
      <c r="C14" s="61">
        <v>1</v>
      </c>
    </row>
    <row r="15" spans="1:3" ht="12.75">
      <c r="A15" s="2"/>
      <c r="B15" s="32" t="s">
        <v>194</v>
      </c>
      <c r="C15" s="30"/>
    </row>
    <row r="16" spans="1:3" s="4" customFormat="1" ht="12.75">
      <c r="A16" s="19" t="s">
        <v>10</v>
      </c>
      <c r="B16" s="19" t="s">
        <v>193</v>
      </c>
      <c r="C16" s="19">
        <v>1</v>
      </c>
    </row>
    <row r="17" spans="1:3" ht="12.75">
      <c r="A17" s="2"/>
      <c r="B17" s="2" t="s">
        <v>194</v>
      </c>
      <c r="C17" s="2"/>
    </row>
    <row r="18" spans="1:3" s="4" customFormat="1" ht="12.75">
      <c r="A18" s="19" t="s">
        <v>67</v>
      </c>
      <c r="B18" s="19" t="s">
        <v>195</v>
      </c>
      <c r="C18" s="19">
        <v>0</v>
      </c>
    </row>
    <row r="19" spans="1:3" ht="12.75">
      <c r="A19" s="2"/>
      <c r="B19" s="74"/>
      <c r="C19" s="2"/>
    </row>
    <row r="20" spans="1:3" ht="12.75">
      <c r="A20" s="2"/>
      <c r="B20" s="19" t="s">
        <v>11</v>
      </c>
      <c r="C20" s="19">
        <f>SUM(C10:C19)</f>
        <v>6</v>
      </c>
    </row>
    <row r="21" spans="1:3" ht="12.75">
      <c r="A21" s="6"/>
      <c r="B21" s="11"/>
      <c r="C21" s="11"/>
    </row>
    <row r="22" ht="12.75">
      <c r="B22" s="4"/>
    </row>
    <row r="23" ht="12.75">
      <c r="B23" s="4"/>
    </row>
    <row r="24" ht="12.75">
      <c r="A24" s="4" t="s">
        <v>340</v>
      </c>
    </row>
    <row r="25" spans="1:3" ht="12.75">
      <c r="A25" s="19" t="s">
        <v>76</v>
      </c>
      <c r="B25" s="19" t="s">
        <v>1</v>
      </c>
      <c r="C25" s="19" t="s">
        <v>18</v>
      </c>
    </row>
    <row r="26" spans="1:3" ht="12.75">
      <c r="A26" s="2" t="s">
        <v>3</v>
      </c>
      <c r="B26" s="22" t="s">
        <v>266</v>
      </c>
      <c r="C26" s="2">
        <v>4</v>
      </c>
    </row>
    <row r="27" spans="1:3" ht="12.75">
      <c r="A27" s="22" t="s">
        <v>4</v>
      </c>
      <c r="B27" s="22" t="s">
        <v>358</v>
      </c>
      <c r="C27" s="2">
        <v>3</v>
      </c>
    </row>
    <row r="28" spans="1:3" ht="12.75">
      <c r="A28" s="2"/>
      <c r="B28" s="19" t="s">
        <v>11</v>
      </c>
      <c r="C28" s="19">
        <f>SUM(C26:C27)</f>
        <v>7</v>
      </c>
    </row>
    <row r="29" spans="1:3" ht="12.75">
      <c r="A29" s="2"/>
      <c r="B29" s="11"/>
      <c r="C29" s="11"/>
    </row>
    <row r="30" spans="1:3" ht="12.75">
      <c r="A30" s="2"/>
      <c r="B30" s="11"/>
      <c r="C30" s="11"/>
    </row>
    <row r="31" spans="3:4" ht="12.75">
      <c r="C31" s="117"/>
      <c r="D31" s="117"/>
    </row>
    <row r="32" ht="12.75">
      <c r="B32" s="111"/>
    </row>
    <row r="33" spans="2:3" ht="12.75">
      <c r="B33" s="57"/>
      <c r="C33" s="33"/>
    </row>
    <row r="34" spans="2:4" ht="12.75">
      <c r="B34" s="57"/>
      <c r="C34" s="33"/>
      <c r="D34" s="33"/>
    </row>
    <row r="35" spans="2:4" ht="12.75">
      <c r="B35" s="57"/>
      <c r="C35" s="33"/>
      <c r="D35" s="33"/>
    </row>
    <row r="36" spans="2:4" ht="12.75">
      <c r="B36" s="57"/>
      <c r="C36" s="33"/>
      <c r="D36" s="33"/>
    </row>
    <row r="37" spans="2:4" ht="12.75">
      <c r="B37" s="57"/>
      <c r="C37" s="33"/>
      <c r="D37" s="33"/>
    </row>
    <row r="38" ht="12.75">
      <c r="B38" s="57"/>
    </row>
    <row r="39" spans="2:4" ht="12.75">
      <c r="B39" s="11"/>
      <c r="C39" s="6"/>
      <c r="D39" s="6"/>
    </row>
    <row r="41" ht="12.75">
      <c r="B41" s="57"/>
    </row>
    <row r="42" ht="12.75">
      <c r="B42" s="57"/>
    </row>
    <row r="43" ht="12.75">
      <c r="B43" s="62"/>
    </row>
    <row r="44" ht="12.75">
      <c r="B44" s="57"/>
    </row>
    <row r="45" ht="12.75">
      <c r="B45" s="57"/>
    </row>
    <row r="46" ht="12.75">
      <c r="B46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120" zoomScaleSheetLayoutView="120" zoomScalePageLayoutView="0" workbookViewId="0" topLeftCell="A1">
      <selection activeCell="B1" sqref="B1"/>
    </sheetView>
  </sheetViews>
  <sheetFormatPr defaultColWidth="9.140625" defaultRowHeight="12.75"/>
  <cols>
    <col min="2" max="2" width="35.28125" style="0" customWidth="1"/>
  </cols>
  <sheetData>
    <row r="1" spans="2:3" ht="12.75">
      <c r="B1" s="33" t="s">
        <v>588</v>
      </c>
      <c r="C1" s="4"/>
    </row>
    <row r="3" spans="2:4" ht="12.75">
      <c r="B3" s="33"/>
      <c r="D3" s="33" t="s">
        <v>272</v>
      </c>
    </row>
    <row r="4" ht="12.75">
      <c r="B4" s="4" t="s">
        <v>80</v>
      </c>
    </row>
    <row r="5" ht="12.75">
      <c r="E5" s="58" t="s">
        <v>296</v>
      </c>
    </row>
    <row r="6" spans="1:5" ht="12.75">
      <c r="A6" s="2" t="s">
        <v>78</v>
      </c>
      <c r="B6" s="2" t="s">
        <v>1</v>
      </c>
      <c r="C6" s="2" t="s">
        <v>38</v>
      </c>
      <c r="D6" s="2" t="s">
        <v>79</v>
      </c>
      <c r="E6" s="2" t="s">
        <v>28</v>
      </c>
    </row>
    <row r="7" spans="1:5" ht="12.75">
      <c r="A7" s="2"/>
      <c r="B7" s="19" t="s">
        <v>63</v>
      </c>
      <c r="C7" s="2"/>
      <c r="D7" s="2"/>
      <c r="E7" s="2">
        <v>0</v>
      </c>
    </row>
    <row r="8" spans="1:5" ht="12.75">
      <c r="A8" s="2" t="s">
        <v>3</v>
      </c>
      <c r="B8" s="2"/>
      <c r="C8" s="2"/>
      <c r="D8" s="2"/>
      <c r="E8" s="2"/>
    </row>
    <row r="9" spans="1:5" ht="12.75">
      <c r="A9" s="2"/>
      <c r="B9" s="2" t="s">
        <v>44</v>
      </c>
      <c r="C9" s="2"/>
      <c r="D9" s="2"/>
      <c r="E9" s="2"/>
    </row>
    <row r="11" spans="1:5" ht="12.75">
      <c r="A11" s="2"/>
      <c r="B11" s="19" t="s">
        <v>69</v>
      </c>
      <c r="C11" s="2"/>
      <c r="D11" s="2"/>
      <c r="E11" s="2">
        <v>0</v>
      </c>
    </row>
    <row r="12" spans="1:5" ht="12.75">
      <c r="A12" s="2" t="s">
        <v>47</v>
      </c>
      <c r="B12" s="2"/>
      <c r="C12" s="2"/>
      <c r="D12" s="2"/>
      <c r="E12" s="2"/>
    </row>
    <row r="13" spans="1:5" ht="12.75">
      <c r="A13" s="2"/>
      <c r="B13" s="2" t="s">
        <v>7</v>
      </c>
      <c r="C13" s="2"/>
      <c r="D13" s="2"/>
      <c r="E13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3.140625" style="0" customWidth="1"/>
  </cols>
  <sheetData>
    <row r="1" spans="1:6" ht="12.75">
      <c r="A1" s="4" t="s">
        <v>589</v>
      </c>
      <c r="E1" t="s">
        <v>22</v>
      </c>
      <c r="F1" t="s">
        <v>22</v>
      </c>
    </row>
    <row r="4" spans="1:4" ht="12.75">
      <c r="A4" s="33"/>
      <c r="B4" s="4"/>
      <c r="C4" s="4"/>
      <c r="D4" s="4"/>
    </row>
    <row r="5" spans="1:4" ht="12.75">
      <c r="A5" s="4" t="s">
        <v>272</v>
      </c>
      <c r="B5" s="4"/>
      <c r="C5" s="4"/>
      <c r="D5" s="4"/>
    </row>
    <row r="6" spans="1:4" ht="12.75">
      <c r="A6" s="72" t="s">
        <v>77</v>
      </c>
      <c r="B6" s="73"/>
      <c r="C6" s="73"/>
      <c r="D6" s="73"/>
    </row>
    <row r="7" spans="1:5" ht="12.75">
      <c r="A7" s="4"/>
      <c r="E7" s="33" t="s">
        <v>296</v>
      </c>
    </row>
    <row r="8" spans="1:6" ht="12.75">
      <c r="A8" s="19" t="s">
        <v>50</v>
      </c>
      <c r="B8" s="19"/>
      <c r="C8" s="19"/>
      <c r="D8" s="19" t="s">
        <v>49</v>
      </c>
      <c r="E8" s="19"/>
      <c r="F8" s="23"/>
    </row>
    <row r="9" spans="1:6" ht="12.75">
      <c r="A9" s="2"/>
      <c r="B9" s="2">
        <v>2018</v>
      </c>
      <c r="C9" s="2">
        <v>2019</v>
      </c>
      <c r="D9" s="2">
        <v>2020</v>
      </c>
      <c r="E9" s="2">
        <v>2021</v>
      </c>
      <c r="F9" s="2">
        <v>2022</v>
      </c>
    </row>
    <row r="10" spans="1:6" ht="12.75">
      <c r="A10" s="2" t="s">
        <v>32</v>
      </c>
      <c r="B10" s="2">
        <v>0</v>
      </c>
      <c r="C10" s="2">
        <v>0</v>
      </c>
      <c r="D10" s="2">
        <v>0</v>
      </c>
      <c r="E10" s="2">
        <v>0</v>
      </c>
      <c r="F10" s="24">
        <v>0</v>
      </c>
    </row>
    <row r="11" spans="1:6" ht="26.25">
      <c r="A11" s="75" t="s">
        <v>33</v>
      </c>
      <c r="B11" s="2">
        <v>0</v>
      </c>
      <c r="C11" s="2">
        <v>0</v>
      </c>
      <c r="D11" s="2">
        <v>0</v>
      </c>
      <c r="E11" s="2">
        <v>0</v>
      </c>
      <c r="F11" s="24">
        <v>0</v>
      </c>
    </row>
    <row r="12" spans="1:6" ht="26.25">
      <c r="A12" s="75" t="s">
        <v>34</v>
      </c>
      <c r="B12" s="2">
        <v>0</v>
      </c>
      <c r="C12" s="2">
        <v>0</v>
      </c>
      <c r="D12" s="2">
        <v>0</v>
      </c>
      <c r="E12" s="2">
        <v>0</v>
      </c>
      <c r="F12" s="24">
        <v>0</v>
      </c>
    </row>
    <row r="13" spans="1:6" ht="12.75">
      <c r="A13" s="2" t="s">
        <v>196</v>
      </c>
      <c r="B13" s="2">
        <v>0</v>
      </c>
      <c r="C13" s="2">
        <v>0</v>
      </c>
      <c r="D13" s="2">
        <v>0</v>
      </c>
      <c r="E13" s="2">
        <v>0</v>
      </c>
      <c r="F13" s="24">
        <v>0</v>
      </c>
    </row>
    <row r="14" spans="1:6" ht="12.75">
      <c r="A14" s="2" t="s">
        <v>35</v>
      </c>
      <c r="B14" s="2">
        <v>0</v>
      </c>
      <c r="C14" s="2">
        <v>0</v>
      </c>
      <c r="D14" s="2">
        <v>0</v>
      </c>
      <c r="E14" s="2">
        <v>0</v>
      </c>
      <c r="F14" s="24">
        <v>0</v>
      </c>
    </row>
    <row r="15" spans="1:6" ht="12.75">
      <c r="A15" s="2" t="s">
        <v>36</v>
      </c>
      <c r="B15" s="2">
        <v>0</v>
      </c>
      <c r="C15" s="2">
        <v>0</v>
      </c>
      <c r="D15" s="2">
        <v>0</v>
      </c>
      <c r="E15" s="2">
        <v>0</v>
      </c>
      <c r="F15" s="24">
        <v>0</v>
      </c>
    </row>
    <row r="16" spans="1:6" ht="12.75">
      <c r="A16" s="2"/>
      <c r="B16" s="2"/>
      <c r="C16" s="2"/>
      <c r="D16" s="2"/>
      <c r="E16" s="2"/>
      <c r="F16" s="2"/>
    </row>
    <row r="17" spans="1:6" ht="12.75">
      <c r="A17" s="2" t="s">
        <v>44</v>
      </c>
      <c r="B17" s="2">
        <f>SUM(B12:B15)</f>
        <v>0</v>
      </c>
      <c r="C17" s="2">
        <f>SUM(C12:C15)</f>
        <v>0</v>
      </c>
      <c r="D17" s="2">
        <f>SUM(D12:D15)</f>
        <v>0</v>
      </c>
      <c r="E17" s="2">
        <f>SUM(E12:E15)</f>
        <v>0</v>
      </c>
      <c r="F17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view="pageBreakPreview" zoomScaleNormal="110" zoomScaleSheetLayoutView="100" zoomScalePageLayoutView="0" workbookViewId="0" topLeftCell="A1">
      <selection activeCell="B2" sqref="B2:N2"/>
    </sheetView>
  </sheetViews>
  <sheetFormatPr defaultColWidth="9.140625" defaultRowHeight="12.75"/>
  <cols>
    <col min="1" max="1" width="31.8515625" style="0" customWidth="1"/>
    <col min="2" max="2" width="16.28125" style="0" bestFit="1" customWidth="1"/>
    <col min="3" max="3" width="14.7109375" style="0" bestFit="1" customWidth="1"/>
    <col min="4" max="14" width="14.140625" style="0" bestFit="1" customWidth="1"/>
    <col min="15" max="15" width="15.28125" style="0" bestFit="1" customWidth="1"/>
    <col min="16" max="16" width="30.28125" style="0" bestFit="1" customWidth="1"/>
  </cols>
  <sheetData>
    <row r="2" spans="1:14" ht="12.75">
      <c r="A2" s="33"/>
      <c r="B2" s="224" t="s">
        <v>590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ht="12.75">
      <c r="A3" s="33" t="s">
        <v>272</v>
      </c>
    </row>
    <row r="4" spans="1:14" ht="12.75">
      <c r="A4" s="222" t="s">
        <v>359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6" ht="12.75">
      <c r="N6" s="33" t="s">
        <v>296</v>
      </c>
    </row>
    <row r="7" spans="1:14" ht="12.75">
      <c r="A7" s="19" t="s">
        <v>1</v>
      </c>
      <c r="B7" s="19" t="s">
        <v>28</v>
      </c>
      <c r="C7" s="19" t="s">
        <v>144</v>
      </c>
      <c r="D7" s="19" t="s">
        <v>145</v>
      </c>
      <c r="E7" s="19" t="s">
        <v>146</v>
      </c>
      <c r="F7" s="19" t="s">
        <v>147</v>
      </c>
      <c r="G7" s="19" t="s">
        <v>148</v>
      </c>
      <c r="H7" s="19" t="s">
        <v>149</v>
      </c>
      <c r="I7" s="19" t="s">
        <v>150</v>
      </c>
      <c r="J7" s="19" t="s">
        <v>151</v>
      </c>
      <c r="K7" s="19" t="s">
        <v>152</v>
      </c>
      <c r="L7" s="19" t="s">
        <v>153</v>
      </c>
      <c r="M7" s="19" t="s">
        <v>154</v>
      </c>
      <c r="N7" s="19" t="s">
        <v>155</v>
      </c>
    </row>
    <row r="8" spans="1:14" ht="12.75">
      <c r="A8" s="19" t="s">
        <v>63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81"/>
    </row>
    <row r="9" spans="1:15" ht="12.75">
      <c r="A9" s="2" t="s">
        <v>2</v>
      </c>
      <c r="B9" s="158">
        <v>2021371</v>
      </c>
      <c r="C9" s="172">
        <v>168000</v>
      </c>
      <c r="D9" s="172">
        <v>168000</v>
      </c>
      <c r="E9" s="172">
        <v>100000</v>
      </c>
      <c r="F9" s="172">
        <v>168000</v>
      </c>
      <c r="G9" s="172">
        <v>230000</v>
      </c>
      <c r="H9" s="172">
        <v>138000</v>
      </c>
      <c r="I9" s="172">
        <v>168000</v>
      </c>
      <c r="J9" s="172">
        <v>168000</v>
      </c>
      <c r="K9" s="172">
        <v>168371</v>
      </c>
      <c r="L9" s="172">
        <v>168000</v>
      </c>
      <c r="M9" s="172">
        <v>209000</v>
      </c>
      <c r="N9" s="181">
        <v>168000</v>
      </c>
      <c r="O9" s="183">
        <f>SUM(C9:N9)</f>
        <v>2021371</v>
      </c>
    </row>
    <row r="10" spans="1:15" ht="12.75">
      <c r="A10" s="2" t="s">
        <v>232</v>
      </c>
      <c r="B10" s="172">
        <v>16969955</v>
      </c>
      <c r="C10" s="172"/>
      <c r="D10" s="172"/>
      <c r="E10" s="172">
        <v>2500000</v>
      </c>
      <c r="F10" s="172"/>
      <c r="G10" s="172">
        <v>450000</v>
      </c>
      <c r="H10" s="172">
        <v>450000</v>
      </c>
      <c r="I10" s="172">
        <v>69955</v>
      </c>
      <c r="J10" s="172"/>
      <c r="K10" s="172">
        <v>2000000</v>
      </c>
      <c r="L10" s="172">
        <v>1500000</v>
      </c>
      <c r="M10" s="172">
        <v>1500000</v>
      </c>
      <c r="N10" s="181">
        <v>8500000</v>
      </c>
      <c r="O10" s="183">
        <f aca="true" t="shared" si="0" ref="O10:O36">SUM(C10:N10)</f>
        <v>16969955</v>
      </c>
    </row>
    <row r="11" spans="1:15" ht="15" customHeight="1">
      <c r="A11" s="104" t="s">
        <v>267</v>
      </c>
      <c r="B11" s="158">
        <v>35270223</v>
      </c>
      <c r="C11" s="172">
        <v>2939185</v>
      </c>
      <c r="D11" s="172">
        <v>2939185</v>
      </c>
      <c r="E11" s="172">
        <v>2939185</v>
      </c>
      <c r="F11" s="172">
        <v>2939185</v>
      </c>
      <c r="G11" s="172">
        <v>2939185</v>
      </c>
      <c r="H11" s="172">
        <v>2939185</v>
      </c>
      <c r="I11" s="172">
        <v>2939185</v>
      </c>
      <c r="J11" s="172">
        <v>2939185</v>
      </c>
      <c r="K11" s="172">
        <v>2939185</v>
      </c>
      <c r="L11" s="172">
        <v>2939185</v>
      </c>
      <c r="M11" s="172">
        <v>2939185</v>
      </c>
      <c r="N11" s="181">
        <v>2939188</v>
      </c>
      <c r="O11" s="183">
        <f t="shared" si="0"/>
        <v>35270223</v>
      </c>
    </row>
    <row r="12" spans="1:15" ht="12.75">
      <c r="A12" s="22" t="s">
        <v>203</v>
      </c>
      <c r="B12" s="172">
        <v>832589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81">
        <v>832589</v>
      </c>
      <c r="O12" s="183">
        <f t="shared" si="0"/>
        <v>832589</v>
      </c>
    </row>
    <row r="13" spans="1:15" ht="12.75">
      <c r="A13" s="22" t="s">
        <v>115</v>
      </c>
      <c r="B13" s="172">
        <v>10000</v>
      </c>
      <c r="C13" s="172"/>
      <c r="D13" s="172"/>
      <c r="E13" s="172">
        <v>10000</v>
      </c>
      <c r="F13" s="172"/>
      <c r="G13" s="172"/>
      <c r="H13" s="172"/>
      <c r="I13" s="172"/>
      <c r="J13" s="172"/>
      <c r="K13" s="172"/>
      <c r="L13" s="172"/>
      <c r="M13" s="172"/>
      <c r="N13" s="181"/>
      <c r="O13" s="183">
        <f t="shared" si="0"/>
        <v>10000</v>
      </c>
    </row>
    <row r="14" spans="1:15" ht="12.75">
      <c r="A14" s="2" t="s">
        <v>156</v>
      </c>
      <c r="B14" s="158">
        <v>21581491</v>
      </c>
      <c r="C14" s="172">
        <v>21581491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81"/>
      <c r="O14" s="183">
        <f t="shared" si="0"/>
        <v>21581491</v>
      </c>
    </row>
    <row r="15" spans="1:15" ht="12.75">
      <c r="A15" s="22" t="s">
        <v>270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81"/>
      <c r="O15" s="183">
        <f t="shared" si="0"/>
        <v>0</v>
      </c>
    </row>
    <row r="16" spans="1:15" ht="12.75">
      <c r="A16" s="19" t="s">
        <v>157</v>
      </c>
      <c r="B16" s="157">
        <f>SUM(B9:B15)</f>
        <v>76685629</v>
      </c>
      <c r="C16" s="157">
        <f aca="true" t="shared" si="1" ref="C16:N16">SUM(C9:C15)</f>
        <v>24688676</v>
      </c>
      <c r="D16" s="157">
        <f t="shared" si="1"/>
        <v>3107185</v>
      </c>
      <c r="E16" s="157">
        <f t="shared" si="1"/>
        <v>5549185</v>
      </c>
      <c r="F16" s="157">
        <f t="shared" si="1"/>
        <v>3107185</v>
      </c>
      <c r="G16" s="157">
        <f t="shared" si="1"/>
        <v>3619185</v>
      </c>
      <c r="H16" s="157">
        <f t="shared" si="1"/>
        <v>3527185</v>
      </c>
      <c r="I16" s="157">
        <f t="shared" si="1"/>
        <v>3177140</v>
      </c>
      <c r="J16" s="157">
        <f t="shared" si="1"/>
        <v>3107185</v>
      </c>
      <c r="K16" s="157">
        <f t="shared" si="1"/>
        <v>5107556</v>
      </c>
      <c r="L16" s="157">
        <f t="shared" si="1"/>
        <v>4607185</v>
      </c>
      <c r="M16" s="157">
        <f t="shared" si="1"/>
        <v>4648185</v>
      </c>
      <c r="N16" s="182">
        <f t="shared" si="1"/>
        <v>12439777</v>
      </c>
      <c r="O16" s="183">
        <f t="shared" si="0"/>
        <v>76685629</v>
      </c>
    </row>
    <row r="17" spans="1:15" ht="12.75">
      <c r="A17" s="19" t="s">
        <v>158</v>
      </c>
      <c r="B17" s="157">
        <v>118180305</v>
      </c>
      <c r="C17" s="157">
        <v>117180305</v>
      </c>
      <c r="D17" s="157"/>
      <c r="E17" s="157">
        <v>10000000</v>
      </c>
      <c r="F17" s="157"/>
      <c r="G17" s="157"/>
      <c r="H17" s="157"/>
      <c r="I17" s="157"/>
      <c r="J17" s="157"/>
      <c r="K17" s="157"/>
      <c r="L17" s="157"/>
      <c r="M17" s="157"/>
      <c r="N17" s="182"/>
      <c r="O17" s="183">
        <f t="shared" si="0"/>
        <v>127180305</v>
      </c>
    </row>
    <row r="18" spans="1:15" ht="12.75">
      <c r="A18" s="19" t="s">
        <v>93</v>
      </c>
      <c r="B18" s="157">
        <f aca="true" t="shared" si="2" ref="B18:N18">SUM(B16:B17)</f>
        <v>194865934</v>
      </c>
      <c r="C18" s="157">
        <f t="shared" si="2"/>
        <v>141868981</v>
      </c>
      <c r="D18" s="157">
        <f t="shared" si="2"/>
        <v>3107185</v>
      </c>
      <c r="E18" s="157">
        <f t="shared" si="2"/>
        <v>15549185</v>
      </c>
      <c r="F18" s="157">
        <f t="shared" si="2"/>
        <v>3107185</v>
      </c>
      <c r="G18" s="157">
        <f t="shared" si="2"/>
        <v>3619185</v>
      </c>
      <c r="H18" s="157">
        <f t="shared" si="2"/>
        <v>3527185</v>
      </c>
      <c r="I18" s="157">
        <f t="shared" si="2"/>
        <v>3177140</v>
      </c>
      <c r="J18" s="157">
        <f t="shared" si="2"/>
        <v>3107185</v>
      </c>
      <c r="K18" s="157">
        <f t="shared" si="2"/>
        <v>5107556</v>
      </c>
      <c r="L18" s="157">
        <f t="shared" si="2"/>
        <v>4607185</v>
      </c>
      <c r="M18" s="157">
        <f t="shared" si="2"/>
        <v>4648185</v>
      </c>
      <c r="N18" s="182">
        <f t="shared" si="2"/>
        <v>12439777</v>
      </c>
      <c r="O18" s="183">
        <f t="shared" si="0"/>
        <v>203865934</v>
      </c>
    </row>
    <row r="19" spans="1:15" ht="12.75">
      <c r="A19" s="19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83">
        <f t="shared" si="0"/>
        <v>0</v>
      </c>
    </row>
    <row r="20" spans="1:17" ht="12.75">
      <c r="A20" s="19" t="s">
        <v>160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83">
        <f t="shared" si="0"/>
        <v>0</v>
      </c>
      <c r="P20" s="6"/>
      <c r="Q20" s="6"/>
    </row>
    <row r="21" spans="1:17" ht="12.75">
      <c r="A21" s="2" t="s">
        <v>13</v>
      </c>
      <c r="B21" s="158">
        <v>14687780</v>
      </c>
      <c r="C21" s="172">
        <v>619000</v>
      </c>
      <c r="D21" s="172">
        <v>620000</v>
      </c>
      <c r="E21" s="172">
        <v>620000</v>
      </c>
      <c r="F21" s="172">
        <v>912000</v>
      </c>
      <c r="G21" s="172">
        <v>1621000</v>
      </c>
      <c r="H21" s="172">
        <v>1547000</v>
      </c>
      <c r="I21" s="172">
        <v>1486000</v>
      </c>
      <c r="J21" s="172">
        <v>1546000</v>
      </c>
      <c r="K21" s="172">
        <v>1373000</v>
      </c>
      <c r="L21" s="172">
        <v>1330000</v>
      </c>
      <c r="M21" s="172">
        <v>1437000</v>
      </c>
      <c r="N21" s="181">
        <v>1576780</v>
      </c>
      <c r="O21" s="183">
        <f t="shared" si="0"/>
        <v>14687780</v>
      </c>
      <c r="P21" s="15"/>
      <c r="Q21" s="11"/>
    </row>
    <row r="22" spans="1:17" ht="12.75">
      <c r="A22" s="2" t="s">
        <v>161</v>
      </c>
      <c r="B22" s="158">
        <v>2230521</v>
      </c>
      <c r="C22" s="172">
        <v>128000</v>
      </c>
      <c r="D22" s="172">
        <v>128000</v>
      </c>
      <c r="E22" s="172">
        <v>128000</v>
      </c>
      <c r="F22" s="172">
        <v>147000</v>
      </c>
      <c r="G22" s="172">
        <v>233000</v>
      </c>
      <c r="H22" s="172">
        <v>210000</v>
      </c>
      <c r="I22" s="172">
        <v>206000</v>
      </c>
      <c r="J22" s="172">
        <v>192000</v>
      </c>
      <c r="K22" s="172">
        <v>219000</v>
      </c>
      <c r="L22" s="172">
        <v>204000</v>
      </c>
      <c r="M22" s="172">
        <v>216000</v>
      </c>
      <c r="N22" s="172">
        <v>219521</v>
      </c>
      <c r="O22" s="183">
        <f t="shared" si="0"/>
        <v>2230521</v>
      </c>
      <c r="P22" s="15"/>
      <c r="Q22" s="11"/>
    </row>
    <row r="23" spans="1:17" ht="12.75">
      <c r="A23" s="2" t="s">
        <v>168</v>
      </c>
      <c r="B23" s="158">
        <v>13096159</v>
      </c>
      <c r="C23" s="172">
        <v>683000</v>
      </c>
      <c r="D23" s="172">
        <v>683000</v>
      </c>
      <c r="E23" s="172">
        <v>683000</v>
      </c>
      <c r="F23" s="172">
        <v>1545000</v>
      </c>
      <c r="G23" s="172">
        <v>1420000</v>
      </c>
      <c r="H23" s="172">
        <v>886000</v>
      </c>
      <c r="I23" s="172">
        <v>920000</v>
      </c>
      <c r="J23" s="172">
        <v>1469000</v>
      </c>
      <c r="K23" s="172">
        <v>1534000</v>
      </c>
      <c r="L23" s="172">
        <v>1269000</v>
      </c>
      <c r="M23" s="172">
        <v>873000</v>
      </c>
      <c r="N23" s="172">
        <v>1131159</v>
      </c>
      <c r="O23" s="183">
        <f t="shared" si="0"/>
        <v>13096159</v>
      </c>
      <c r="P23" s="15"/>
      <c r="Q23" s="11"/>
    </row>
    <row r="24" spans="1:17" ht="12.75">
      <c r="A24" s="2" t="s">
        <v>162</v>
      </c>
      <c r="B24" s="172">
        <v>4492393</v>
      </c>
      <c r="C24" s="172">
        <v>1374366</v>
      </c>
      <c r="D24" s="172">
        <v>283457</v>
      </c>
      <c r="E24" s="172">
        <v>283457</v>
      </c>
      <c r="F24" s="172">
        <v>283457</v>
      </c>
      <c r="G24" s="172">
        <v>283457</v>
      </c>
      <c r="H24" s="172">
        <v>283457</v>
      </c>
      <c r="I24" s="172">
        <v>283457</v>
      </c>
      <c r="J24" s="172">
        <v>283457</v>
      </c>
      <c r="K24" s="172">
        <v>283457</v>
      </c>
      <c r="L24" s="172">
        <v>283457</v>
      </c>
      <c r="M24" s="172">
        <v>283457</v>
      </c>
      <c r="N24" s="172">
        <v>283457</v>
      </c>
      <c r="O24" s="183">
        <f t="shared" si="0"/>
        <v>4492393</v>
      </c>
      <c r="P24" s="15"/>
      <c r="Q24" s="11"/>
    </row>
    <row r="25" spans="1:17" ht="12.75">
      <c r="A25" s="2" t="s">
        <v>163</v>
      </c>
      <c r="B25" s="158">
        <v>4868620</v>
      </c>
      <c r="C25" s="172">
        <v>135000</v>
      </c>
      <c r="D25" s="172">
        <v>135000</v>
      </c>
      <c r="E25" s="172">
        <v>135000</v>
      </c>
      <c r="F25" s="172">
        <v>133000</v>
      </c>
      <c r="G25" s="172">
        <v>126000</v>
      </c>
      <c r="H25" s="172">
        <v>139000</v>
      </c>
      <c r="I25" s="172">
        <v>119000</v>
      </c>
      <c r="J25" s="172">
        <v>113000</v>
      </c>
      <c r="K25" s="172">
        <v>297000</v>
      </c>
      <c r="L25" s="172">
        <v>305000</v>
      </c>
      <c r="M25" s="172">
        <v>92000</v>
      </c>
      <c r="N25" s="172">
        <v>3139620</v>
      </c>
      <c r="O25" s="183">
        <f t="shared" si="0"/>
        <v>4868620</v>
      </c>
      <c r="P25" s="15"/>
      <c r="Q25" s="11"/>
    </row>
    <row r="26" spans="1:17" ht="12.75">
      <c r="A26" s="2" t="s">
        <v>20</v>
      </c>
      <c r="B26" s="158">
        <v>0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83">
        <f t="shared" si="0"/>
        <v>0</v>
      </c>
      <c r="P26" s="15"/>
      <c r="Q26" s="11"/>
    </row>
    <row r="27" spans="1:17" ht="12.75">
      <c r="A27" s="22" t="s">
        <v>268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83">
        <f t="shared" si="0"/>
        <v>0</v>
      </c>
      <c r="P27" s="15"/>
      <c r="Q27" s="15"/>
    </row>
    <row r="28" spans="1:17" ht="12.75">
      <c r="A28" s="22" t="s">
        <v>273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83">
        <f t="shared" si="0"/>
        <v>0</v>
      </c>
      <c r="P28" s="15"/>
      <c r="Q28" s="11"/>
    </row>
    <row r="29" spans="1:17" ht="12.75">
      <c r="A29" s="22" t="s">
        <v>121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83">
        <f t="shared" si="0"/>
        <v>0</v>
      </c>
      <c r="P29" s="15"/>
      <c r="Q29" s="15"/>
    </row>
    <row r="30" spans="1:17" ht="12.75">
      <c r="A30" s="22" t="s">
        <v>325</v>
      </c>
      <c r="B30" s="157">
        <v>2259783</v>
      </c>
      <c r="C30" s="172">
        <v>1395000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>
        <v>864783</v>
      </c>
      <c r="O30" s="183">
        <f t="shared" si="0"/>
        <v>2259783</v>
      </c>
      <c r="P30" s="15"/>
      <c r="Q30" s="15"/>
    </row>
    <row r="31" spans="1:17" ht="12.75">
      <c r="A31" s="19" t="s">
        <v>164</v>
      </c>
      <c r="B31" s="157">
        <f aca="true" t="shared" si="3" ref="B31:N31">SUM(B21:B30)</f>
        <v>41635256</v>
      </c>
      <c r="C31" s="157">
        <f t="shared" si="3"/>
        <v>4334366</v>
      </c>
      <c r="D31" s="157">
        <f t="shared" si="3"/>
        <v>1849457</v>
      </c>
      <c r="E31" s="157">
        <f t="shared" si="3"/>
        <v>1849457</v>
      </c>
      <c r="F31" s="157">
        <f t="shared" si="3"/>
        <v>3020457</v>
      </c>
      <c r="G31" s="157">
        <f t="shared" si="3"/>
        <v>3683457</v>
      </c>
      <c r="H31" s="157">
        <f t="shared" si="3"/>
        <v>3065457</v>
      </c>
      <c r="I31" s="157">
        <f t="shared" si="3"/>
        <v>3014457</v>
      </c>
      <c r="J31" s="157">
        <f t="shared" si="3"/>
        <v>3603457</v>
      </c>
      <c r="K31" s="157">
        <f t="shared" si="3"/>
        <v>3706457</v>
      </c>
      <c r="L31" s="157">
        <f t="shared" si="3"/>
        <v>3391457</v>
      </c>
      <c r="M31" s="157">
        <f t="shared" si="3"/>
        <v>2901457</v>
      </c>
      <c r="N31" s="157">
        <f t="shared" si="3"/>
        <v>7215320</v>
      </c>
      <c r="O31" s="183">
        <f t="shared" si="0"/>
        <v>41635256</v>
      </c>
      <c r="P31" s="15"/>
      <c r="Q31" s="15"/>
    </row>
    <row r="32" spans="1:17" ht="12.75">
      <c r="A32" s="2" t="s">
        <v>21</v>
      </c>
      <c r="B32" s="158">
        <v>3383979</v>
      </c>
      <c r="C32" s="172"/>
      <c r="D32" s="172"/>
      <c r="E32" s="172">
        <v>3194000</v>
      </c>
      <c r="F32" s="172"/>
      <c r="G32" s="172"/>
      <c r="H32" s="172"/>
      <c r="I32" s="172">
        <v>189979</v>
      </c>
      <c r="J32" s="172"/>
      <c r="K32" s="172"/>
      <c r="L32" s="172"/>
      <c r="M32" s="172"/>
      <c r="N32" s="172"/>
      <c r="O32" s="183">
        <f t="shared" si="0"/>
        <v>3383979</v>
      </c>
      <c r="P32" s="15"/>
      <c r="Q32" s="6"/>
    </row>
    <row r="33" spans="1:17" ht="12.75">
      <c r="A33" s="22" t="s">
        <v>167</v>
      </c>
      <c r="B33" s="164">
        <v>139990</v>
      </c>
      <c r="C33" s="172"/>
      <c r="D33" s="172"/>
      <c r="E33" s="172"/>
      <c r="F33" s="172"/>
      <c r="G33" s="172">
        <v>44990</v>
      </c>
      <c r="H33" s="172"/>
      <c r="I33" s="172"/>
      <c r="J33" s="172"/>
      <c r="K33" s="172"/>
      <c r="L33" s="172">
        <v>95000</v>
      </c>
      <c r="M33" s="172"/>
      <c r="N33" s="172"/>
      <c r="O33" s="183">
        <f t="shared" si="0"/>
        <v>139990</v>
      </c>
      <c r="P33" s="15"/>
      <c r="Q33" s="15"/>
    </row>
    <row r="34" spans="1:17" ht="12.75">
      <c r="A34" s="22" t="s">
        <v>269</v>
      </c>
      <c r="B34" s="172"/>
      <c r="C34" s="172"/>
      <c r="D34" s="172"/>
      <c r="E34" s="172"/>
      <c r="F34" s="172"/>
      <c r="G34" s="172"/>
      <c r="H34" s="172"/>
      <c r="I34" s="172"/>
      <c r="J34" s="158"/>
      <c r="K34" s="172"/>
      <c r="L34" s="172"/>
      <c r="M34" s="172"/>
      <c r="N34" s="172"/>
      <c r="O34" s="183">
        <f t="shared" si="0"/>
        <v>0</v>
      </c>
      <c r="P34" s="11"/>
      <c r="Q34" s="11"/>
    </row>
    <row r="35" spans="1:15" ht="12.75">
      <c r="A35" s="19" t="s">
        <v>169</v>
      </c>
      <c r="B35" s="157">
        <f aca="true" t="shared" si="4" ref="B35:N35">SUM(B32:B34)</f>
        <v>3523969</v>
      </c>
      <c r="C35" s="157">
        <f t="shared" si="4"/>
        <v>0</v>
      </c>
      <c r="D35" s="157">
        <f t="shared" si="4"/>
        <v>0</v>
      </c>
      <c r="E35" s="157">
        <f t="shared" si="4"/>
        <v>3194000</v>
      </c>
      <c r="F35" s="157">
        <f t="shared" si="4"/>
        <v>0</v>
      </c>
      <c r="G35" s="157">
        <f t="shared" si="4"/>
        <v>44990</v>
      </c>
      <c r="H35" s="157">
        <f t="shared" si="4"/>
        <v>0</v>
      </c>
      <c r="I35" s="157">
        <f t="shared" si="4"/>
        <v>189979</v>
      </c>
      <c r="J35" s="157">
        <f t="shared" si="4"/>
        <v>0</v>
      </c>
      <c r="K35" s="157">
        <f t="shared" si="4"/>
        <v>0</v>
      </c>
      <c r="L35" s="157">
        <f t="shared" si="4"/>
        <v>95000</v>
      </c>
      <c r="M35" s="157">
        <f t="shared" si="4"/>
        <v>0</v>
      </c>
      <c r="N35" s="157">
        <f t="shared" si="4"/>
        <v>0</v>
      </c>
      <c r="O35" s="183">
        <f t="shared" si="0"/>
        <v>3523969</v>
      </c>
    </row>
    <row r="36" spans="1:15" ht="12.75">
      <c r="A36" s="19" t="s">
        <v>128</v>
      </c>
      <c r="B36" s="157">
        <f aca="true" t="shared" si="5" ref="B36:N36">SUM(B35,B31)</f>
        <v>45159225</v>
      </c>
      <c r="C36" s="157">
        <f t="shared" si="5"/>
        <v>4334366</v>
      </c>
      <c r="D36" s="157">
        <f t="shared" si="5"/>
        <v>1849457</v>
      </c>
      <c r="E36" s="157">
        <f t="shared" si="5"/>
        <v>5043457</v>
      </c>
      <c r="F36" s="157">
        <f t="shared" si="5"/>
        <v>3020457</v>
      </c>
      <c r="G36" s="157">
        <f t="shared" si="5"/>
        <v>3728447</v>
      </c>
      <c r="H36" s="157">
        <f t="shared" si="5"/>
        <v>3065457</v>
      </c>
      <c r="I36" s="157">
        <f t="shared" si="5"/>
        <v>3204436</v>
      </c>
      <c r="J36" s="157">
        <f t="shared" si="5"/>
        <v>3603457</v>
      </c>
      <c r="K36" s="157">
        <f t="shared" si="5"/>
        <v>3706457</v>
      </c>
      <c r="L36" s="157">
        <f t="shared" si="5"/>
        <v>3486457</v>
      </c>
      <c r="M36" s="157">
        <f t="shared" si="5"/>
        <v>2901457</v>
      </c>
      <c r="N36" s="157">
        <f t="shared" si="5"/>
        <v>7215320</v>
      </c>
      <c r="O36" s="183">
        <f t="shared" si="0"/>
        <v>45159225</v>
      </c>
    </row>
  </sheetData>
  <sheetProtection/>
  <mergeCells count="2">
    <mergeCell ref="A4:N4"/>
    <mergeCell ref="B2:N2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85.8515625" style="0" customWidth="1"/>
  </cols>
  <sheetData>
    <row r="1" spans="1:2" ht="12.75">
      <c r="A1" s="4" t="s">
        <v>591</v>
      </c>
      <c r="B1" s="4"/>
    </row>
    <row r="2" ht="12.75">
      <c r="A2" s="33"/>
    </row>
    <row r="4" ht="12.75">
      <c r="A4" s="33"/>
    </row>
    <row r="5" ht="12.75">
      <c r="A5" s="4" t="s">
        <v>272</v>
      </c>
    </row>
    <row r="6" spans="1:2" ht="12.75">
      <c r="A6" s="72" t="s">
        <v>197</v>
      </c>
      <c r="B6" s="72"/>
    </row>
    <row r="8" spans="1:4" ht="12.75">
      <c r="A8" s="2"/>
      <c r="B8" s="19" t="s">
        <v>1</v>
      </c>
      <c r="C8" s="22" t="s">
        <v>307</v>
      </c>
      <c r="D8" s="19" t="s">
        <v>84</v>
      </c>
    </row>
    <row r="9" spans="1:4" ht="12.75">
      <c r="A9" s="2" t="s">
        <v>3</v>
      </c>
      <c r="B9" s="2" t="s">
        <v>86</v>
      </c>
      <c r="C9" s="2">
        <v>0</v>
      </c>
      <c r="D9" s="2">
        <v>0</v>
      </c>
    </row>
    <row r="10" spans="1:4" ht="12.75">
      <c r="A10" s="2" t="s">
        <v>4</v>
      </c>
      <c r="B10" s="2" t="s">
        <v>83</v>
      </c>
      <c r="C10" s="2">
        <v>0</v>
      </c>
      <c r="D10" s="2">
        <v>0</v>
      </c>
    </row>
    <row r="11" spans="1:4" ht="12.75">
      <c r="A11" s="2" t="s">
        <v>9</v>
      </c>
      <c r="B11" s="2" t="s">
        <v>198</v>
      </c>
      <c r="C11" s="2">
        <v>0</v>
      </c>
      <c r="D11" s="2">
        <v>0</v>
      </c>
    </row>
    <row r="12" spans="1:4" ht="12.75">
      <c r="A12" s="2"/>
      <c r="B12" s="2" t="s">
        <v>201</v>
      </c>
      <c r="C12" s="2"/>
      <c r="D12" s="2"/>
    </row>
    <row r="13" spans="1:4" ht="12.75">
      <c r="A13" s="2" t="s">
        <v>46</v>
      </c>
      <c r="B13" s="2" t="s">
        <v>199</v>
      </c>
      <c r="C13" s="2">
        <v>0</v>
      </c>
      <c r="D13" s="2">
        <v>0</v>
      </c>
    </row>
    <row r="14" spans="1:4" ht="12.75">
      <c r="A14" s="2" t="s">
        <v>45</v>
      </c>
      <c r="B14" s="2" t="s">
        <v>85</v>
      </c>
      <c r="C14" s="2">
        <v>0</v>
      </c>
      <c r="D14" s="2">
        <v>0</v>
      </c>
    </row>
    <row r="15" spans="1:4" ht="12.75">
      <c r="A15" s="2"/>
      <c r="B15" s="2"/>
      <c r="C15" s="2"/>
      <c r="D15" s="2"/>
    </row>
    <row r="16" spans="1:4" ht="12.75">
      <c r="A16" s="2"/>
      <c r="B16" s="19" t="s">
        <v>200</v>
      </c>
      <c r="C16" s="19">
        <f>SUM(C13:C15,C9:C11)</f>
        <v>0</v>
      </c>
      <c r="D16" s="19">
        <f>SUM(D13:D15,D9:D11)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2"/>
  <sheetViews>
    <sheetView view="pageBreakPreview" zoomScale="120" zoomScaleSheetLayoutView="120" zoomScalePageLayoutView="0" workbookViewId="0" topLeftCell="A1">
      <selection activeCell="B2" sqref="B2"/>
    </sheetView>
  </sheetViews>
  <sheetFormatPr defaultColWidth="9.140625" defaultRowHeight="12.75"/>
  <cols>
    <col min="2" max="2" width="86.00390625" style="0" customWidth="1"/>
    <col min="3" max="3" width="10.140625" style="0" bestFit="1" customWidth="1"/>
    <col min="4" max="4" width="0" style="0" hidden="1" customWidth="1"/>
  </cols>
  <sheetData>
    <row r="2" spans="2:3" ht="12.75">
      <c r="B2" s="125" t="s">
        <v>592</v>
      </c>
      <c r="C2" s="4"/>
    </row>
    <row r="3" ht="12.75">
      <c r="C3" s="33"/>
    </row>
    <row r="4" spans="2:3" ht="12.75">
      <c r="B4" t="s">
        <v>272</v>
      </c>
      <c r="C4" s="33"/>
    </row>
    <row r="5" spans="1:4" s="135" customFormat="1" ht="12.75">
      <c r="A5" s="226" t="s">
        <v>313</v>
      </c>
      <c r="B5" s="226"/>
      <c r="C5" s="226"/>
      <c r="D5" s="226"/>
    </row>
    <row r="6" spans="3:4" s="135" customFormat="1" ht="12.75">
      <c r="C6" s="136"/>
      <c r="D6" s="137" t="s">
        <v>308</v>
      </c>
    </row>
    <row r="7" spans="1:4" s="135" customFormat="1" ht="12.75">
      <c r="A7" s="138" t="s">
        <v>309</v>
      </c>
      <c r="B7" s="138" t="s">
        <v>310</v>
      </c>
      <c r="C7" s="138" t="s">
        <v>311</v>
      </c>
      <c r="D7" s="139" t="s">
        <v>312</v>
      </c>
    </row>
    <row r="8" spans="1:4" s="135" customFormat="1" ht="12.75">
      <c r="A8" s="138" t="s">
        <v>16</v>
      </c>
      <c r="B8" s="138" t="s">
        <v>1</v>
      </c>
      <c r="C8" s="138" t="s">
        <v>314</v>
      </c>
      <c r="D8" s="138" t="s">
        <v>315</v>
      </c>
    </row>
    <row r="9" spans="1:4" s="135" customFormat="1" ht="12.75">
      <c r="A9" s="138">
        <v>1</v>
      </c>
      <c r="B9" s="138" t="s">
        <v>316</v>
      </c>
      <c r="C9" s="140">
        <v>4868620</v>
      </c>
      <c r="D9" s="138"/>
    </row>
    <row r="10" spans="1:4" s="135" customFormat="1" ht="12.75">
      <c r="A10" s="138">
        <v>2</v>
      </c>
      <c r="B10" s="139" t="s">
        <v>317</v>
      </c>
      <c r="C10" s="140"/>
      <c r="D10" s="138"/>
    </row>
    <row r="11" spans="1:4" s="135" customFormat="1" ht="12.75">
      <c r="A11" s="138">
        <v>3</v>
      </c>
      <c r="B11" s="138" t="s">
        <v>360</v>
      </c>
      <c r="C11" s="141">
        <v>206928</v>
      </c>
      <c r="D11" s="138"/>
    </row>
    <row r="12" spans="1:4" s="135" customFormat="1" ht="12.75">
      <c r="A12" s="142">
        <v>10</v>
      </c>
      <c r="B12" s="142" t="s">
        <v>7</v>
      </c>
      <c r="C12" s="143">
        <f>SUM(C9:C11)</f>
        <v>5075548</v>
      </c>
      <c r="D12" s="144">
        <f>SUM(D9:D11)</f>
        <v>0</v>
      </c>
    </row>
  </sheetData>
  <sheetProtection/>
  <mergeCells count="1"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2" max="2" width="27.28125" style="0" customWidth="1"/>
    <col min="3" max="5" width="16.28125" style="0" bestFit="1" customWidth="1"/>
  </cols>
  <sheetData>
    <row r="1" spans="1:6" ht="15">
      <c r="A1" s="227" t="s">
        <v>593</v>
      </c>
      <c r="B1" s="227"/>
      <c r="C1" s="227"/>
      <c r="D1" s="227"/>
      <c r="E1" s="227"/>
      <c r="F1" s="7"/>
    </row>
    <row r="2" spans="1:6" ht="15">
      <c r="A2" s="33"/>
      <c r="B2" s="7"/>
      <c r="C2" s="7" t="s">
        <v>22</v>
      </c>
      <c r="D2" s="7"/>
      <c r="E2" s="7"/>
      <c r="F2" s="7"/>
    </row>
    <row r="3" spans="1:6" ht="15">
      <c r="A3" s="7"/>
      <c r="C3" s="7"/>
      <c r="D3" s="7" t="s">
        <v>22</v>
      </c>
      <c r="E3" s="7" t="s">
        <v>22</v>
      </c>
      <c r="F3" s="7" t="s">
        <v>22</v>
      </c>
    </row>
    <row r="4" spans="1:7" ht="15">
      <c r="A4" s="222"/>
      <c r="B4" s="222"/>
      <c r="C4" s="222"/>
      <c r="D4" s="222"/>
      <c r="E4" s="222"/>
      <c r="F4" s="64"/>
      <c r="G4" s="4"/>
    </row>
    <row r="5" spans="1:7" ht="15">
      <c r="A5" s="4" t="s">
        <v>272</v>
      </c>
      <c r="F5" s="64"/>
      <c r="G5" s="4"/>
    </row>
    <row r="6" spans="1:8" ht="15">
      <c r="A6" s="65" t="s">
        <v>172</v>
      </c>
      <c r="B6" s="65"/>
      <c r="C6" s="65"/>
      <c r="D6" s="65"/>
      <c r="E6" s="65"/>
      <c r="F6" s="66"/>
      <c r="G6" s="4"/>
      <c r="H6" s="4"/>
    </row>
    <row r="7" spans="1:7" ht="15">
      <c r="A7" s="64"/>
      <c r="B7" s="64"/>
      <c r="C7" s="64"/>
      <c r="D7" s="64" t="s">
        <v>307</v>
      </c>
      <c r="E7" s="64"/>
      <c r="F7" s="8"/>
      <c r="G7" s="4"/>
    </row>
    <row r="8" spans="1:6" ht="15">
      <c r="A8" s="67" t="s">
        <v>16</v>
      </c>
      <c r="B8" s="68" t="s">
        <v>1</v>
      </c>
      <c r="C8" s="68">
        <v>2018</v>
      </c>
      <c r="D8" s="68">
        <v>2019</v>
      </c>
      <c r="E8" s="68">
        <v>2020</v>
      </c>
      <c r="F8" s="8"/>
    </row>
    <row r="9" spans="1:6" ht="15">
      <c r="A9" s="67" t="s">
        <v>39</v>
      </c>
      <c r="B9" s="69" t="s">
        <v>2</v>
      </c>
      <c r="C9" s="70"/>
      <c r="D9" s="70"/>
      <c r="E9" s="71"/>
      <c r="F9" s="8"/>
    </row>
    <row r="10" spans="1:6" ht="12.75" customHeight="1">
      <c r="A10" s="22">
        <v>1</v>
      </c>
      <c r="B10" s="22" t="s">
        <v>2</v>
      </c>
      <c r="C10" s="158">
        <v>1585300</v>
      </c>
      <c r="D10" s="158">
        <v>1800000</v>
      </c>
      <c r="E10" s="158">
        <v>1800000</v>
      </c>
      <c r="F10" s="8"/>
    </row>
    <row r="11" spans="1:6" ht="12.75" customHeight="1">
      <c r="A11" s="22">
        <v>2</v>
      </c>
      <c r="B11" s="104" t="s">
        <v>232</v>
      </c>
      <c r="C11" s="158">
        <v>11070000</v>
      </c>
      <c r="D11" s="158">
        <v>12000000</v>
      </c>
      <c r="E11" s="158">
        <v>12000000</v>
      </c>
      <c r="F11" s="8"/>
    </row>
    <row r="12" spans="1:6" ht="12.75" customHeight="1">
      <c r="A12" s="22">
        <v>3</v>
      </c>
      <c r="B12" s="22" t="s">
        <v>323</v>
      </c>
      <c r="C12" s="158">
        <v>26415395</v>
      </c>
      <c r="D12" s="158">
        <v>29000000</v>
      </c>
      <c r="E12" s="158">
        <v>30000000</v>
      </c>
      <c r="F12" s="8"/>
    </row>
    <row r="13" spans="1:6" ht="12.75" customHeight="1">
      <c r="A13" s="22">
        <v>4</v>
      </c>
      <c r="B13" s="22" t="s">
        <v>115</v>
      </c>
      <c r="C13" s="158">
        <v>155035</v>
      </c>
      <c r="D13" s="158"/>
      <c r="E13" s="158"/>
      <c r="F13" s="8"/>
    </row>
    <row r="14" spans="1:6" ht="12.75" customHeight="1">
      <c r="A14" s="22">
        <v>5</v>
      </c>
      <c r="B14" s="22" t="s">
        <v>156</v>
      </c>
      <c r="C14" s="158">
        <v>29084864</v>
      </c>
      <c r="D14" s="158">
        <v>30000000</v>
      </c>
      <c r="E14" s="158">
        <v>25000000</v>
      </c>
      <c r="F14" s="66"/>
    </row>
    <row r="15" spans="1:6" ht="12.75" customHeight="1">
      <c r="A15" s="22">
        <v>6</v>
      </c>
      <c r="B15" s="22" t="s">
        <v>270</v>
      </c>
      <c r="C15" s="158">
        <v>0</v>
      </c>
      <c r="D15" s="158"/>
      <c r="E15" s="158"/>
      <c r="F15" s="8"/>
    </row>
    <row r="16" spans="1:6" ht="12.75" customHeight="1">
      <c r="A16" s="59"/>
      <c r="B16" s="19" t="s">
        <v>7</v>
      </c>
      <c r="C16" s="157">
        <f>SUM(C10:C15)</f>
        <v>68310594</v>
      </c>
      <c r="D16" s="157">
        <f>SUM(D10:D15)</f>
        <v>72800000</v>
      </c>
      <c r="E16" s="157">
        <f>SUM(E10:E15)</f>
        <v>68800000</v>
      </c>
      <c r="F16" s="8"/>
    </row>
    <row r="17" spans="1:6" ht="12.75" customHeight="1">
      <c r="A17" s="59"/>
      <c r="B17" s="59"/>
      <c r="C17" s="184"/>
      <c r="D17" s="184"/>
      <c r="E17" s="184"/>
      <c r="F17" s="8"/>
    </row>
    <row r="18" spans="1:6" ht="15">
      <c r="A18" s="67" t="s">
        <v>173</v>
      </c>
      <c r="B18" s="69" t="s">
        <v>8</v>
      </c>
      <c r="C18" s="185"/>
      <c r="D18" s="185"/>
      <c r="E18" s="186"/>
      <c r="F18" s="8"/>
    </row>
    <row r="19" spans="1:9" s="33" customFormat="1" ht="12.75">
      <c r="A19" s="22">
        <v>1</v>
      </c>
      <c r="B19" s="22" t="s">
        <v>13</v>
      </c>
      <c r="C19" s="158">
        <v>13576020</v>
      </c>
      <c r="D19" s="158">
        <v>14000000</v>
      </c>
      <c r="E19" s="158">
        <v>15000000</v>
      </c>
      <c r="F19" s="15"/>
      <c r="G19" s="15"/>
      <c r="H19" s="11"/>
      <c r="I19" s="15"/>
    </row>
    <row r="20" spans="1:9" s="33" customFormat="1" ht="12.75">
      <c r="A20" s="22">
        <v>2</v>
      </c>
      <c r="B20" s="22" t="s">
        <v>174</v>
      </c>
      <c r="C20" s="158">
        <v>2265012</v>
      </c>
      <c r="D20" s="158">
        <v>3000000</v>
      </c>
      <c r="E20" s="158">
        <v>3500000</v>
      </c>
      <c r="F20" s="15"/>
      <c r="G20" s="15"/>
      <c r="H20" s="11"/>
      <c r="I20" s="15"/>
    </row>
    <row r="21" spans="1:9" s="33" customFormat="1" ht="12.75">
      <c r="A21" s="22">
        <v>3</v>
      </c>
      <c r="B21" s="22" t="s">
        <v>14</v>
      </c>
      <c r="C21" s="158">
        <v>13481450</v>
      </c>
      <c r="D21" s="158">
        <v>14000000</v>
      </c>
      <c r="E21" s="158">
        <v>15000000</v>
      </c>
      <c r="F21" s="15"/>
      <c r="G21" s="15"/>
      <c r="H21" s="11"/>
      <c r="I21" s="15"/>
    </row>
    <row r="22" spans="1:9" s="33" customFormat="1" ht="12.75">
      <c r="A22" s="106">
        <v>4</v>
      </c>
      <c r="B22" s="22" t="s">
        <v>324</v>
      </c>
      <c r="C22" s="158">
        <v>4356880</v>
      </c>
      <c r="D22" s="158">
        <v>4200000</v>
      </c>
      <c r="E22" s="158">
        <v>4500000</v>
      </c>
      <c r="F22" s="15"/>
      <c r="G22" s="15"/>
      <c r="H22" s="11"/>
      <c r="I22" s="15"/>
    </row>
    <row r="23" spans="1:9" s="33" customFormat="1" ht="12.75">
      <c r="A23" s="22">
        <v>5</v>
      </c>
      <c r="B23" s="22" t="s">
        <v>175</v>
      </c>
      <c r="C23" s="158">
        <v>75000</v>
      </c>
      <c r="D23" s="158">
        <v>1000000</v>
      </c>
      <c r="E23" s="158">
        <v>1000000</v>
      </c>
      <c r="F23" s="15"/>
      <c r="G23" s="15"/>
      <c r="H23" s="11"/>
      <c r="I23" s="15"/>
    </row>
    <row r="24" spans="1:9" s="33" customFormat="1" ht="12.75">
      <c r="A24" s="22">
        <v>6</v>
      </c>
      <c r="B24" s="22" t="s">
        <v>271</v>
      </c>
      <c r="C24" s="158">
        <v>3704558</v>
      </c>
      <c r="D24" s="158">
        <v>8000000</v>
      </c>
      <c r="E24" s="158">
        <v>8500000</v>
      </c>
      <c r="F24" s="15"/>
      <c r="G24" s="15"/>
      <c r="H24" s="11"/>
      <c r="I24" s="15"/>
    </row>
    <row r="25" spans="1:9" s="33" customFormat="1" ht="12.75">
      <c r="A25" s="22">
        <v>7</v>
      </c>
      <c r="B25" s="22" t="s">
        <v>20</v>
      </c>
      <c r="C25" s="158">
        <v>2667674</v>
      </c>
      <c r="D25" s="158">
        <v>2000000</v>
      </c>
      <c r="E25" s="158">
        <v>2500000</v>
      </c>
      <c r="F25" s="11"/>
      <c r="G25" s="15"/>
      <c r="H25" s="15"/>
      <c r="I25" s="15"/>
    </row>
    <row r="26" spans="1:9" s="33" customFormat="1" ht="12.75">
      <c r="A26" s="22">
        <v>8</v>
      </c>
      <c r="B26" s="22" t="s">
        <v>176</v>
      </c>
      <c r="C26" s="158">
        <v>0</v>
      </c>
      <c r="D26" s="158">
        <v>0</v>
      </c>
      <c r="E26" s="158">
        <v>0</v>
      </c>
      <c r="F26" s="15"/>
      <c r="G26" s="15"/>
      <c r="H26" s="11"/>
      <c r="I26" s="15"/>
    </row>
    <row r="27" spans="1:9" s="33" customFormat="1" ht="12.75">
      <c r="A27" s="22">
        <v>9</v>
      </c>
      <c r="B27" s="22" t="s">
        <v>325</v>
      </c>
      <c r="C27" s="158">
        <v>625000</v>
      </c>
      <c r="D27" s="158">
        <v>0</v>
      </c>
      <c r="E27" s="158">
        <v>0</v>
      </c>
      <c r="F27" s="15"/>
      <c r="G27" s="15"/>
      <c r="H27" s="15"/>
      <c r="I27" s="15"/>
    </row>
    <row r="28" spans="1:9" s="33" customFormat="1" ht="12.75">
      <c r="A28" s="22"/>
      <c r="B28" s="19" t="s">
        <v>7</v>
      </c>
      <c r="C28" s="157">
        <f>SUM(C19:C27)</f>
        <v>40751594</v>
      </c>
      <c r="D28" s="157">
        <f>SUM(D19:D27)</f>
        <v>46200000</v>
      </c>
      <c r="E28" s="157">
        <f>SUM(E19:E27)</f>
        <v>50000000</v>
      </c>
      <c r="F28" s="15"/>
      <c r="G28" s="15"/>
      <c r="H28" s="15"/>
      <c r="I28" s="15"/>
    </row>
    <row r="29" spans="1:9" ht="15">
      <c r="A29" s="59"/>
      <c r="B29" s="59"/>
      <c r="C29" s="184"/>
      <c r="D29" s="184"/>
      <c r="E29" s="184"/>
      <c r="F29" s="8"/>
      <c r="G29" s="15"/>
      <c r="H29" s="15"/>
      <c r="I29" s="6"/>
    </row>
    <row r="30" spans="1:9" s="109" customFormat="1" ht="13.5">
      <c r="A30" s="105" t="s">
        <v>177</v>
      </c>
      <c r="B30" s="110" t="s">
        <v>178</v>
      </c>
      <c r="C30" s="187"/>
      <c r="D30" s="187"/>
      <c r="E30" s="187"/>
      <c r="F30" s="108"/>
      <c r="G30" s="15"/>
      <c r="H30" s="6"/>
      <c r="I30" s="108"/>
    </row>
    <row r="31" spans="1:9" ht="15">
      <c r="A31" s="59"/>
      <c r="B31" s="59"/>
      <c r="C31" s="184"/>
      <c r="D31" s="184"/>
      <c r="E31" s="184"/>
      <c r="F31" s="8"/>
      <c r="G31" s="15"/>
      <c r="H31" s="15"/>
      <c r="I31" s="6"/>
    </row>
    <row r="32" spans="1:9" s="33" customFormat="1" ht="12.75">
      <c r="A32" s="22"/>
      <c r="B32" s="107" t="s">
        <v>179</v>
      </c>
      <c r="C32" s="188"/>
      <c r="D32" s="188"/>
      <c r="E32" s="189"/>
      <c r="F32" s="15"/>
      <c r="G32" s="11"/>
      <c r="H32" s="11"/>
      <c r="I32" s="15"/>
    </row>
    <row r="33" spans="1:6" s="33" customFormat="1" ht="12.75">
      <c r="A33" s="22">
        <v>1</v>
      </c>
      <c r="B33" s="22" t="s">
        <v>15</v>
      </c>
      <c r="C33" s="158">
        <v>113384157</v>
      </c>
      <c r="D33" s="158">
        <v>1000000</v>
      </c>
      <c r="E33" s="158">
        <v>1000000</v>
      </c>
      <c r="F33" s="15"/>
    </row>
    <row r="34" spans="1:6" s="33" customFormat="1" ht="12.75">
      <c r="A34" s="22"/>
      <c r="B34" s="22"/>
      <c r="C34" s="158"/>
      <c r="D34" s="158"/>
      <c r="E34" s="158"/>
      <c r="F34" s="15"/>
    </row>
    <row r="35" spans="1:6" s="33" customFormat="1" ht="12.75">
      <c r="A35" s="22"/>
      <c r="B35" s="107" t="s">
        <v>180</v>
      </c>
      <c r="C35" s="188"/>
      <c r="D35" s="188"/>
      <c r="E35" s="189"/>
      <c r="F35" s="15"/>
    </row>
    <row r="36" spans="1:6" s="33" customFormat="1" ht="12.75">
      <c r="A36" s="22">
        <v>1</v>
      </c>
      <c r="B36" s="22" t="s">
        <v>42</v>
      </c>
      <c r="C36" s="158">
        <v>140943157</v>
      </c>
      <c r="D36" s="158">
        <v>27600000</v>
      </c>
      <c r="E36" s="158">
        <v>19800000</v>
      </c>
      <c r="F36" s="11"/>
    </row>
    <row r="37" spans="1:6" s="33" customFormat="1" ht="12.75">
      <c r="A37" s="22"/>
      <c r="B37" s="22"/>
      <c r="C37" s="158"/>
      <c r="D37" s="158"/>
      <c r="E37" s="158"/>
      <c r="F37" s="11"/>
    </row>
    <row r="38" spans="1:6" s="33" customFormat="1" ht="12.75">
      <c r="A38" s="22"/>
      <c r="B38" s="19" t="s">
        <v>159</v>
      </c>
      <c r="C38" s="157">
        <f>SUM(C33,C16)</f>
        <v>181694751</v>
      </c>
      <c r="D38" s="157">
        <f>SUM(D33,D16)</f>
        <v>73800000</v>
      </c>
      <c r="E38" s="157">
        <f>SUM(E33,E16)</f>
        <v>69800000</v>
      </c>
      <c r="F38" s="11"/>
    </row>
    <row r="39" spans="1:5" s="33" customFormat="1" ht="12.75">
      <c r="A39" s="22"/>
      <c r="B39" s="19"/>
      <c r="C39" s="157"/>
      <c r="D39" s="157"/>
      <c r="E39" s="157"/>
    </row>
    <row r="40" spans="1:5" s="33" customFormat="1" ht="12.75">
      <c r="A40" s="22"/>
      <c r="B40" s="19" t="s">
        <v>181</v>
      </c>
      <c r="C40" s="157">
        <f>SUM(C36,C28)</f>
        <v>181694751</v>
      </c>
      <c r="D40" s="157">
        <f>SUM(D36,D28)</f>
        <v>73800000</v>
      </c>
      <c r="E40" s="157">
        <f>SUM(E36,E28)</f>
        <v>69800000</v>
      </c>
    </row>
  </sheetData>
  <sheetProtection/>
  <mergeCells count="2">
    <mergeCell ref="A1:E1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4.7109375" style="0" customWidth="1"/>
  </cols>
  <sheetData>
    <row r="1" spans="2:3" ht="12.75">
      <c r="B1" s="4" t="s">
        <v>594</v>
      </c>
      <c r="C1" s="4"/>
    </row>
    <row r="3" ht="12.75">
      <c r="A3" s="33"/>
    </row>
    <row r="4" ht="12.75">
      <c r="A4" s="4" t="s">
        <v>272</v>
      </c>
    </row>
    <row r="5" spans="1:4" ht="12.75">
      <c r="A5" s="72" t="s">
        <v>182</v>
      </c>
      <c r="B5" s="73"/>
      <c r="C5" s="73"/>
      <c r="D5" s="73"/>
    </row>
    <row r="6" spans="1:4" ht="12.75">
      <c r="A6" s="4"/>
      <c r="D6" t="s">
        <v>48</v>
      </c>
    </row>
    <row r="8" spans="1:4" ht="12.75">
      <c r="A8" s="4" t="s">
        <v>183</v>
      </c>
      <c r="B8" t="s">
        <v>184</v>
      </c>
      <c r="D8">
        <v>0</v>
      </c>
    </row>
    <row r="9" ht="12.75">
      <c r="A9" s="4"/>
    </row>
    <row r="11" spans="1:4" ht="12.75">
      <c r="A11" s="4" t="s">
        <v>185</v>
      </c>
      <c r="B11" t="s">
        <v>184</v>
      </c>
      <c r="D11">
        <v>0</v>
      </c>
    </row>
    <row r="12" ht="12.75">
      <c r="A12" t="s">
        <v>186</v>
      </c>
    </row>
    <row r="13" ht="12.75">
      <c r="A13" s="33" t="s">
        <v>187</v>
      </c>
    </row>
    <row r="18" spans="1:4" ht="12.75">
      <c r="A18" s="4" t="s">
        <v>188</v>
      </c>
      <c r="B18" t="s">
        <v>184</v>
      </c>
      <c r="D18" s="4">
        <f>SUM(D11,D8)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130" zoomScaleNormal="110" zoomScaleSheetLayoutView="130" zoomScalePageLayoutView="0" workbookViewId="0" topLeftCell="A1">
      <selection activeCell="B1" sqref="B1"/>
    </sheetView>
  </sheetViews>
  <sheetFormatPr defaultColWidth="9.140625" defaultRowHeight="12.75"/>
  <cols>
    <col min="2" max="2" width="51.7109375" style="0" bestFit="1" customWidth="1"/>
    <col min="3" max="4" width="12.57421875" style="0" bestFit="1" customWidth="1"/>
  </cols>
  <sheetData>
    <row r="1" ht="12.75">
      <c r="B1" s="33" t="s">
        <v>595</v>
      </c>
    </row>
    <row r="2" ht="12.75">
      <c r="B2" s="33"/>
    </row>
    <row r="3" ht="12.75">
      <c r="B3" s="33" t="s">
        <v>272</v>
      </c>
    </row>
    <row r="4" ht="12.75">
      <c r="B4" s="4" t="s">
        <v>111</v>
      </c>
    </row>
    <row r="6" spans="1:4" ht="12.75">
      <c r="A6" s="19" t="s">
        <v>0</v>
      </c>
      <c r="B6" s="19" t="s">
        <v>1</v>
      </c>
      <c r="C6" s="228">
        <v>2018</v>
      </c>
      <c r="D6" s="228"/>
    </row>
    <row r="7" spans="1:4" ht="12.75">
      <c r="A7" s="19"/>
      <c r="B7" s="19"/>
      <c r="C7" s="21" t="s">
        <v>24</v>
      </c>
      <c r="D7" s="2" t="s">
        <v>414</v>
      </c>
    </row>
    <row r="8" spans="1:4" ht="12.75">
      <c r="A8" s="2" t="s">
        <v>22</v>
      </c>
      <c r="B8" s="19" t="s">
        <v>30</v>
      </c>
      <c r="C8" s="172"/>
      <c r="D8" s="2"/>
    </row>
    <row r="9" spans="1:4" ht="12.75">
      <c r="A9" s="2" t="s">
        <v>3</v>
      </c>
      <c r="B9" s="2" t="s">
        <v>112</v>
      </c>
      <c r="C9" s="172">
        <v>1348061</v>
      </c>
      <c r="D9" s="172">
        <v>1348061</v>
      </c>
    </row>
    <row r="10" spans="1:4" ht="12.75">
      <c r="A10" s="22" t="s">
        <v>4</v>
      </c>
      <c r="B10" s="22" t="s">
        <v>318</v>
      </c>
      <c r="C10" s="172">
        <v>43000</v>
      </c>
      <c r="D10" s="172">
        <v>43000</v>
      </c>
    </row>
    <row r="11" spans="1:4" ht="12.75">
      <c r="A11" s="2" t="s">
        <v>9</v>
      </c>
      <c r="B11" s="22" t="s">
        <v>361</v>
      </c>
      <c r="C11" s="158">
        <v>64000</v>
      </c>
      <c r="D11" s="172">
        <v>64000</v>
      </c>
    </row>
    <row r="12" spans="1:4" ht="12.75">
      <c r="A12" s="22" t="s">
        <v>10</v>
      </c>
      <c r="B12" s="22" t="s">
        <v>362</v>
      </c>
      <c r="C12" s="172">
        <v>886000</v>
      </c>
      <c r="D12" s="172">
        <f>886000</f>
        <v>886000</v>
      </c>
    </row>
    <row r="13" spans="1:4" ht="12.75">
      <c r="A13" s="2" t="s">
        <v>67</v>
      </c>
      <c r="B13" s="2" t="s">
        <v>81</v>
      </c>
      <c r="C13" s="172">
        <v>25000</v>
      </c>
      <c r="D13" s="172">
        <v>22330</v>
      </c>
    </row>
    <row r="14" spans="1:4" ht="12.75">
      <c r="A14" s="22" t="s">
        <v>68</v>
      </c>
      <c r="B14" s="22" t="s">
        <v>284</v>
      </c>
      <c r="C14" s="172">
        <v>90000</v>
      </c>
      <c r="D14" s="172">
        <f>45148+45147</f>
        <v>90295</v>
      </c>
    </row>
    <row r="15" spans="1:4" ht="12.75">
      <c r="A15" s="2" t="s">
        <v>12</v>
      </c>
      <c r="B15" s="2" t="s">
        <v>82</v>
      </c>
      <c r="C15" s="172">
        <v>90000</v>
      </c>
      <c r="D15" s="172">
        <v>88210</v>
      </c>
    </row>
    <row r="16" spans="1:5" ht="12.75">
      <c r="A16" s="22" t="s">
        <v>95</v>
      </c>
      <c r="B16" s="2" t="s">
        <v>122</v>
      </c>
      <c r="C16" s="172"/>
      <c r="D16" s="172"/>
      <c r="E16" s="33"/>
    </row>
    <row r="17" spans="1:4" ht="12.75">
      <c r="A17" s="2" t="s">
        <v>97</v>
      </c>
      <c r="B17" s="2" t="s">
        <v>202</v>
      </c>
      <c r="C17" s="172"/>
      <c r="D17" s="172"/>
    </row>
    <row r="18" spans="1:4" ht="12.75">
      <c r="A18" s="22" t="s">
        <v>98</v>
      </c>
      <c r="B18" s="22" t="s">
        <v>282</v>
      </c>
      <c r="C18" s="172">
        <v>30000</v>
      </c>
      <c r="D18" s="172">
        <v>24360</v>
      </c>
    </row>
    <row r="19" spans="1:4" ht="12.75">
      <c r="A19" s="2" t="s">
        <v>99</v>
      </c>
      <c r="B19" s="22" t="s">
        <v>341</v>
      </c>
      <c r="C19" s="172">
        <v>8500</v>
      </c>
      <c r="D19" s="172">
        <v>10150</v>
      </c>
    </row>
    <row r="20" spans="1:4" ht="12.75">
      <c r="A20" s="22" t="s">
        <v>234</v>
      </c>
      <c r="B20" s="2" t="s">
        <v>120</v>
      </c>
      <c r="C20" s="172">
        <v>30000</v>
      </c>
      <c r="D20" s="172">
        <v>28880</v>
      </c>
    </row>
    <row r="21" spans="1:4" ht="12.75">
      <c r="A21" s="2" t="s">
        <v>100</v>
      </c>
      <c r="B21" s="22" t="s">
        <v>319</v>
      </c>
      <c r="C21" s="172">
        <v>1082497</v>
      </c>
      <c r="D21" s="172">
        <v>1149431</v>
      </c>
    </row>
    <row r="22" spans="1:4" ht="12.75">
      <c r="A22" s="22" t="s">
        <v>235</v>
      </c>
      <c r="B22" s="22" t="s">
        <v>285</v>
      </c>
      <c r="C22" s="172"/>
      <c r="D22" s="172">
        <v>58000</v>
      </c>
    </row>
    <row r="23" spans="1:4" ht="12.75">
      <c r="A23" s="2" t="s">
        <v>101</v>
      </c>
      <c r="B23" s="22" t="s">
        <v>363</v>
      </c>
      <c r="C23" s="172">
        <v>8500</v>
      </c>
      <c r="D23" s="172"/>
    </row>
    <row r="24" spans="1:4" ht="12.75">
      <c r="A24" s="22" t="s">
        <v>102</v>
      </c>
      <c r="B24" s="22" t="s">
        <v>112</v>
      </c>
      <c r="C24" s="172">
        <v>24000</v>
      </c>
      <c r="D24" s="172">
        <v>240000</v>
      </c>
    </row>
    <row r="25" spans="1:4" ht="12.75">
      <c r="A25" s="2"/>
      <c r="B25" s="2" t="s">
        <v>44</v>
      </c>
      <c r="C25" s="157">
        <f>SUM(C9:C24)</f>
        <v>3729558</v>
      </c>
      <c r="D25" s="172">
        <f>SUM(D9:D24)</f>
        <v>4052717</v>
      </c>
    </row>
    <row r="26" spans="1:4" ht="12.75">
      <c r="A26" s="2"/>
      <c r="B26" s="2"/>
      <c r="C26" s="172"/>
      <c r="D26" s="172"/>
    </row>
    <row r="27" spans="1:4" ht="12.75">
      <c r="A27" s="2"/>
      <c r="B27" s="19" t="s">
        <v>321</v>
      </c>
      <c r="C27" s="172"/>
      <c r="D27" s="172"/>
    </row>
    <row r="28" spans="1:4" ht="12.75">
      <c r="A28" s="22" t="s">
        <v>3</v>
      </c>
      <c r="B28" s="22" t="s">
        <v>286</v>
      </c>
      <c r="C28" s="172"/>
      <c r="D28" s="172"/>
    </row>
    <row r="29" spans="1:4" ht="12.75">
      <c r="A29" s="22" t="s">
        <v>4</v>
      </c>
      <c r="B29" s="22" t="s">
        <v>320</v>
      </c>
      <c r="C29" s="172">
        <v>50000</v>
      </c>
      <c r="D29" s="172">
        <v>10000</v>
      </c>
    </row>
    <row r="30" spans="1:4" ht="12.75">
      <c r="A30" s="22" t="s">
        <v>9</v>
      </c>
      <c r="B30" s="22" t="s">
        <v>322</v>
      </c>
      <c r="C30" s="172"/>
      <c r="D30" s="172"/>
    </row>
    <row r="31" spans="1:4" ht="12.75">
      <c r="A31" s="2" t="s">
        <v>22</v>
      </c>
      <c r="B31" s="2" t="s">
        <v>11</v>
      </c>
      <c r="C31" s="157">
        <f>SUM(C28:C30)</f>
        <v>50000</v>
      </c>
      <c r="D31" s="172">
        <f>SUM(D29:D30)</f>
        <v>10000</v>
      </c>
    </row>
  </sheetData>
  <sheetProtection/>
  <mergeCells count="1"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6" max="6" width="14.140625" style="0" customWidth="1"/>
  </cols>
  <sheetData>
    <row r="1" ht="12.75">
      <c r="A1" s="4" t="s">
        <v>596</v>
      </c>
    </row>
    <row r="2" spans="1:6" ht="12.75">
      <c r="A2" s="33"/>
      <c r="B2" s="33"/>
      <c r="F2" s="33" t="s">
        <v>272</v>
      </c>
    </row>
    <row r="4" ht="12.75">
      <c r="A4" s="4" t="s">
        <v>204</v>
      </c>
    </row>
    <row r="5" ht="12.75">
      <c r="A5" s="4" t="s">
        <v>205</v>
      </c>
    </row>
    <row r="6" ht="13.5" thickBot="1"/>
    <row r="7" spans="1:6" ht="13.5" thickBot="1">
      <c r="A7" s="78" t="s">
        <v>206</v>
      </c>
      <c r="B7" s="79">
        <v>2017</v>
      </c>
      <c r="C7" s="79">
        <v>2018</v>
      </c>
      <c r="D7" s="79">
        <v>2019</v>
      </c>
      <c r="E7" s="79">
        <v>2020</v>
      </c>
      <c r="F7" s="79">
        <v>2021</v>
      </c>
    </row>
    <row r="8" spans="1:6" ht="26.25" customHeight="1">
      <c r="A8" s="80" t="s">
        <v>207</v>
      </c>
      <c r="B8" s="145">
        <v>11950000</v>
      </c>
      <c r="C8" s="81"/>
      <c r="D8" s="81"/>
      <c r="E8" s="81"/>
      <c r="F8" s="82"/>
    </row>
    <row r="9" spans="1:6" ht="54.75" customHeight="1">
      <c r="A9" s="83" t="s">
        <v>208</v>
      </c>
      <c r="B9" s="146"/>
      <c r="C9" s="24"/>
      <c r="D9" s="24"/>
      <c r="E9" s="24"/>
      <c r="F9" s="84"/>
    </row>
    <row r="10" spans="1:6" ht="29.25" customHeight="1">
      <c r="A10" s="83" t="s">
        <v>209</v>
      </c>
      <c r="B10" s="146">
        <v>0</v>
      </c>
      <c r="C10" s="24"/>
      <c r="D10" s="24"/>
      <c r="E10" s="24"/>
      <c r="F10" s="84"/>
    </row>
    <row r="11" spans="1:6" ht="38.25" customHeight="1">
      <c r="A11" s="83" t="s">
        <v>210</v>
      </c>
      <c r="B11" s="146">
        <v>0</v>
      </c>
      <c r="C11" s="24"/>
      <c r="D11" s="24"/>
      <c r="E11" s="24"/>
      <c r="F11" s="84"/>
    </row>
    <row r="12" spans="1:6" ht="24.75" customHeight="1">
      <c r="A12" s="83" t="s">
        <v>211</v>
      </c>
      <c r="B12" s="146">
        <v>0</v>
      </c>
      <c r="C12" s="24"/>
      <c r="D12" s="24"/>
      <c r="E12" s="24"/>
      <c r="F12" s="84"/>
    </row>
    <row r="13" spans="1:6" ht="26.25" customHeight="1" thickBot="1">
      <c r="A13" s="85" t="s">
        <v>212</v>
      </c>
      <c r="B13" s="147">
        <v>0</v>
      </c>
      <c r="C13" s="86"/>
      <c r="D13" s="87"/>
      <c r="E13" s="87"/>
      <c r="F13" s="88"/>
    </row>
    <row r="14" spans="1:6" ht="13.5" thickBot="1">
      <c r="A14" s="78" t="s">
        <v>11</v>
      </c>
      <c r="B14" s="79">
        <f>SUM(B8:C13)</f>
        <v>11950000</v>
      </c>
      <c r="C14" s="89"/>
      <c r="D14" s="90"/>
      <c r="E14" s="90"/>
      <c r="F14" s="91"/>
    </row>
    <row r="15" spans="1:6" ht="12.75">
      <c r="A15" s="11"/>
      <c r="B15" s="6"/>
      <c r="C15" s="60"/>
      <c r="D15" s="60"/>
      <c r="E15" s="60"/>
      <c r="F15" s="60"/>
    </row>
    <row r="16" spans="3:6" ht="13.5" thickBot="1">
      <c r="C16" s="92"/>
      <c r="D16" s="92"/>
      <c r="E16" s="92"/>
      <c r="F16" s="92"/>
    </row>
    <row r="17" spans="1:6" ht="25.5" customHeight="1" thickBot="1">
      <c r="A17" s="93" t="s">
        <v>213</v>
      </c>
      <c r="B17" s="94">
        <v>2017</v>
      </c>
      <c r="C17" s="95">
        <v>2018</v>
      </c>
      <c r="D17" s="94">
        <v>2019</v>
      </c>
      <c r="E17" s="95">
        <v>2020</v>
      </c>
      <c r="F17" s="94">
        <v>2021</v>
      </c>
    </row>
    <row r="18" spans="1:6" ht="12.75">
      <c r="A18" s="96" t="s">
        <v>214</v>
      </c>
      <c r="B18" s="97"/>
      <c r="C18" s="81"/>
      <c r="D18" s="81"/>
      <c r="E18" s="81"/>
      <c r="F18" s="82"/>
    </row>
    <row r="19" spans="1:6" ht="21" customHeight="1">
      <c r="A19" s="98" t="s">
        <v>215</v>
      </c>
      <c r="B19" s="99"/>
      <c r="C19" s="24" t="s">
        <v>22</v>
      </c>
      <c r="D19" s="24" t="s">
        <v>22</v>
      </c>
      <c r="E19" s="24" t="s">
        <v>22</v>
      </c>
      <c r="F19" s="84" t="s">
        <v>22</v>
      </c>
    </row>
    <row r="20" spans="1:6" ht="12.75">
      <c r="A20" s="98" t="s">
        <v>216</v>
      </c>
      <c r="B20" s="99"/>
      <c r="C20" s="24"/>
      <c r="D20" s="24"/>
      <c r="E20" s="24"/>
      <c r="F20" s="84"/>
    </row>
    <row r="21" spans="1:6" ht="12.75">
      <c r="A21" s="98" t="s">
        <v>217</v>
      </c>
      <c r="B21" s="99"/>
      <c r="C21" s="24"/>
      <c r="D21" s="24"/>
      <c r="E21" s="24"/>
      <c r="F21" s="84"/>
    </row>
    <row r="22" spans="1:6" ht="16.5" customHeight="1">
      <c r="A22" s="98" t="s">
        <v>218</v>
      </c>
      <c r="B22" s="99"/>
      <c r="C22" s="24"/>
      <c r="D22" s="24"/>
      <c r="E22" s="24"/>
      <c r="F22" s="84"/>
    </row>
    <row r="23" spans="1:6" ht="28.5" customHeight="1">
      <c r="A23" s="98" t="s">
        <v>219</v>
      </c>
      <c r="B23" s="99"/>
      <c r="C23" s="24"/>
      <c r="D23" s="24"/>
      <c r="E23" s="24"/>
      <c r="F23" s="84"/>
    </row>
    <row r="24" spans="1:6" ht="38.25" customHeight="1">
      <c r="A24" s="98" t="s">
        <v>220</v>
      </c>
      <c r="B24" s="99"/>
      <c r="C24" s="24"/>
      <c r="D24" s="24"/>
      <c r="E24" s="24"/>
      <c r="F24" s="84"/>
    </row>
    <row r="25" spans="1:6" ht="68.25" customHeight="1" thickBot="1">
      <c r="A25" s="100" t="s">
        <v>221</v>
      </c>
      <c r="B25" s="101"/>
      <c r="C25" s="87"/>
      <c r="D25" s="87"/>
      <c r="E25" s="87"/>
      <c r="F25" s="88"/>
    </row>
    <row r="26" spans="1:6" ht="13.5" thickBot="1">
      <c r="A26" s="78" t="s">
        <v>11</v>
      </c>
      <c r="B26" s="119"/>
      <c r="C26" s="102"/>
      <c r="D26" s="102"/>
      <c r="E26" s="102"/>
      <c r="F26" s="10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112" zoomScaleSheetLayoutView="112" zoomScalePageLayoutView="0" workbookViewId="0" topLeftCell="A1">
      <selection activeCell="A1" sqref="A1"/>
    </sheetView>
  </sheetViews>
  <sheetFormatPr defaultColWidth="9.140625" defaultRowHeight="12.75"/>
  <cols>
    <col min="1" max="1" width="53.28125" style="0" bestFit="1" customWidth="1"/>
    <col min="2" max="2" width="15.28125" style="0" customWidth="1"/>
    <col min="3" max="4" width="17.421875" style="0" bestFit="1" customWidth="1"/>
  </cols>
  <sheetData>
    <row r="1" ht="12.75">
      <c r="A1" s="4" t="s">
        <v>579</v>
      </c>
    </row>
    <row r="2" ht="12.75">
      <c r="A2" s="4" t="s">
        <v>60</v>
      </c>
    </row>
    <row r="3" ht="12.75">
      <c r="A3" s="4" t="s">
        <v>37</v>
      </c>
    </row>
    <row r="5" ht="12.75">
      <c r="A5" s="4" t="s">
        <v>272</v>
      </c>
    </row>
    <row r="6" ht="12.75">
      <c r="B6" s="53" t="s">
        <v>327</v>
      </c>
    </row>
    <row r="7" spans="1:4" ht="12.75">
      <c r="A7" s="19" t="s">
        <v>1</v>
      </c>
      <c r="B7" s="49" t="s">
        <v>29</v>
      </c>
      <c r="C7" s="190" t="s">
        <v>411</v>
      </c>
      <c r="D7" s="190" t="s">
        <v>412</v>
      </c>
    </row>
    <row r="8" spans="1:4" ht="15">
      <c r="A8" s="29"/>
      <c r="B8" s="156"/>
      <c r="C8" s="172"/>
      <c r="D8" s="172"/>
    </row>
    <row r="9" spans="1:4" ht="12.75">
      <c r="A9" s="22" t="s">
        <v>236</v>
      </c>
      <c r="B9" s="157">
        <v>121100866</v>
      </c>
      <c r="C9" s="212">
        <v>120205593</v>
      </c>
      <c r="D9" s="212">
        <v>120205593</v>
      </c>
    </row>
    <row r="10" spans="1:4" ht="12.75">
      <c r="A10" s="22"/>
      <c r="B10" s="158"/>
      <c r="C10" s="172"/>
      <c r="D10" s="172"/>
    </row>
    <row r="11" spans="1:4" ht="12.75">
      <c r="A11" s="19" t="s">
        <v>44</v>
      </c>
      <c r="B11" s="157">
        <f>SUM(B9:B10)</f>
        <v>121100866</v>
      </c>
      <c r="C11" s="157">
        <f>SUM(C9:C10)</f>
        <v>120205593</v>
      </c>
      <c r="D11" s="157">
        <f>SUM(D9:D10)</f>
        <v>120205593</v>
      </c>
    </row>
    <row r="12" spans="1:2" ht="12.75">
      <c r="A12" s="33"/>
      <c r="B12" s="33"/>
    </row>
    <row r="13" spans="1:2" ht="12.75">
      <c r="A13" s="33"/>
      <c r="B13" s="33"/>
    </row>
    <row r="14" spans="1:2" ht="12.75">
      <c r="A14" s="4" t="s">
        <v>126</v>
      </c>
      <c r="B14" s="33"/>
    </row>
    <row r="15" spans="1:2" ht="12.75">
      <c r="A15" s="4" t="s">
        <v>61</v>
      </c>
      <c r="B15" s="33"/>
    </row>
    <row r="16" spans="1:2" ht="12.75">
      <c r="A16" s="4" t="s">
        <v>94</v>
      </c>
      <c r="B16" s="33"/>
    </row>
    <row r="17" spans="1:2" ht="12.75">
      <c r="A17" s="33"/>
      <c r="B17" s="33"/>
    </row>
    <row r="18" spans="1:2" ht="12.75">
      <c r="A18" s="19" t="s">
        <v>1</v>
      </c>
      <c r="B18" s="49" t="s">
        <v>29</v>
      </c>
    </row>
    <row r="19" spans="1:2" ht="15">
      <c r="A19" s="27" t="s">
        <v>22</v>
      </c>
      <c r="B19" s="29"/>
    </row>
    <row r="20" spans="1:2" ht="12.75">
      <c r="A20" s="22" t="s">
        <v>62</v>
      </c>
      <c r="B20" s="19">
        <v>0</v>
      </c>
    </row>
    <row r="21" spans="1:2" ht="12.75">
      <c r="A21" s="22" t="s">
        <v>106</v>
      </c>
      <c r="B21" s="19">
        <v>0</v>
      </c>
    </row>
    <row r="22" spans="1:2" ht="12.75">
      <c r="A22" s="22"/>
      <c r="B22" s="22"/>
    </row>
    <row r="23" spans="1:2" ht="12.75">
      <c r="A23" s="19" t="s">
        <v>44</v>
      </c>
      <c r="B23" s="19">
        <f>SUM(B20:B22)</f>
        <v>0</v>
      </c>
    </row>
    <row r="24" ht="12.75">
      <c r="B24" t="s">
        <v>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6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4" width="32.8515625" style="0" customWidth="1"/>
  </cols>
  <sheetData>
    <row r="2" spans="1:4" ht="17.25" customHeight="1" thickBot="1">
      <c r="A2" s="229" t="s">
        <v>415</v>
      </c>
      <c r="B2" s="230"/>
      <c r="C2" s="230"/>
      <c r="D2" s="230"/>
    </row>
    <row r="3" spans="1:4" ht="15">
      <c r="A3" s="202" t="s">
        <v>416</v>
      </c>
      <c r="B3" s="203" t="s">
        <v>1</v>
      </c>
      <c r="C3" s="200" t="s">
        <v>417</v>
      </c>
      <c r="D3" s="200" t="s">
        <v>418</v>
      </c>
    </row>
    <row r="4" spans="1:4" ht="15">
      <c r="A4" s="204">
        <v>1</v>
      </c>
      <c r="B4" s="205">
        <v>2</v>
      </c>
      <c r="C4" s="197">
        <v>3</v>
      </c>
      <c r="D4" s="197">
        <v>5</v>
      </c>
    </row>
    <row r="5" spans="1:4" ht="12.75">
      <c r="A5" s="206" t="s">
        <v>419</v>
      </c>
      <c r="B5" s="207" t="s">
        <v>420</v>
      </c>
      <c r="C5" s="198">
        <v>785863</v>
      </c>
      <c r="D5" s="198">
        <v>525824</v>
      </c>
    </row>
    <row r="6" spans="1:4" ht="13.5">
      <c r="A6" s="208" t="s">
        <v>421</v>
      </c>
      <c r="B6" s="209" t="s">
        <v>422</v>
      </c>
      <c r="C6" s="199">
        <v>785863</v>
      </c>
      <c r="D6" s="199">
        <v>525824</v>
      </c>
    </row>
    <row r="7" spans="1:4" ht="26.25">
      <c r="A7" s="206" t="s">
        <v>423</v>
      </c>
      <c r="B7" s="207" t="s">
        <v>424</v>
      </c>
      <c r="C7" s="198">
        <v>367416025</v>
      </c>
      <c r="D7" s="198">
        <v>358889756</v>
      </c>
    </row>
    <row r="8" spans="1:4" ht="26.25">
      <c r="A8" s="206" t="s">
        <v>425</v>
      </c>
      <c r="B8" s="207" t="s">
        <v>426</v>
      </c>
      <c r="C8" s="198">
        <v>13854217</v>
      </c>
      <c r="D8" s="198">
        <v>13029465</v>
      </c>
    </row>
    <row r="9" spans="1:4" ht="12.75">
      <c r="A9" s="206" t="s">
        <v>427</v>
      </c>
      <c r="B9" s="207" t="s">
        <v>428</v>
      </c>
      <c r="C9" s="198">
        <v>0</v>
      </c>
      <c r="D9" s="198">
        <v>250000</v>
      </c>
    </row>
    <row r="10" spans="1:4" ht="13.5">
      <c r="A10" s="208" t="s">
        <v>429</v>
      </c>
      <c r="B10" s="209" t="s">
        <v>430</v>
      </c>
      <c r="C10" s="199">
        <v>381270242</v>
      </c>
      <c r="D10" s="199">
        <v>372169221</v>
      </c>
    </row>
    <row r="11" spans="1:4" ht="26.25">
      <c r="A11" s="206" t="s">
        <v>431</v>
      </c>
      <c r="B11" s="207" t="s">
        <v>432</v>
      </c>
      <c r="C11" s="198">
        <v>4809918</v>
      </c>
      <c r="D11" s="198">
        <v>4809918</v>
      </c>
    </row>
    <row r="12" spans="1:4" ht="12.75">
      <c r="A12" s="206" t="s">
        <v>433</v>
      </c>
      <c r="B12" s="207" t="s">
        <v>434</v>
      </c>
      <c r="C12" s="198">
        <v>4809918</v>
      </c>
      <c r="D12" s="198">
        <v>4809918</v>
      </c>
    </row>
    <row r="13" spans="1:4" ht="27">
      <c r="A13" s="208" t="s">
        <v>435</v>
      </c>
      <c r="B13" s="209" t="s">
        <v>436</v>
      </c>
      <c r="C13" s="199">
        <v>4809918</v>
      </c>
      <c r="D13" s="199">
        <v>4809918</v>
      </c>
    </row>
    <row r="14" spans="1:4" ht="41.25">
      <c r="A14" s="208" t="s">
        <v>437</v>
      </c>
      <c r="B14" s="209" t="s">
        <v>438</v>
      </c>
      <c r="C14" s="199">
        <v>386866023</v>
      </c>
      <c r="D14" s="199">
        <v>377504963</v>
      </c>
    </row>
    <row r="15" spans="1:4" ht="12.75">
      <c r="A15" s="206" t="s">
        <v>439</v>
      </c>
      <c r="B15" s="207" t="s">
        <v>440</v>
      </c>
      <c r="C15" s="198">
        <v>57425</v>
      </c>
      <c r="D15" s="198">
        <v>92442</v>
      </c>
    </row>
    <row r="16" spans="1:4" ht="27">
      <c r="A16" s="208" t="s">
        <v>441</v>
      </c>
      <c r="B16" s="209" t="s">
        <v>442</v>
      </c>
      <c r="C16" s="199">
        <v>57425</v>
      </c>
      <c r="D16" s="199">
        <v>92442</v>
      </c>
    </row>
    <row r="17" spans="1:4" ht="12.75">
      <c r="A17" s="206" t="s">
        <v>443</v>
      </c>
      <c r="B17" s="207" t="s">
        <v>444</v>
      </c>
      <c r="C17" s="198">
        <v>120995816</v>
      </c>
      <c r="D17" s="198">
        <v>150388766</v>
      </c>
    </row>
    <row r="18" spans="1:4" ht="13.5">
      <c r="A18" s="208" t="s">
        <v>445</v>
      </c>
      <c r="B18" s="209" t="s">
        <v>446</v>
      </c>
      <c r="C18" s="199">
        <v>120995816</v>
      </c>
      <c r="D18" s="199">
        <v>150388766</v>
      </c>
    </row>
    <row r="19" spans="1:4" ht="13.5">
      <c r="A19" s="208" t="s">
        <v>447</v>
      </c>
      <c r="B19" s="209" t="s">
        <v>448</v>
      </c>
      <c r="C19" s="199">
        <v>121053241</v>
      </c>
      <c r="D19" s="199">
        <v>150481208</v>
      </c>
    </row>
    <row r="20" spans="1:4" ht="26.25">
      <c r="A20" s="206" t="s">
        <v>449</v>
      </c>
      <c r="B20" s="207" t="s">
        <v>450</v>
      </c>
      <c r="C20" s="198">
        <v>511128</v>
      </c>
      <c r="D20" s="198">
        <v>9764489</v>
      </c>
    </row>
    <row r="21" spans="1:4" ht="26.25">
      <c r="A21" s="206" t="s">
        <v>451</v>
      </c>
      <c r="B21" s="207" t="s">
        <v>452</v>
      </c>
      <c r="C21" s="198">
        <v>205011</v>
      </c>
      <c r="D21" s="198">
        <v>2140141</v>
      </c>
    </row>
    <row r="22" spans="1:4" ht="26.25">
      <c r="A22" s="206" t="s">
        <v>453</v>
      </c>
      <c r="B22" s="207" t="s">
        <v>454</v>
      </c>
      <c r="C22" s="198">
        <v>263844</v>
      </c>
      <c r="D22" s="198">
        <v>6539484</v>
      </c>
    </row>
    <row r="23" spans="1:4" ht="26.25">
      <c r="A23" s="206" t="s">
        <v>455</v>
      </c>
      <c r="B23" s="207" t="s">
        <v>456</v>
      </c>
      <c r="C23" s="198">
        <v>42273</v>
      </c>
      <c r="D23" s="198">
        <v>1084864</v>
      </c>
    </row>
    <row r="24" spans="1:4" ht="26.25">
      <c r="A24" s="206" t="s">
        <v>457</v>
      </c>
      <c r="B24" s="207" t="s">
        <v>458</v>
      </c>
      <c r="C24" s="198">
        <v>937419</v>
      </c>
      <c r="D24" s="198">
        <v>902061</v>
      </c>
    </row>
    <row r="25" spans="1:4" ht="52.5">
      <c r="A25" s="206" t="s">
        <v>459</v>
      </c>
      <c r="B25" s="207" t="s">
        <v>460</v>
      </c>
      <c r="C25" s="198">
        <v>280860</v>
      </c>
      <c r="D25" s="198">
        <v>623120</v>
      </c>
    </row>
    <row r="26" spans="1:4" ht="26.25">
      <c r="A26" s="206" t="s">
        <v>461</v>
      </c>
      <c r="B26" s="207" t="s">
        <v>462</v>
      </c>
      <c r="C26" s="198">
        <v>360000</v>
      </c>
      <c r="D26" s="198">
        <v>0</v>
      </c>
    </row>
    <row r="27" spans="1:4" ht="26.25">
      <c r="A27" s="206" t="s">
        <v>463</v>
      </c>
      <c r="B27" s="207" t="s">
        <v>464</v>
      </c>
      <c r="C27" s="198">
        <v>138310</v>
      </c>
      <c r="D27" s="198">
        <v>111408</v>
      </c>
    </row>
    <row r="28" spans="1:4" ht="26.25">
      <c r="A28" s="206" t="s">
        <v>465</v>
      </c>
      <c r="B28" s="207" t="s">
        <v>466</v>
      </c>
      <c r="C28" s="198">
        <v>158249</v>
      </c>
      <c r="D28" s="198">
        <v>167533</v>
      </c>
    </row>
    <row r="29" spans="1:4" ht="39">
      <c r="A29" s="206" t="s">
        <v>467</v>
      </c>
      <c r="B29" s="207" t="s">
        <v>468</v>
      </c>
      <c r="C29" s="198">
        <v>155035</v>
      </c>
      <c r="D29" s="198">
        <v>155035</v>
      </c>
    </row>
    <row r="30" spans="1:4" ht="52.5">
      <c r="A30" s="206" t="s">
        <v>469</v>
      </c>
      <c r="B30" s="207" t="s">
        <v>470</v>
      </c>
      <c r="C30" s="198">
        <v>155035</v>
      </c>
      <c r="D30" s="198">
        <v>155035</v>
      </c>
    </row>
    <row r="31" spans="1:4" ht="27">
      <c r="A31" s="208" t="s">
        <v>471</v>
      </c>
      <c r="B31" s="209" t="s">
        <v>472</v>
      </c>
      <c r="C31" s="199">
        <v>1603582</v>
      </c>
      <c r="D31" s="199">
        <v>10821585</v>
      </c>
    </row>
    <row r="32" spans="1:4" ht="12.75">
      <c r="A32" s="206" t="s">
        <v>473</v>
      </c>
      <c r="B32" s="207" t="s">
        <v>474</v>
      </c>
      <c r="C32" s="198">
        <v>0</v>
      </c>
      <c r="D32" s="198">
        <v>114484</v>
      </c>
    </row>
    <row r="33" spans="1:4" ht="26.25">
      <c r="A33" s="206" t="s">
        <v>475</v>
      </c>
      <c r="B33" s="207" t="s">
        <v>476</v>
      </c>
      <c r="C33" s="198">
        <v>0</v>
      </c>
      <c r="D33" s="198">
        <v>114484</v>
      </c>
    </row>
    <row r="34" spans="1:4" ht="12.75">
      <c r="A34" s="206" t="s">
        <v>477</v>
      </c>
      <c r="B34" s="207" t="s">
        <v>478</v>
      </c>
      <c r="C34" s="198">
        <v>7400</v>
      </c>
      <c r="D34" s="198">
        <v>7400</v>
      </c>
    </row>
    <row r="35" spans="1:4" ht="12.75">
      <c r="A35" s="206" t="s">
        <v>479</v>
      </c>
      <c r="B35" s="207" t="s">
        <v>480</v>
      </c>
      <c r="C35" s="198">
        <v>91335</v>
      </c>
      <c r="D35" s="198">
        <v>20000</v>
      </c>
    </row>
    <row r="36" spans="1:4" ht="27">
      <c r="A36" s="208" t="s">
        <v>481</v>
      </c>
      <c r="B36" s="209" t="s">
        <v>482</v>
      </c>
      <c r="C36" s="199">
        <v>98735</v>
      </c>
      <c r="D36" s="199">
        <v>141884</v>
      </c>
    </row>
    <row r="37" spans="1:4" ht="13.5">
      <c r="A37" s="208" t="s">
        <v>483</v>
      </c>
      <c r="B37" s="209" t="s">
        <v>484</v>
      </c>
      <c r="C37" s="199">
        <v>1702317</v>
      </c>
      <c r="D37" s="199">
        <v>10963469</v>
      </c>
    </row>
    <row r="38" spans="1:4" ht="26.25">
      <c r="A38" s="206" t="s">
        <v>485</v>
      </c>
      <c r="B38" s="207" t="s">
        <v>486</v>
      </c>
      <c r="C38" s="198">
        <v>0</v>
      </c>
      <c r="D38" s="198">
        <v>386</v>
      </c>
    </row>
    <row r="39" spans="1:4" ht="26.25">
      <c r="A39" s="206" t="s">
        <v>487</v>
      </c>
      <c r="B39" s="207" t="s">
        <v>488</v>
      </c>
      <c r="C39" s="198">
        <v>0</v>
      </c>
      <c r="D39" s="198">
        <v>3050644</v>
      </c>
    </row>
    <row r="40" spans="1:4" ht="41.25">
      <c r="A40" s="208" t="s">
        <v>489</v>
      </c>
      <c r="B40" s="209" t="s">
        <v>490</v>
      </c>
      <c r="C40" s="199">
        <v>0</v>
      </c>
      <c r="D40" s="199">
        <v>3051030</v>
      </c>
    </row>
    <row r="41" spans="1:4" ht="12.75">
      <c r="A41" s="206" t="s">
        <v>491</v>
      </c>
      <c r="B41" s="207" t="s">
        <v>492</v>
      </c>
      <c r="C41" s="198">
        <v>-287683</v>
      </c>
      <c r="D41" s="198">
        <v>106789</v>
      </c>
    </row>
    <row r="42" spans="1:4" ht="27">
      <c r="A42" s="208" t="s">
        <v>493</v>
      </c>
      <c r="B42" s="209" t="s">
        <v>494</v>
      </c>
      <c r="C42" s="199">
        <v>-287683</v>
      </c>
      <c r="D42" s="199">
        <v>106789</v>
      </c>
    </row>
    <row r="43" spans="1:4" ht="39">
      <c r="A43" s="206" t="s">
        <v>495</v>
      </c>
      <c r="B43" s="207" t="s">
        <v>496</v>
      </c>
      <c r="C43" s="198">
        <v>686</v>
      </c>
      <c r="D43" s="198">
        <v>686</v>
      </c>
    </row>
    <row r="44" spans="1:4" ht="27">
      <c r="A44" s="208" t="s">
        <v>497</v>
      </c>
      <c r="B44" s="209" t="s">
        <v>498</v>
      </c>
      <c r="C44" s="199">
        <v>686</v>
      </c>
      <c r="D44" s="199">
        <v>686</v>
      </c>
    </row>
    <row r="45" spans="1:4" ht="27">
      <c r="A45" s="208" t="s">
        <v>499</v>
      </c>
      <c r="B45" s="209" t="s">
        <v>500</v>
      </c>
      <c r="C45" s="199">
        <v>-286997</v>
      </c>
      <c r="D45" s="199">
        <v>3158505</v>
      </c>
    </row>
    <row r="46" spans="1:4" ht="27">
      <c r="A46" s="208" t="s">
        <v>501</v>
      </c>
      <c r="B46" s="209" t="s">
        <v>502</v>
      </c>
      <c r="C46" s="199">
        <v>509334584</v>
      </c>
      <c r="D46" s="199">
        <v>542108145</v>
      </c>
    </row>
    <row r="47" spans="1:4" ht="12.75">
      <c r="A47" s="206" t="s">
        <v>503</v>
      </c>
      <c r="B47" s="207" t="s">
        <v>504</v>
      </c>
      <c r="C47" s="198">
        <v>401636905</v>
      </c>
      <c r="D47" s="198">
        <v>401636905</v>
      </c>
    </row>
    <row r="48" spans="1:4" ht="12.75">
      <c r="A48" s="206" t="s">
        <v>505</v>
      </c>
      <c r="B48" s="207" t="s">
        <v>506</v>
      </c>
      <c r="C48" s="198">
        <v>-848049</v>
      </c>
      <c r="D48" s="198">
        <v>-848049</v>
      </c>
    </row>
    <row r="49" spans="1:4" ht="26.25">
      <c r="A49" s="206" t="s">
        <v>507</v>
      </c>
      <c r="B49" s="207" t="s">
        <v>508</v>
      </c>
      <c r="C49" s="198">
        <v>3275000</v>
      </c>
      <c r="D49" s="198">
        <v>3275000</v>
      </c>
    </row>
    <row r="50" spans="1:4" ht="12.75">
      <c r="A50" s="206" t="s">
        <v>509</v>
      </c>
      <c r="B50" s="207" t="s">
        <v>510</v>
      </c>
      <c r="C50" s="198">
        <v>-5372032</v>
      </c>
      <c r="D50" s="198">
        <v>102954126</v>
      </c>
    </row>
    <row r="51" spans="1:4" ht="12.75">
      <c r="A51" s="206" t="s">
        <v>511</v>
      </c>
      <c r="B51" s="207" t="s">
        <v>512</v>
      </c>
      <c r="C51" s="198">
        <v>108326158</v>
      </c>
      <c r="D51" s="198">
        <v>31994243</v>
      </c>
    </row>
    <row r="52" spans="1:4" ht="13.5">
      <c r="A52" s="208" t="s">
        <v>513</v>
      </c>
      <c r="B52" s="209" t="s">
        <v>514</v>
      </c>
      <c r="C52" s="199">
        <v>507017982</v>
      </c>
      <c r="D52" s="199">
        <v>539012225</v>
      </c>
    </row>
    <row r="53" spans="1:4" ht="26.25">
      <c r="A53" s="206" t="s">
        <v>515</v>
      </c>
      <c r="B53" s="207" t="s">
        <v>516</v>
      </c>
      <c r="C53" s="198">
        <v>0</v>
      </c>
      <c r="D53" s="198">
        <v>242524</v>
      </c>
    </row>
    <row r="54" spans="1:4" ht="26.25">
      <c r="A54" s="206" t="s">
        <v>517</v>
      </c>
      <c r="B54" s="207" t="s">
        <v>518</v>
      </c>
      <c r="C54" s="198">
        <v>0</v>
      </c>
      <c r="D54" s="198">
        <v>51525</v>
      </c>
    </row>
    <row r="55" spans="1:4" ht="39">
      <c r="A55" s="206" t="s">
        <v>519</v>
      </c>
      <c r="B55" s="207" t="s">
        <v>520</v>
      </c>
      <c r="C55" s="198">
        <v>0</v>
      </c>
      <c r="D55" s="198">
        <v>198522</v>
      </c>
    </row>
    <row r="56" spans="1:4" ht="26.25">
      <c r="A56" s="206" t="s">
        <v>521</v>
      </c>
      <c r="B56" s="207" t="s">
        <v>522</v>
      </c>
      <c r="C56" s="198">
        <v>0</v>
      </c>
      <c r="D56" s="198">
        <v>317500</v>
      </c>
    </row>
    <row r="57" spans="1:4" ht="27">
      <c r="A57" s="208" t="s">
        <v>523</v>
      </c>
      <c r="B57" s="209" t="s">
        <v>524</v>
      </c>
      <c r="C57" s="199">
        <v>0</v>
      </c>
      <c r="D57" s="199">
        <v>810071</v>
      </c>
    </row>
    <row r="58" spans="1:4" ht="39">
      <c r="A58" s="206" t="s">
        <v>525</v>
      </c>
      <c r="B58" s="207" t="s">
        <v>526</v>
      </c>
      <c r="C58" s="198">
        <v>863342</v>
      </c>
      <c r="D58" s="198">
        <v>832589</v>
      </c>
    </row>
    <row r="59" spans="1:4" ht="39">
      <c r="A59" s="206" t="s">
        <v>527</v>
      </c>
      <c r="B59" s="207" t="s">
        <v>528</v>
      </c>
      <c r="C59" s="198">
        <v>863342</v>
      </c>
      <c r="D59" s="198">
        <v>832589</v>
      </c>
    </row>
    <row r="60" spans="1:4" ht="41.25">
      <c r="A60" s="208" t="s">
        <v>529</v>
      </c>
      <c r="B60" s="209" t="s">
        <v>530</v>
      </c>
      <c r="C60" s="199">
        <v>863342</v>
      </c>
      <c r="D60" s="199">
        <v>832589</v>
      </c>
    </row>
    <row r="61" spans="1:4" ht="38.25" customHeight="1">
      <c r="A61" s="206" t="s">
        <v>531</v>
      </c>
      <c r="B61" s="207" t="s">
        <v>532</v>
      </c>
      <c r="C61" s="198">
        <v>727593</v>
      </c>
      <c r="D61" s="198">
        <v>727593</v>
      </c>
    </row>
    <row r="62" spans="1:4" ht="27">
      <c r="A62" s="208" t="s">
        <v>533</v>
      </c>
      <c r="B62" s="209" t="s">
        <v>534</v>
      </c>
      <c r="C62" s="199">
        <v>727593</v>
      </c>
      <c r="D62" s="199">
        <v>727593</v>
      </c>
    </row>
    <row r="63" spans="1:4" ht="13.5">
      <c r="A63" s="208" t="s">
        <v>535</v>
      </c>
      <c r="B63" s="209" t="s">
        <v>536</v>
      </c>
      <c r="C63" s="199">
        <v>1590935</v>
      </c>
      <c r="D63" s="199">
        <v>2370253</v>
      </c>
    </row>
    <row r="64" spans="1:4" ht="26.25">
      <c r="A64" s="206" t="s">
        <v>537</v>
      </c>
      <c r="B64" s="207" t="s">
        <v>538</v>
      </c>
      <c r="C64" s="198">
        <v>725667</v>
      </c>
      <c r="D64" s="198">
        <v>725667</v>
      </c>
    </row>
    <row r="65" spans="1:4" ht="27">
      <c r="A65" s="208" t="s">
        <v>539</v>
      </c>
      <c r="B65" s="209" t="s">
        <v>540</v>
      </c>
      <c r="C65" s="199">
        <v>725667</v>
      </c>
      <c r="D65" s="199">
        <v>725667</v>
      </c>
    </row>
    <row r="66" spans="1:4" ht="14.25" thickBot="1">
      <c r="A66" s="210" t="s">
        <v>541</v>
      </c>
      <c r="B66" s="211" t="s">
        <v>542</v>
      </c>
      <c r="C66" s="201">
        <v>509334584</v>
      </c>
      <c r="D66" s="201">
        <v>542108145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0"/>
  <sheetViews>
    <sheetView view="pageBreakPreview" zoomScale="120" zoomScaleSheetLayoutView="120" zoomScalePageLayoutView="0" workbookViewId="0" topLeftCell="A1">
      <selection activeCell="B1" sqref="B1"/>
    </sheetView>
  </sheetViews>
  <sheetFormatPr defaultColWidth="9.140625" defaultRowHeight="12.75"/>
  <cols>
    <col min="2" max="2" width="42.57421875" style="0" customWidth="1"/>
    <col min="3" max="3" width="22.28125" style="0" bestFit="1" customWidth="1"/>
    <col min="4" max="5" width="18.421875" style="0" bestFit="1" customWidth="1"/>
    <col min="6" max="6" width="12.8515625" style="0" bestFit="1" customWidth="1"/>
    <col min="7" max="7" width="31.57421875" style="0" customWidth="1"/>
    <col min="8" max="8" width="12.57421875" style="0" customWidth="1"/>
  </cols>
  <sheetData>
    <row r="1" spans="2:5" ht="12.75">
      <c r="B1" s="4" t="s">
        <v>580</v>
      </c>
      <c r="E1" t="s">
        <v>22</v>
      </c>
    </row>
    <row r="2" ht="12.75">
      <c r="B2" s="4" t="s">
        <v>87</v>
      </c>
    </row>
    <row r="3" ht="12.75">
      <c r="B3" s="4" t="s">
        <v>59</v>
      </c>
    </row>
    <row r="5" spans="1:2" ht="12.75">
      <c r="A5" s="5"/>
      <c r="B5" t="s">
        <v>272</v>
      </c>
    </row>
    <row r="6" spans="1:4" ht="12.75">
      <c r="A6" s="1"/>
      <c r="B6" s="1"/>
      <c r="C6" s="52" t="s">
        <v>296</v>
      </c>
      <c r="D6" s="4"/>
    </row>
    <row r="7" spans="1:5" ht="12.75">
      <c r="A7" s="43" t="s">
        <v>0</v>
      </c>
      <c r="B7" s="43" t="s">
        <v>1</v>
      </c>
      <c r="C7" s="215">
        <v>2018</v>
      </c>
      <c r="D7" s="215"/>
      <c r="E7" s="215"/>
    </row>
    <row r="8" spans="1:5" ht="15">
      <c r="A8" s="37"/>
      <c r="B8" s="38"/>
      <c r="C8" s="44" t="s">
        <v>24</v>
      </c>
      <c r="D8" s="43" t="s">
        <v>411</v>
      </c>
      <c r="E8" s="43" t="s">
        <v>412</v>
      </c>
    </row>
    <row r="9" spans="1:3" ht="17.25">
      <c r="A9" s="39" t="s">
        <v>22</v>
      </c>
      <c r="B9" s="40" t="s">
        <v>2</v>
      </c>
      <c r="C9" s="40" t="s">
        <v>22</v>
      </c>
    </row>
    <row r="10" spans="1:8" ht="17.25">
      <c r="A10" s="39"/>
      <c r="B10" s="40"/>
      <c r="C10" s="40"/>
      <c r="G10" s="11"/>
      <c r="H10" s="148"/>
    </row>
    <row r="11" spans="1:8" ht="12.75">
      <c r="A11" s="19" t="s">
        <v>19</v>
      </c>
      <c r="B11" s="19" t="s">
        <v>2</v>
      </c>
      <c r="C11" s="157">
        <f>381000+25400+25400+698500+450000+5000</f>
        <v>1585300</v>
      </c>
      <c r="D11" s="157">
        <v>2912474</v>
      </c>
      <c r="E11" s="157">
        <v>2021371</v>
      </c>
      <c r="G11" s="149"/>
      <c r="H11" s="148"/>
    </row>
    <row r="12" spans="1:8" ht="12.75">
      <c r="A12" s="19" t="s">
        <v>23</v>
      </c>
      <c r="B12" s="76" t="s">
        <v>232</v>
      </c>
      <c r="C12" s="157">
        <f>10950000+120000</f>
        <v>11070000</v>
      </c>
      <c r="D12" s="157">
        <v>11070000</v>
      </c>
      <c r="E12" s="157">
        <v>16939955</v>
      </c>
      <c r="G12" s="11"/>
      <c r="H12" s="148"/>
    </row>
    <row r="13" spans="1:24" ht="12.75">
      <c r="A13" s="19" t="s">
        <v>25</v>
      </c>
      <c r="B13" s="19" t="s">
        <v>237</v>
      </c>
      <c r="C13" s="157">
        <f>4831845+21583550</f>
        <v>26415395</v>
      </c>
      <c r="D13" s="157">
        <v>42516619</v>
      </c>
      <c r="E13" s="157">
        <v>35270223</v>
      </c>
      <c r="G13" s="11"/>
      <c r="H13" s="148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>
      <c r="A14" s="19" t="s">
        <v>26</v>
      </c>
      <c r="B14" s="19" t="s">
        <v>53</v>
      </c>
      <c r="C14" s="157">
        <v>155035</v>
      </c>
      <c r="D14" s="157">
        <v>155035</v>
      </c>
      <c r="E14" s="157">
        <v>10000</v>
      </c>
      <c r="G14" s="11"/>
      <c r="H14" s="148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19" t="s">
        <v>27</v>
      </c>
      <c r="B15" s="19" t="s">
        <v>156</v>
      </c>
      <c r="C15" s="157">
        <v>29084864</v>
      </c>
      <c r="D15" s="157">
        <v>21581491</v>
      </c>
      <c r="E15" s="157">
        <v>21581491</v>
      </c>
      <c r="G15" s="11"/>
      <c r="H15" s="148"/>
      <c r="O15" s="6"/>
      <c r="P15" s="6"/>
      <c r="Q15" s="6"/>
      <c r="R15" s="6"/>
      <c r="S15" s="6"/>
      <c r="T15" s="6"/>
      <c r="U15" s="6"/>
      <c r="V15" s="6"/>
      <c r="W15" s="11"/>
      <c r="X15" s="6"/>
    </row>
    <row r="16" spans="1:24" ht="12.75">
      <c r="A16" s="45" t="s">
        <v>165</v>
      </c>
      <c r="B16" s="19" t="s">
        <v>91</v>
      </c>
      <c r="C16" s="157"/>
      <c r="D16" s="157"/>
      <c r="E16" s="157"/>
      <c r="G16" s="11"/>
      <c r="H16" s="148"/>
      <c r="O16" s="6"/>
      <c r="P16" s="6"/>
      <c r="Q16" s="6"/>
      <c r="R16" s="6"/>
      <c r="S16" s="6"/>
      <c r="T16" s="6"/>
      <c r="U16" s="6"/>
      <c r="V16" s="6"/>
      <c r="W16" s="11"/>
      <c r="X16" s="6"/>
    </row>
    <row r="17" spans="1:24" ht="12.75">
      <c r="A17" s="45" t="s">
        <v>43</v>
      </c>
      <c r="B17" s="19" t="s">
        <v>270</v>
      </c>
      <c r="C17" s="157"/>
      <c r="D17" s="157"/>
      <c r="E17" s="157"/>
      <c r="O17" s="6"/>
      <c r="P17" s="6"/>
      <c r="Q17" s="6"/>
      <c r="R17" s="6"/>
      <c r="S17" s="6"/>
      <c r="T17" s="6"/>
      <c r="U17" s="6"/>
      <c r="V17" s="6"/>
      <c r="W17" s="11"/>
      <c r="X17" s="6"/>
    </row>
    <row r="18" spans="1:24" ht="12.75">
      <c r="A18" s="45" t="s">
        <v>118</v>
      </c>
      <c r="B18" s="19" t="s">
        <v>543</v>
      </c>
      <c r="C18" s="157"/>
      <c r="D18" s="157"/>
      <c r="E18" s="157">
        <v>832589</v>
      </c>
      <c r="O18" s="6"/>
      <c r="P18" s="6"/>
      <c r="Q18" s="6"/>
      <c r="R18" s="6"/>
      <c r="S18" s="6"/>
      <c r="T18" s="6"/>
      <c r="U18" s="6"/>
      <c r="V18" s="6"/>
      <c r="W18" s="11"/>
      <c r="X18" s="6"/>
    </row>
    <row r="19" spans="1:24" ht="12.75">
      <c r="A19" s="23" t="s">
        <v>22</v>
      </c>
      <c r="B19" s="19" t="s">
        <v>116</v>
      </c>
      <c r="C19" s="157">
        <f>SUM(C11:C17)</f>
        <v>68310594</v>
      </c>
      <c r="D19" s="157">
        <f>SUM(D11:D18)</f>
        <v>78235619</v>
      </c>
      <c r="E19" s="157">
        <f>SUM(E11:E18)</f>
        <v>76655629</v>
      </c>
      <c r="O19" s="6"/>
      <c r="P19" s="6"/>
      <c r="Q19" s="6"/>
      <c r="R19" s="6"/>
      <c r="S19" s="6"/>
      <c r="T19" s="6"/>
      <c r="U19" s="6"/>
      <c r="V19" s="6"/>
      <c r="W19" s="11"/>
      <c r="X19" s="6"/>
    </row>
    <row r="20" spans="1:24" ht="17.25">
      <c r="A20" s="41" t="s">
        <v>22</v>
      </c>
      <c r="B20" s="15" t="s">
        <v>22</v>
      </c>
      <c r="C20" s="159"/>
      <c r="O20" s="6"/>
      <c r="P20" s="6"/>
      <c r="Q20" s="6"/>
      <c r="R20" s="6"/>
      <c r="S20" s="6"/>
      <c r="T20" s="6"/>
      <c r="U20" s="6"/>
      <c r="V20" s="6"/>
      <c r="W20" s="11"/>
      <c r="X20" s="6"/>
    </row>
    <row r="21" spans="1:24" ht="15">
      <c r="A21" s="40" t="s">
        <v>22</v>
      </c>
      <c r="B21" s="40" t="s">
        <v>15</v>
      </c>
      <c r="C21" s="160"/>
      <c r="D21" s="7"/>
      <c r="O21" s="6"/>
      <c r="P21" s="6"/>
      <c r="Q21" s="6"/>
      <c r="R21" s="6"/>
      <c r="S21" s="6"/>
      <c r="T21" s="6"/>
      <c r="U21" s="6"/>
      <c r="V21" s="6"/>
      <c r="W21" s="11"/>
      <c r="X21" s="6"/>
    </row>
    <row r="22" spans="1:24" ht="15">
      <c r="A22" s="33"/>
      <c r="B22" s="40" t="s">
        <v>22</v>
      </c>
      <c r="C22" s="160"/>
      <c r="D22" s="7"/>
      <c r="O22" s="6"/>
      <c r="P22" s="6"/>
      <c r="Q22" s="6"/>
      <c r="R22" s="6"/>
      <c r="S22" s="6"/>
      <c r="T22" s="6"/>
      <c r="U22" s="6"/>
      <c r="V22" s="6"/>
      <c r="W22" s="11"/>
      <c r="X22" s="6"/>
    </row>
    <row r="23" spans="1:24" ht="15">
      <c r="A23" s="19" t="s">
        <v>0</v>
      </c>
      <c r="B23" s="19" t="s">
        <v>1</v>
      </c>
      <c r="C23" s="161"/>
      <c r="D23" s="184"/>
      <c r="E23" s="172"/>
      <c r="O23" s="6"/>
      <c r="P23" s="11"/>
      <c r="Q23" s="11"/>
      <c r="R23" s="11"/>
      <c r="S23" s="11"/>
      <c r="T23" s="11"/>
      <c r="U23" s="11"/>
      <c r="V23" s="11"/>
      <c r="W23" s="11"/>
      <c r="X23" s="6"/>
    </row>
    <row r="24" spans="1:24" ht="12.75">
      <c r="A24" s="46" t="s">
        <v>66</v>
      </c>
      <c r="B24" s="76" t="s">
        <v>232</v>
      </c>
      <c r="C24" s="157">
        <v>1000000</v>
      </c>
      <c r="D24" s="157">
        <v>1000000</v>
      </c>
      <c r="E24" s="157">
        <v>1165894</v>
      </c>
      <c r="O24" s="6"/>
      <c r="P24" s="6"/>
      <c r="Q24" s="6"/>
      <c r="R24" s="6"/>
      <c r="S24" s="6"/>
      <c r="T24" s="6"/>
      <c r="U24" s="11"/>
      <c r="V24" s="11"/>
      <c r="W24" s="6"/>
      <c r="X24" s="6"/>
    </row>
    <row r="25" spans="1:24" ht="12.75">
      <c r="A25" s="46" t="s">
        <v>23</v>
      </c>
      <c r="B25" s="76" t="s">
        <v>398</v>
      </c>
      <c r="C25" s="157">
        <v>92016002</v>
      </c>
      <c r="D25" s="157">
        <v>98624102</v>
      </c>
      <c r="E25" s="157">
        <v>98624102</v>
      </c>
      <c r="O25" s="6"/>
      <c r="P25" s="6"/>
      <c r="Q25" s="6"/>
      <c r="R25" s="6"/>
      <c r="S25" s="6"/>
      <c r="T25" s="6"/>
      <c r="U25" s="11"/>
      <c r="V25" s="11"/>
      <c r="W25" s="6"/>
      <c r="X25" s="6"/>
    </row>
    <row r="26" spans="1:24" ht="12.75">
      <c r="A26" s="46" t="s">
        <v>25</v>
      </c>
      <c r="B26" s="19" t="s">
        <v>6</v>
      </c>
      <c r="C26" s="157">
        <v>1270000</v>
      </c>
      <c r="D26" s="157">
        <v>1000000</v>
      </c>
      <c r="E26" s="157">
        <v>1000000</v>
      </c>
      <c r="O26" s="6"/>
      <c r="P26" s="6"/>
      <c r="Q26" s="6"/>
      <c r="R26" s="6"/>
      <c r="S26" s="6"/>
      <c r="T26" s="6"/>
      <c r="U26" s="11"/>
      <c r="V26" s="11"/>
      <c r="W26" s="6"/>
      <c r="X26" s="6"/>
    </row>
    <row r="27" spans="1:24" ht="12.75">
      <c r="A27" s="46" t="s">
        <v>26</v>
      </c>
      <c r="B27" s="19" t="s">
        <v>203</v>
      </c>
      <c r="C27" s="157">
        <v>19098155</v>
      </c>
      <c r="D27" s="157">
        <f>9624892+19098155</f>
        <v>28723047</v>
      </c>
      <c r="E27" s="157">
        <v>17390309</v>
      </c>
      <c r="O27" s="6"/>
      <c r="P27" s="6"/>
      <c r="Q27" s="6"/>
      <c r="R27" s="6"/>
      <c r="S27" s="6"/>
      <c r="T27" s="6"/>
      <c r="U27" s="11"/>
      <c r="V27" s="11"/>
      <c r="W27" s="6"/>
      <c r="X27" s="6"/>
    </row>
    <row r="28" spans="1:5" ht="12.75">
      <c r="A28" s="19" t="s">
        <v>22</v>
      </c>
      <c r="B28" s="19" t="s">
        <v>117</v>
      </c>
      <c r="C28" s="157">
        <f>SUM(C24:C27)</f>
        <v>113384157</v>
      </c>
      <c r="D28" s="157">
        <f>SUM(D24:D27)</f>
        <v>129347149</v>
      </c>
      <c r="E28" s="157">
        <f>SUM(E24:E27)</f>
        <v>118180305</v>
      </c>
    </row>
    <row r="29" spans="1:4" ht="15">
      <c r="A29" s="8"/>
      <c r="C29" s="162"/>
      <c r="D29" s="7"/>
    </row>
    <row r="30" spans="1:5" s="34" customFormat="1" ht="15">
      <c r="A30" s="68"/>
      <c r="B30" s="127" t="s">
        <v>93</v>
      </c>
      <c r="C30" s="163">
        <f>SUM(,C28,C19)</f>
        <v>181694751</v>
      </c>
      <c r="D30" s="163">
        <f>SUM(D19,D28)</f>
        <v>207582768</v>
      </c>
      <c r="E30" s="163">
        <f>SUM(E19,E28)</f>
        <v>194835934</v>
      </c>
    </row>
    <row r="31" spans="1:4" ht="15">
      <c r="A31" s="8"/>
      <c r="C31" s="33"/>
      <c r="D31" s="7"/>
    </row>
    <row r="32" spans="1:4" ht="15">
      <c r="A32" s="8"/>
      <c r="D32" s="7"/>
    </row>
    <row r="33" spans="1:4" ht="15">
      <c r="A33" s="8"/>
      <c r="D33" s="7"/>
    </row>
    <row r="34" spans="1:4" ht="15">
      <c r="A34" s="42"/>
      <c r="B34" s="15" t="s">
        <v>127</v>
      </c>
      <c r="C34" s="42"/>
      <c r="D34" s="7"/>
    </row>
    <row r="35" spans="1:4" ht="15">
      <c r="A35" s="25"/>
      <c r="B35" s="25"/>
      <c r="C35" s="51" t="s">
        <v>296</v>
      </c>
      <c r="D35" s="7"/>
    </row>
    <row r="36" spans="1:5" ht="15.75" customHeight="1">
      <c r="A36" s="43" t="s">
        <v>0</v>
      </c>
      <c r="B36" s="43" t="s">
        <v>1</v>
      </c>
      <c r="C36" s="215">
        <v>2018</v>
      </c>
      <c r="D36" s="215"/>
      <c r="E36" s="215"/>
    </row>
    <row r="37" spans="1:5" ht="15">
      <c r="A37" s="36"/>
      <c r="B37" s="36"/>
      <c r="C37" s="44" t="s">
        <v>24</v>
      </c>
      <c r="D37" s="19" t="s">
        <v>411</v>
      </c>
      <c r="E37" s="19" t="s">
        <v>412</v>
      </c>
    </row>
    <row r="38" spans="1:22" ht="15">
      <c r="A38" s="42"/>
      <c r="B38" s="40" t="s">
        <v>8</v>
      </c>
      <c r="C38" s="42"/>
      <c r="D38" s="11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42" t="s">
        <v>22</v>
      </c>
      <c r="B39" s="42"/>
      <c r="C39" s="40"/>
      <c r="D39" s="11"/>
      <c r="E39" s="1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>
      <c r="A40" s="19" t="s">
        <v>3</v>
      </c>
      <c r="B40" s="19" t="s">
        <v>56</v>
      </c>
      <c r="C40" s="157">
        <f>4116480+2223800+2333120+4402620+500000</f>
        <v>13576020</v>
      </c>
      <c r="D40" s="157">
        <v>24221023</v>
      </c>
      <c r="E40" s="157">
        <v>14687780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>
      <c r="A41" s="19" t="s">
        <v>4</v>
      </c>
      <c r="B41" s="19" t="s">
        <v>57</v>
      </c>
      <c r="C41" s="157">
        <f>972646+432461+430650+429255</f>
        <v>2265012</v>
      </c>
      <c r="D41" s="157">
        <v>3394528</v>
      </c>
      <c r="E41" s="157">
        <v>2230521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>
      <c r="A42" s="23" t="s">
        <v>9</v>
      </c>
      <c r="B42" s="23" t="s">
        <v>113</v>
      </c>
      <c r="C42" s="157">
        <f>2869500+2038350+190500+908050+12700+571500+2000000+1651000+139700+50800+1909650+1012700+127000</f>
        <v>13481450</v>
      </c>
      <c r="D42" s="157">
        <v>15480406</v>
      </c>
      <c r="E42" s="157">
        <v>13096159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>
      <c r="A43" s="23" t="s">
        <v>10</v>
      </c>
      <c r="B43" s="128" t="s">
        <v>163</v>
      </c>
      <c r="C43" s="157">
        <f>3831000+250000+275880</f>
        <v>4356880</v>
      </c>
      <c r="D43" s="157">
        <v>5254692</v>
      </c>
      <c r="E43" s="157">
        <v>4868620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 s="19" t="s">
        <v>67</v>
      </c>
      <c r="B44" s="128" t="s">
        <v>288</v>
      </c>
      <c r="C44" s="157">
        <f>25000+50000</f>
        <v>75000</v>
      </c>
      <c r="D44" s="157">
        <v>927322</v>
      </c>
      <c r="E44" s="157">
        <v>728800</v>
      </c>
      <c r="F44" s="21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19"/>
      <c r="B45" s="128" t="s">
        <v>287</v>
      </c>
      <c r="C45" s="157">
        <f>1363497+1348061+43000+886000+64000</f>
        <v>3704558</v>
      </c>
      <c r="D45" s="157">
        <v>3766593</v>
      </c>
      <c r="E45" s="157">
        <v>3763593</v>
      </c>
      <c r="F45" s="21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19" t="s">
        <v>68</v>
      </c>
      <c r="B46" s="128" t="s">
        <v>20</v>
      </c>
      <c r="C46" s="157">
        <v>2667674</v>
      </c>
      <c r="D46" s="157">
        <v>85372</v>
      </c>
      <c r="E46" s="157">
        <v>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19" t="s">
        <v>12</v>
      </c>
      <c r="B47" s="216" t="s">
        <v>289</v>
      </c>
      <c r="C47" s="213">
        <v>625000</v>
      </c>
      <c r="D47" s="157">
        <v>2021441</v>
      </c>
      <c r="E47" s="157">
        <v>1396441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19" t="s">
        <v>95</v>
      </c>
      <c r="B48" s="217"/>
      <c r="C48" s="213">
        <v>0</v>
      </c>
      <c r="D48" s="157">
        <v>863342</v>
      </c>
      <c r="E48" s="157">
        <v>863342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22"/>
      <c r="B49" s="23" t="s">
        <v>129</v>
      </c>
      <c r="C49" s="157">
        <f>SUM(C40:C48)</f>
        <v>40751594</v>
      </c>
      <c r="D49" s="157">
        <f>SUM(D40:D48)</f>
        <v>56014719</v>
      </c>
      <c r="E49" s="157">
        <f>SUM(E40:E48)</f>
        <v>41635256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">
      <c r="A50" s="42"/>
      <c r="B50" s="42"/>
      <c r="C50" s="160"/>
      <c r="D50" s="11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">
      <c r="A51" s="42"/>
      <c r="B51" s="28" t="s">
        <v>42</v>
      </c>
      <c r="C51" s="160"/>
      <c r="D51" s="11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42" t="s">
        <v>22</v>
      </c>
      <c r="B52" s="28"/>
      <c r="C52" s="160"/>
      <c r="D52" s="11"/>
      <c r="E52" s="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19" t="s">
        <v>3</v>
      </c>
      <c r="B53" s="23" t="s">
        <v>58</v>
      </c>
      <c r="C53" s="157">
        <f>500000+2332000+4380000</f>
        <v>7212000</v>
      </c>
      <c r="D53" s="157">
        <v>14968171</v>
      </c>
      <c r="E53" s="157">
        <v>2664550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19" t="s">
        <v>4</v>
      </c>
      <c r="B54" s="23" t="s">
        <v>399</v>
      </c>
      <c r="C54" s="157">
        <f>135000+2482000</f>
        <v>2617000</v>
      </c>
      <c r="D54" s="157">
        <v>5485721</v>
      </c>
      <c r="E54" s="157">
        <v>719429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19" t="s">
        <v>9</v>
      </c>
      <c r="B55" s="23" t="s">
        <v>239</v>
      </c>
      <c r="C55" s="157">
        <f>1095000+63880841+16795841+13941653</f>
        <v>95713335</v>
      </c>
      <c r="D55" s="157">
        <v>95713335</v>
      </c>
      <c r="E55" s="157">
        <v>110228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19" t="s">
        <v>10</v>
      </c>
      <c r="B56" s="23" t="s">
        <v>240</v>
      </c>
      <c r="C56" s="157">
        <f>405000+23627160+6212160+5156502</f>
        <v>35400822</v>
      </c>
      <c r="D56" s="157">
        <v>35400822</v>
      </c>
      <c r="E56" s="157">
        <v>29762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19" t="s">
        <v>67</v>
      </c>
      <c r="B57" s="23" t="s">
        <v>241</v>
      </c>
      <c r="C57" s="157"/>
      <c r="D57" s="157"/>
      <c r="E57" s="15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22"/>
      <c r="B58" s="23" t="s">
        <v>130</v>
      </c>
      <c r="C58" s="157">
        <f>SUM(C53:C57)</f>
        <v>140943157</v>
      </c>
      <c r="D58" s="157">
        <f>SUM(D53:D57)</f>
        <v>151568049</v>
      </c>
      <c r="E58" s="157">
        <f>SUM(E53:E57)</f>
        <v>3523969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164"/>
      <c r="D59" s="11"/>
      <c r="E59" s="1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7.25">
      <c r="A60" s="2"/>
      <c r="B60" s="23" t="s">
        <v>128</v>
      </c>
      <c r="C60" s="165">
        <f>SUM(C58,C49)</f>
        <v>181694751</v>
      </c>
      <c r="D60" s="157">
        <f>SUM(D58,D49)</f>
        <v>207582768</v>
      </c>
      <c r="E60" s="157">
        <f>SUM(E58,E49)</f>
        <v>45159225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16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34" customFormat="1" ht="15">
      <c r="A62" s="40"/>
      <c r="B62" s="40" t="s">
        <v>2</v>
      </c>
      <c r="C62" s="166">
        <f>SUM(C19)</f>
        <v>68310594</v>
      </c>
      <c r="D62" s="166">
        <f>SUM(D19)</f>
        <v>78235619</v>
      </c>
      <c r="E62" s="166">
        <f>SUM(E19)</f>
        <v>76655629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s="34" customFormat="1" ht="15">
      <c r="A63" s="40"/>
      <c r="B63" s="40" t="s">
        <v>8</v>
      </c>
      <c r="C63" s="167">
        <f>SUM(C49)</f>
        <v>40751594</v>
      </c>
      <c r="D63" s="167">
        <f>SUM(D49)</f>
        <v>56014719</v>
      </c>
      <c r="E63" s="167">
        <f>SUM(E49)</f>
        <v>41635256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s="34" customFormat="1" ht="15">
      <c r="A64" s="40"/>
      <c r="B64" s="28" t="s">
        <v>226</v>
      </c>
      <c r="C64" s="167">
        <f>SUM(C62-C63)</f>
        <v>27559000</v>
      </c>
      <c r="D64" s="167">
        <f>SUM(D62-D63)</f>
        <v>22220900</v>
      </c>
      <c r="E64" s="167">
        <f>SUM(E62-E63)</f>
        <v>35020373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s="34" customFormat="1" ht="15">
      <c r="A65" s="40"/>
      <c r="B65" s="40"/>
      <c r="C65" s="16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2" s="34" customFormat="1" ht="15">
      <c r="A66" s="40"/>
      <c r="B66" s="40"/>
      <c r="C66" s="166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s="34" customFormat="1" ht="15">
      <c r="A67" s="40"/>
      <c r="B67" s="28" t="s">
        <v>15</v>
      </c>
      <c r="C67" s="166">
        <f>SUM(C28)</f>
        <v>113384157</v>
      </c>
      <c r="D67" s="166">
        <f>SUM(D28)</f>
        <v>129347149</v>
      </c>
      <c r="E67" s="166">
        <f>SUM(E28)</f>
        <v>118180305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1:22" s="34" customFormat="1" ht="15">
      <c r="A68" s="40"/>
      <c r="B68" s="28" t="s">
        <v>42</v>
      </c>
      <c r="C68" s="166">
        <f>SUM(C58)</f>
        <v>140943157</v>
      </c>
      <c r="D68" s="166">
        <f>SUM(D58)</f>
        <v>151568049</v>
      </c>
      <c r="E68" s="166">
        <f>SUM(E58)</f>
        <v>3523969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s="34" customFormat="1" ht="15">
      <c r="A69" s="40"/>
      <c r="B69" s="28" t="s">
        <v>226</v>
      </c>
      <c r="C69" s="166">
        <f>SUM(C67-C68)</f>
        <v>-27559000</v>
      </c>
      <c r="D69" s="166">
        <f>SUM(D67-D68)</f>
        <v>-22220900</v>
      </c>
      <c r="E69" s="166">
        <f>SUM(E67-E68)</f>
        <v>114656336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2" ht="12.75">
      <c r="A70" s="6"/>
      <c r="B70" s="6"/>
      <c r="C70" s="16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16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16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s="34" customFormat="1" ht="15">
      <c r="A73" s="40"/>
      <c r="B73" s="40" t="s">
        <v>227</v>
      </c>
      <c r="C73" s="166">
        <f>SUM(C30)</f>
        <v>181694751</v>
      </c>
      <c r="D73" s="166">
        <f>SUM(D30)</f>
        <v>207582768</v>
      </c>
      <c r="E73" s="166">
        <f>SUM(E30)</f>
        <v>194835934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s="34" customFormat="1" ht="15">
      <c r="A74" s="40"/>
      <c r="B74" s="40" t="s">
        <v>228</v>
      </c>
      <c r="C74" s="166">
        <f>SUM(C68,C63)</f>
        <v>181694751</v>
      </c>
      <c r="D74" s="166">
        <f>SUM(D68,D63)</f>
        <v>207582768</v>
      </c>
      <c r="E74" s="166">
        <f>SUM(E68,E63)</f>
        <v>45159225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s="34" customFormat="1" ht="15">
      <c r="A75" s="40"/>
      <c r="B75" s="40" t="s">
        <v>229</v>
      </c>
      <c r="C75" s="166">
        <v>0</v>
      </c>
      <c r="D75" s="166">
        <v>0</v>
      </c>
      <c r="E75" s="166">
        <f>SUM(E73-E74)</f>
        <v>149676709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6"/>
      <c r="B77" s="6"/>
      <c r="C77" s="1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5">
      <c r="A81" s="6"/>
      <c r="B81" s="6"/>
      <c r="C81" s="1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>
      <c r="A95" s="6"/>
      <c r="B95" s="6"/>
      <c r="C95" s="1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>
      <c r="A96" s="6"/>
      <c r="B96" s="6"/>
      <c r="C96" s="1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>
      <c r="A97" s="6"/>
      <c r="B97" s="6"/>
      <c r="C97" s="1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.75">
      <c r="A99" s="6"/>
      <c r="B99" s="6"/>
      <c r="C99" s="1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6"/>
      <c r="B101" s="6"/>
      <c r="C101" s="1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2.75">
      <c r="A103" s="6"/>
      <c r="B103" s="6"/>
      <c r="C103" s="12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2.75">
      <c r="A104" s="6"/>
      <c r="B104" s="6"/>
      <c r="C104" s="12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2.75">
      <c r="A108" s="6"/>
      <c r="B108" s="6"/>
      <c r="C108" s="14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>
      <c r="A125" s="6"/>
      <c r="B125" s="6"/>
      <c r="C125" s="12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2.75">
      <c r="A137" s="6"/>
      <c r="B137" s="6"/>
      <c r="C137" s="12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>
      <c r="A142" s="6"/>
      <c r="B142" s="6"/>
      <c r="C142" s="12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5">
      <c r="A154" s="6"/>
      <c r="B154" s="6"/>
      <c r="C154" s="10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>
      <c r="A155" s="6"/>
      <c r="B155" s="6"/>
      <c r="C155" s="12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>
      <c r="A157" s="6"/>
      <c r="B157" s="6"/>
      <c r="C157" s="1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>
      <c r="A165" s="6"/>
      <c r="B165" s="6"/>
      <c r="C165" s="1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>
      <c r="A170" s="6"/>
      <c r="B170" s="6"/>
      <c r="C170" s="12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>
      <c r="A172" s="6"/>
      <c r="B172" s="6"/>
      <c r="C172" s="12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>
      <c r="A173" s="6"/>
      <c r="B173" s="6"/>
      <c r="C173" s="12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>
      <c r="A185" s="6"/>
      <c r="B185" s="6"/>
      <c r="C185" s="12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>
      <c r="A190" s="6"/>
      <c r="B190" s="6"/>
      <c r="C190" s="13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>
      <c r="A191" s="6"/>
      <c r="B191" s="6"/>
      <c r="C191" s="13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>
      <c r="A192" s="6"/>
      <c r="B192" s="6"/>
      <c r="C192" s="13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5">
      <c r="A194" s="6"/>
      <c r="B194" s="6"/>
      <c r="C194" s="9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5">
      <c r="A206" s="6"/>
      <c r="B206" s="6"/>
      <c r="C206" s="10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3.5">
      <c r="A222" s="6"/>
      <c r="B222" s="6"/>
      <c r="C222" s="16"/>
      <c r="D222" s="1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3.5">
      <c r="A223" s="6"/>
      <c r="B223" s="6"/>
      <c r="C223" s="16"/>
      <c r="D223" s="1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3.5">
      <c r="A224" s="6"/>
      <c r="B224" s="6"/>
      <c r="C224" s="16"/>
      <c r="D224" s="1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3.5">
      <c r="A225" s="6"/>
      <c r="B225" s="6"/>
      <c r="C225" s="16"/>
      <c r="D225" s="1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3.5">
      <c r="A226" s="6"/>
      <c r="B226" s="6"/>
      <c r="C226" s="17"/>
      <c r="D226" s="17"/>
      <c r="E226" s="1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3.5">
      <c r="A227" s="6"/>
      <c r="B227" s="6"/>
      <c r="C227" s="18"/>
      <c r="D227" s="18"/>
      <c r="E227" s="1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3.5">
      <c r="A228" s="6"/>
      <c r="B228" s="6"/>
      <c r="C228" s="17"/>
      <c r="D228" s="18"/>
      <c r="E228" s="1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3.5">
      <c r="A229" s="6"/>
      <c r="B229" s="6"/>
      <c r="C229" s="17"/>
      <c r="D229" s="17"/>
      <c r="E229" s="1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3.5">
      <c r="A230" s="6"/>
      <c r="B230" s="6"/>
      <c r="C230" s="17"/>
      <c r="D230" s="17"/>
      <c r="E230" s="1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3.5">
      <c r="A231" s="6"/>
      <c r="B231" s="6"/>
      <c r="C231" s="17"/>
      <c r="D231" s="17"/>
      <c r="E231" s="1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3.5">
      <c r="A232" s="6"/>
      <c r="B232" s="6"/>
      <c r="C232" s="17"/>
      <c r="D232" s="17"/>
      <c r="E232" s="1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3.5">
      <c r="A233" s="6"/>
      <c r="B233" s="6"/>
      <c r="C233" s="17"/>
      <c r="D233" s="17"/>
      <c r="E233" s="1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3.5">
      <c r="A234" s="6"/>
      <c r="B234" s="6"/>
      <c r="C234" s="17"/>
      <c r="D234" s="18"/>
      <c r="E234" s="1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>
      <c r="A238" s="6"/>
      <c r="B238" s="6"/>
      <c r="C238" s="11"/>
      <c r="D238" s="11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>
      <c r="A239" s="6"/>
      <c r="B239" s="6"/>
      <c r="C239" s="11"/>
      <c r="D239" s="11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>
      <c r="A240" s="6"/>
      <c r="B240" s="6"/>
      <c r="C240" s="11"/>
      <c r="D240" s="11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>
      <c r="A242" s="6"/>
      <c r="B242" s="6"/>
      <c r="C242" s="11"/>
      <c r="D242" s="11"/>
      <c r="E242" s="11"/>
      <c r="F242" s="11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>
      <c r="A253" s="6"/>
      <c r="B253" s="6"/>
      <c r="C253" s="6"/>
      <c r="D253" s="11"/>
      <c r="E253" s="11"/>
      <c r="F253" s="11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>
      <c r="A262" s="6"/>
      <c r="B262" s="6"/>
      <c r="C262" s="6"/>
      <c r="D262" s="11"/>
      <c r="E262" s="11"/>
      <c r="F262" s="11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2.75">
      <c r="A272" s="6"/>
      <c r="B272" s="6"/>
      <c r="C272" s="6"/>
      <c r="D272" s="11"/>
      <c r="E272" s="11"/>
      <c r="F272" s="11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2.75">
      <c r="A273" s="6"/>
      <c r="B273" s="6"/>
      <c r="C273" s="6"/>
      <c r="D273" s="11"/>
      <c r="E273" s="11"/>
      <c r="F273" s="11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2.75">
      <c r="A274" s="6"/>
      <c r="B274" s="6"/>
      <c r="C274" s="6"/>
      <c r="D274" s="11"/>
      <c r="E274" s="11"/>
      <c r="F274" s="11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2.75">
      <c r="A277" s="6"/>
      <c r="B277" s="6"/>
      <c r="C277" s="6"/>
      <c r="D277" s="11"/>
      <c r="E277" s="1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2.75">
      <c r="A278" s="6"/>
      <c r="B278" s="6"/>
      <c r="C278" s="11"/>
      <c r="D278" s="15"/>
      <c r="E278" s="1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2.75">
      <c r="A280" s="6"/>
      <c r="B280" s="6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6"/>
      <c r="P280" s="6"/>
      <c r="Q280" s="6"/>
      <c r="R280" s="6"/>
      <c r="S280" s="6"/>
      <c r="T280" s="6"/>
      <c r="U280" s="6"/>
      <c r="V280" s="6"/>
    </row>
    <row r="281" spans="1:22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2.75">
      <c r="A293" s="6"/>
      <c r="B293" s="6"/>
      <c r="C293" s="6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3"/>
      <c r="P293" s="6"/>
      <c r="Q293" s="6"/>
      <c r="R293" s="6"/>
      <c r="S293" s="6"/>
      <c r="T293" s="6"/>
      <c r="U293" s="6"/>
      <c r="V293" s="6"/>
    </row>
    <row r="294" spans="1:22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2.75">
      <c r="A303" s="6"/>
      <c r="B303" s="6"/>
      <c r="C303" s="6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3"/>
      <c r="P303" s="6"/>
      <c r="Q303" s="6"/>
      <c r="R303" s="6"/>
      <c r="S303" s="6"/>
      <c r="T303" s="6"/>
      <c r="U303" s="6"/>
      <c r="V303" s="6"/>
    </row>
    <row r="304" spans="1:22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2:22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</sheetData>
  <sheetProtection/>
  <mergeCells count="3">
    <mergeCell ref="C7:E7"/>
    <mergeCell ref="C36:E36"/>
    <mergeCell ref="B47:B48"/>
  </mergeCells>
  <printOptions/>
  <pageMargins left="0.75" right="0.75" top="1" bottom="1" header="0.5" footer="0.5"/>
  <pageSetup fitToHeight="1" fitToWidth="1" horizontalDpi="600" verticalDpi="600" orientation="portrait" paperSize="9" scale="69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57421875" style="33" customWidth="1"/>
    <col min="2" max="2" width="37.00390625" style="33" customWidth="1"/>
    <col min="3" max="3" width="18.421875" style="33" bestFit="1" customWidth="1"/>
    <col min="4" max="4" width="20.28125" style="33" bestFit="1" customWidth="1"/>
    <col min="5" max="5" width="16.421875" style="33" bestFit="1" customWidth="1"/>
    <col min="6" max="6" width="88.00390625" style="33" customWidth="1"/>
    <col min="7" max="16384" width="9.140625" style="33" customWidth="1"/>
  </cols>
  <sheetData>
    <row r="1" ht="12.75">
      <c r="B1" s="4" t="s">
        <v>581</v>
      </c>
    </row>
    <row r="2" ht="12.75">
      <c r="B2" s="4" t="s">
        <v>72</v>
      </c>
    </row>
    <row r="3" ht="12.75">
      <c r="D3" s="4"/>
    </row>
    <row r="4" spans="2:4" ht="12.75">
      <c r="B4" s="4" t="s">
        <v>272</v>
      </c>
      <c r="D4" s="4"/>
    </row>
    <row r="5" spans="1:5" ht="12.75">
      <c r="A5" s="25"/>
      <c r="B5" s="25"/>
      <c r="C5" s="51" t="s">
        <v>296</v>
      </c>
      <c r="D5" s="114"/>
      <c r="E5" s="114"/>
    </row>
    <row r="6" spans="1:5" ht="12.75">
      <c r="A6" s="43" t="s">
        <v>0</v>
      </c>
      <c r="B6" s="43" t="s">
        <v>1</v>
      </c>
      <c r="C6" s="218">
        <v>2018</v>
      </c>
      <c r="D6" s="219"/>
      <c r="E6" s="220"/>
    </row>
    <row r="7" spans="1:5" ht="15">
      <c r="A7" s="50"/>
      <c r="B7" s="50"/>
      <c r="C7" s="54" t="s">
        <v>24</v>
      </c>
      <c r="D7" s="20" t="s">
        <v>411</v>
      </c>
      <c r="E7" s="19" t="s">
        <v>412</v>
      </c>
    </row>
    <row r="8" spans="1:5" s="4" customFormat="1" ht="21" customHeight="1">
      <c r="A8" s="31" t="s">
        <v>66</v>
      </c>
      <c r="B8" s="55" t="s">
        <v>2</v>
      </c>
      <c r="C8" s="157">
        <f>SUM(C9:C12)</f>
        <v>1585300</v>
      </c>
      <c r="D8" s="191">
        <f>SUM(D9:D12)</f>
        <v>2912474</v>
      </c>
      <c r="E8" s="157">
        <f>SUM(E9:E12)</f>
        <v>2021371</v>
      </c>
    </row>
    <row r="9" spans="1:5" ht="12.75">
      <c r="A9" s="22" t="s">
        <v>276</v>
      </c>
      <c r="B9" s="22" t="s">
        <v>231</v>
      </c>
      <c r="C9" s="158">
        <f>550000</f>
        <v>550000</v>
      </c>
      <c r="D9" s="158">
        <v>578000</v>
      </c>
      <c r="E9" s="192">
        <v>586606</v>
      </c>
    </row>
    <row r="10" spans="1:5" ht="12.75">
      <c r="A10" s="22" t="s">
        <v>277</v>
      </c>
      <c r="B10" s="22" t="s">
        <v>274</v>
      </c>
      <c r="C10" s="158">
        <f>20000</f>
        <v>20000</v>
      </c>
      <c r="D10" s="158">
        <f>329174+20000</f>
        <v>349174</v>
      </c>
      <c r="E10" s="192">
        <f>58961+37860</f>
        <v>96821</v>
      </c>
    </row>
    <row r="11" spans="1:5" ht="12.75">
      <c r="A11" s="22"/>
      <c r="B11" s="22" t="s">
        <v>342</v>
      </c>
      <c r="C11" s="158">
        <f>381000+5400+5400+148500+5000</f>
        <v>545300</v>
      </c>
      <c r="D11" s="158">
        <v>1515300</v>
      </c>
      <c r="E11" s="192">
        <f>510250+312430+199+148605</f>
        <v>971484</v>
      </c>
    </row>
    <row r="12" spans="1:5" ht="12.75">
      <c r="A12" s="22" t="s">
        <v>278</v>
      </c>
      <c r="B12" s="22" t="s">
        <v>230</v>
      </c>
      <c r="C12" s="158">
        <f>450000+20000</f>
        <v>470000</v>
      </c>
      <c r="D12" s="158">
        <v>470000</v>
      </c>
      <c r="E12" s="192">
        <v>366460</v>
      </c>
    </row>
    <row r="13" spans="1:5" ht="21" customHeight="1">
      <c r="A13" s="19" t="s">
        <v>23</v>
      </c>
      <c r="B13" s="76" t="s">
        <v>232</v>
      </c>
      <c r="C13" s="157">
        <f>SUM(C14:C21)</f>
        <v>11070000</v>
      </c>
      <c r="D13" s="157">
        <f>SUM(D14:D21)</f>
        <v>11070000</v>
      </c>
      <c r="E13" s="157">
        <f>SUM(E14:E21)</f>
        <v>16939955</v>
      </c>
    </row>
    <row r="14" spans="1:5" ht="17.25" customHeight="1">
      <c r="A14" s="19"/>
      <c r="B14" s="104" t="s">
        <v>291</v>
      </c>
      <c r="C14" s="158">
        <v>120000</v>
      </c>
      <c r="D14" s="158">
        <v>120000</v>
      </c>
      <c r="E14" s="157"/>
    </row>
    <row r="15" spans="1:5" ht="12.75">
      <c r="A15" s="118"/>
      <c r="B15" s="22" t="s">
        <v>5</v>
      </c>
      <c r="C15" s="158"/>
      <c r="D15" s="158"/>
      <c r="E15" s="158"/>
    </row>
    <row r="16" spans="1:5" ht="12.75">
      <c r="A16" s="47"/>
      <c r="B16" s="22" t="s">
        <v>73</v>
      </c>
      <c r="C16" s="158">
        <v>9500000</v>
      </c>
      <c r="D16" s="158">
        <v>9500000</v>
      </c>
      <c r="E16" s="158">
        <v>15366338</v>
      </c>
    </row>
    <row r="17" spans="1:5" ht="12.75">
      <c r="A17" s="47"/>
      <c r="B17" s="22" t="s">
        <v>171</v>
      </c>
      <c r="C17" s="158">
        <v>500000</v>
      </c>
      <c r="D17" s="158">
        <v>500000</v>
      </c>
      <c r="E17" s="158">
        <v>475650</v>
      </c>
    </row>
    <row r="18" spans="1:5" ht="12.75" hidden="1">
      <c r="A18" s="47"/>
      <c r="B18" s="22" t="s">
        <v>343</v>
      </c>
      <c r="C18" s="158"/>
      <c r="D18" s="158"/>
      <c r="E18" s="158"/>
    </row>
    <row r="19" spans="1:5" ht="12.75">
      <c r="A19" s="47"/>
      <c r="B19" s="22" t="s">
        <v>275</v>
      </c>
      <c r="C19" s="158">
        <v>100000</v>
      </c>
      <c r="D19" s="158">
        <v>100000</v>
      </c>
      <c r="E19" s="158"/>
    </row>
    <row r="20" spans="1:5" ht="12.75">
      <c r="A20" s="118"/>
      <c r="B20" s="22" t="s">
        <v>233</v>
      </c>
      <c r="C20" s="158">
        <v>800000</v>
      </c>
      <c r="D20" s="158">
        <v>800000</v>
      </c>
      <c r="E20" s="158">
        <v>993948</v>
      </c>
    </row>
    <row r="21" spans="1:5" ht="12.75">
      <c r="A21" s="118"/>
      <c r="B21" s="22" t="s">
        <v>88</v>
      </c>
      <c r="C21" s="158">
        <v>50000</v>
      </c>
      <c r="D21" s="158">
        <v>50000</v>
      </c>
      <c r="E21" s="192">
        <f>71119+32900</f>
        <v>104019</v>
      </c>
    </row>
    <row r="22" spans="1:5" ht="22.5" customHeight="1">
      <c r="A22" s="19" t="s">
        <v>224</v>
      </c>
      <c r="B22" s="76" t="s">
        <v>237</v>
      </c>
      <c r="C22" s="157">
        <f>SUM(C23:C27)</f>
        <v>26415395</v>
      </c>
      <c r="D22" s="157">
        <f>SUM(D23:D28)</f>
        <v>42516619</v>
      </c>
      <c r="E22" s="157">
        <f>SUM(E23:E28)</f>
        <v>35270223</v>
      </c>
    </row>
    <row r="23" spans="1:5" ht="28.5" customHeight="1">
      <c r="A23" s="19"/>
      <c r="B23" s="104" t="s">
        <v>344</v>
      </c>
      <c r="C23" s="158">
        <v>4831845</v>
      </c>
      <c r="D23" s="158">
        <v>17305429</v>
      </c>
      <c r="E23" s="158">
        <v>10059033</v>
      </c>
    </row>
    <row r="24" spans="1:5" ht="26.25" customHeight="1">
      <c r="A24" s="19"/>
      <c r="B24" s="104" t="s">
        <v>290</v>
      </c>
      <c r="C24" s="158">
        <v>12576670</v>
      </c>
      <c r="D24" s="158">
        <v>12583502</v>
      </c>
      <c r="E24" s="158">
        <v>12583502</v>
      </c>
    </row>
    <row r="25" spans="1:5" ht="39">
      <c r="A25" s="22"/>
      <c r="B25" s="104" t="s">
        <v>294</v>
      </c>
      <c r="C25" s="158">
        <f>3831000+3100000+275880</f>
        <v>7206880</v>
      </c>
      <c r="D25" s="158">
        <v>7651365</v>
      </c>
      <c r="E25" s="158">
        <v>7651365</v>
      </c>
    </row>
    <row r="26" spans="1:5" ht="26.25">
      <c r="A26" s="22"/>
      <c r="B26" s="104" t="s">
        <v>295</v>
      </c>
      <c r="C26" s="158">
        <v>1800000</v>
      </c>
      <c r="D26" s="158">
        <v>1800000</v>
      </c>
      <c r="E26" s="158">
        <v>1800000</v>
      </c>
    </row>
    <row r="27" spans="1:5" ht="12.75">
      <c r="A27" s="22"/>
      <c r="B27" s="22" t="s">
        <v>544</v>
      </c>
      <c r="C27" s="158"/>
      <c r="D27" s="158">
        <v>3133573</v>
      </c>
      <c r="E27" s="158">
        <v>3133573</v>
      </c>
    </row>
    <row r="28" spans="1:5" ht="12.75">
      <c r="A28" s="22"/>
      <c r="B28" s="22" t="s">
        <v>545</v>
      </c>
      <c r="C28" s="158"/>
      <c r="D28" s="158">
        <v>42750</v>
      </c>
      <c r="E28" s="158">
        <v>42750</v>
      </c>
    </row>
    <row r="29" spans="1:5" ht="12.75">
      <c r="A29" s="19" t="s">
        <v>546</v>
      </c>
      <c r="B29" s="19" t="s">
        <v>53</v>
      </c>
      <c r="C29" s="157">
        <v>155035</v>
      </c>
      <c r="D29" s="157">
        <v>155035</v>
      </c>
      <c r="E29" s="157">
        <v>10000</v>
      </c>
    </row>
    <row r="30" spans="1:5" ht="12.75">
      <c r="A30" s="19" t="s">
        <v>547</v>
      </c>
      <c r="B30" s="19" t="s">
        <v>242</v>
      </c>
      <c r="C30" s="157">
        <v>29084864</v>
      </c>
      <c r="D30" s="157">
        <v>21581491</v>
      </c>
      <c r="E30" s="157">
        <v>21581491</v>
      </c>
    </row>
    <row r="31" spans="1:5" ht="12.75">
      <c r="A31" s="19" t="s">
        <v>548</v>
      </c>
      <c r="B31" s="19" t="s">
        <v>54</v>
      </c>
      <c r="C31" s="157">
        <v>0</v>
      </c>
      <c r="D31" s="158">
        <v>0</v>
      </c>
      <c r="E31" s="158"/>
    </row>
    <row r="32" spans="1:5" ht="12.75">
      <c r="A32" s="19" t="s">
        <v>549</v>
      </c>
      <c r="B32" s="19" t="s">
        <v>123</v>
      </c>
      <c r="C32" s="157">
        <v>0</v>
      </c>
      <c r="D32" s="158">
        <v>0</v>
      </c>
      <c r="E32" s="158"/>
    </row>
    <row r="33" spans="1:5" ht="12.75">
      <c r="A33" s="19" t="s">
        <v>550</v>
      </c>
      <c r="B33" s="19" t="s">
        <v>551</v>
      </c>
      <c r="C33" s="157"/>
      <c r="D33" s="193"/>
      <c r="E33" s="182">
        <v>832589</v>
      </c>
    </row>
    <row r="34" spans="1:6" ht="12.75">
      <c r="A34" s="19"/>
      <c r="B34" s="19" t="s">
        <v>116</v>
      </c>
      <c r="C34" s="157">
        <f>SUM(C29:C32,C22,C13,C8)</f>
        <v>68310594</v>
      </c>
      <c r="D34" s="182">
        <f>SUM(D32,D31,D30,D29,D22,D13,D8)</f>
        <v>78235619</v>
      </c>
      <c r="E34" s="182">
        <f>SUM(E33,E30,E29,E22,E13,E8)</f>
        <v>76655629</v>
      </c>
      <c r="F34" s="116"/>
    </row>
    <row r="35" spans="1:5" ht="12.75">
      <c r="A35" s="15" t="s">
        <v>22</v>
      </c>
      <c r="B35" s="15" t="s">
        <v>22</v>
      </c>
      <c r="C35" s="159"/>
      <c r="D35" s="112"/>
      <c r="E35" s="112"/>
    </row>
    <row r="36" spans="1:5" ht="15">
      <c r="A36" s="40" t="s">
        <v>55</v>
      </c>
      <c r="B36" s="40" t="s">
        <v>15</v>
      </c>
      <c r="C36" s="160"/>
      <c r="D36" s="15"/>
      <c r="E36" s="15"/>
    </row>
    <row r="37" spans="1:5" ht="15">
      <c r="A37" s="40" t="s">
        <v>22</v>
      </c>
      <c r="B37" s="40" t="s">
        <v>22</v>
      </c>
      <c r="C37" s="160"/>
      <c r="D37" s="113"/>
      <c r="E37" s="113"/>
    </row>
    <row r="38" spans="1:6" ht="22.5" customHeight="1">
      <c r="A38" s="19" t="s">
        <v>66</v>
      </c>
      <c r="B38" s="76" t="s">
        <v>292</v>
      </c>
      <c r="C38" s="157">
        <f>SUM(C39)</f>
        <v>1000000</v>
      </c>
      <c r="D38" s="157">
        <f>SUM(C38)</f>
        <v>1000000</v>
      </c>
      <c r="E38" s="157">
        <f>SUM(E39)</f>
        <v>1165894</v>
      </c>
      <c r="F38" s="77"/>
    </row>
    <row r="39" spans="1:6" ht="15" customHeight="1">
      <c r="A39" s="22"/>
      <c r="B39" s="104" t="s">
        <v>293</v>
      </c>
      <c r="C39" s="158">
        <v>1000000</v>
      </c>
      <c r="D39" s="158">
        <v>1000000</v>
      </c>
      <c r="E39" s="158">
        <v>1165894</v>
      </c>
      <c r="F39" s="77"/>
    </row>
    <row r="40" spans="1:6" ht="12.75">
      <c r="A40" s="19" t="s">
        <v>23</v>
      </c>
      <c r="B40" s="19" t="s">
        <v>6</v>
      </c>
      <c r="C40" s="157">
        <f>SUM(C41:C43)</f>
        <v>1270000</v>
      </c>
      <c r="D40" s="157">
        <v>1000000</v>
      </c>
      <c r="E40" s="157">
        <v>1000000</v>
      </c>
      <c r="F40" s="77"/>
    </row>
    <row r="41" spans="1:5" ht="12.75">
      <c r="A41" s="22" t="s">
        <v>47</v>
      </c>
      <c r="B41" s="22" t="s">
        <v>90</v>
      </c>
      <c r="C41" s="158"/>
      <c r="D41" s="158">
        <v>1000000</v>
      </c>
      <c r="E41" s="158">
        <v>1000000</v>
      </c>
    </row>
    <row r="42" spans="1:5" ht="12.75">
      <c r="A42" s="22"/>
      <c r="B42" s="22" t="s">
        <v>345</v>
      </c>
      <c r="C42" s="158"/>
      <c r="D42" s="158"/>
      <c r="E42" s="158"/>
    </row>
    <row r="43" spans="1:5" ht="12.75">
      <c r="A43" s="22" t="s">
        <v>4</v>
      </c>
      <c r="B43" s="22" t="s">
        <v>225</v>
      </c>
      <c r="C43" s="158">
        <v>1270000</v>
      </c>
      <c r="D43" s="22"/>
      <c r="E43" s="22"/>
    </row>
    <row r="44" spans="1:5" ht="12.75">
      <c r="A44" s="19" t="s">
        <v>224</v>
      </c>
      <c r="B44" s="19" t="s">
        <v>203</v>
      </c>
      <c r="C44" s="157">
        <v>19098155</v>
      </c>
      <c r="D44" s="158">
        <v>28723047</v>
      </c>
      <c r="E44" s="158">
        <v>17390309</v>
      </c>
    </row>
    <row r="45" spans="1:5" ht="12.75">
      <c r="A45" s="19" t="s">
        <v>26</v>
      </c>
      <c r="B45" s="19" t="s">
        <v>400</v>
      </c>
      <c r="C45" s="157">
        <v>92016002</v>
      </c>
      <c r="D45" s="158">
        <v>98624102</v>
      </c>
      <c r="E45" s="158">
        <v>98624102</v>
      </c>
    </row>
    <row r="46" spans="1:5" ht="12.75">
      <c r="A46" s="19" t="s">
        <v>27</v>
      </c>
      <c r="B46" s="19" t="s">
        <v>89</v>
      </c>
      <c r="C46" s="157"/>
      <c r="D46" s="158"/>
      <c r="E46" s="158"/>
    </row>
    <row r="47" spans="1:5" ht="12.75">
      <c r="A47" s="19" t="s">
        <v>165</v>
      </c>
      <c r="B47" s="19" t="s">
        <v>91</v>
      </c>
      <c r="C47" s="157"/>
      <c r="D47" s="158"/>
      <c r="E47" s="158"/>
    </row>
    <row r="48" spans="1:5" ht="12.75">
      <c r="A48" s="19" t="s">
        <v>43</v>
      </c>
      <c r="B48" s="19" t="s">
        <v>92</v>
      </c>
      <c r="C48" s="157"/>
      <c r="D48" s="158"/>
      <c r="E48" s="158"/>
    </row>
    <row r="49" spans="1:5" s="4" customFormat="1" ht="12.75">
      <c r="A49" s="19"/>
      <c r="B49" s="19" t="s">
        <v>117</v>
      </c>
      <c r="C49" s="157">
        <f>SUM(C44:C45,C40,C38)</f>
        <v>113384157</v>
      </c>
      <c r="D49" s="182">
        <f>SUM(D48,D47,D46,D45,D44,D40,D38,)</f>
        <v>129347149</v>
      </c>
      <c r="E49" s="157">
        <f>SUM(E44:E48,E40,E38)</f>
        <v>118180305</v>
      </c>
    </row>
    <row r="50" spans="1:5" ht="15">
      <c r="A50" s="19"/>
      <c r="B50" s="55" t="s">
        <v>93</v>
      </c>
      <c r="C50" s="163">
        <f>SUM(C49,C34)</f>
        <v>181694751</v>
      </c>
      <c r="D50" s="163">
        <f>SUM(D49,D34)</f>
        <v>207582768</v>
      </c>
      <c r="E50" s="187">
        <f>SUM(E49,E34)</f>
        <v>194835934</v>
      </c>
    </row>
    <row r="52" s="34" customFormat="1" ht="15">
      <c r="E52" s="115"/>
    </row>
    <row r="53" s="34" customFormat="1" ht="15"/>
    <row r="54" s="34" customFormat="1" ht="15"/>
    <row r="55" s="34" customFormat="1" ht="15"/>
  </sheetData>
  <sheetProtection/>
  <mergeCells count="1">
    <mergeCell ref="C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33" customWidth="1"/>
    <col min="2" max="2" width="50.8515625" style="33" bestFit="1" customWidth="1"/>
    <col min="3" max="3" width="16.28125" style="33" bestFit="1" customWidth="1"/>
    <col min="4" max="4" width="15.28125" style="33" bestFit="1" customWidth="1"/>
    <col min="5" max="5" width="16.28125" style="33" bestFit="1" customWidth="1"/>
    <col min="6" max="7" width="15.28125" style="33" bestFit="1" customWidth="1"/>
    <col min="8" max="8" width="12.57421875" style="33" bestFit="1" customWidth="1"/>
    <col min="9" max="10" width="16.28125" style="33" bestFit="1" customWidth="1"/>
    <col min="11" max="14" width="7.7109375" style="33" customWidth="1"/>
    <col min="15" max="15" width="9.00390625" style="33" customWidth="1"/>
    <col min="16" max="16384" width="9.140625" style="33" customWidth="1"/>
  </cols>
  <sheetData>
    <row r="1" spans="2:5" ht="12.75">
      <c r="B1" s="33" t="s">
        <v>582</v>
      </c>
      <c r="E1" s="33" t="s">
        <v>272</v>
      </c>
    </row>
    <row r="3" spans="1:10" ht="17.25">
      <c r="A3" s="34" t="s">
        <v>166</v>
      </c>
      <c r="B3" s="56"/>
      <c r="C3" s="56"/>
      <c r="J3" s="122" t="s">
        <v>260</v>
      </c>
    </row>
    <row r="4" spans="1:10" ht="17.25">
      <c r="A4" s="27"/>
      <c r="B4" s="121"/>
      <c r="C4" s="124" t="s">
        <v>17</v>
      </c>
      <c r="D4" s="124" t="s">
        <v>253</v>
      </c>
      <c r="E4" s="124" t="s">
        <v>254</v>
      </c>
      <c r="F4" s="124" t="s">
        <v>255</v>
      </c>
      <c r="G4" s="124" t="s">
        <v>256</v>
      </c>
      <c r="H4" s="124" t="s">
        <v>257</v>
      </c>
      <c r="I4" s="123" t="s">
        <v>258</v>
      </c>
      <c r="J4" s="123" t="s">
        <v>259</v>
      </c>
    </row>
    <row r="5" spans="1:15" s="133" customFormat="1" ht="15">
      <c r="A5" s="129" t="s">
        <v>3</v>
      </c>
      <c r="B5" s="129" t="s">
        <v>245</v>
      </c>
      <c r="C5" s="168"/>
      <c r="D5" s="168"/>
      <c r="E5" s="168">
        <v>438351</v>
      </c>
      <c r="F5" s="168"/>
      <c r="G5" s="168">
        <v>618800</v>
      </c>
      <c r="H5" s="168"/>
      <c r="I5" s="169">
        <f>SUM(C5:H5)</f>
        <v>1057151</v>
      </c>
      <c r="J5" s="169">
        <f aca="true" t="shared" si="0" ref="J5:J35">SUM(I5)</f>
        <v>1057151</v>
      </c>
      <c r="K5" s="131"/>
      <c r="L5" s="131"/>
      <c r="M5" s="131"/>
      <c r="N5" s="132"/>
      <c r="O5" s="131"/>
    </row>
    <row r="6" spans="1:15" s="133" customFormat="1" ht="15">
      <c r="A6" s="129" t="s">
        <v>4</v>
      </c>
      <c r="B6" s="129" t="s">
        <v>246</v>
      </c>
      <c r="C6" s="168"/>
      <c r="D6" s="168"/>
      <c r="E6" s="168">
        <v>631016</v>
      </c>
      <c r="F6" s="168"/>
      <c r="G6" s="168"/>
      <c r="H6" s="168"/>
      <c r="I6" s="169">
        <f aca="true" t="shared" si="1" ref="I6:I35">SUM(C6:H6)</f>
        <v>631016</v>
      </c>
      <c r="J6" s="169">
        <f t="shared" si="0"/>
        <v>631016</v>
      </c>
      <c r="K6" s="131"/>
      <c r="L6" s="131"/>
      <c r="M6" s="131"/>
      <c r="N6" s="132"/>
      <c r="O6" s="131"/>
    </row>
    <row r="7" spans="1:15" s="133" customFormat="1" ht="15">
      <c r="A7" s="129" t="s">
        <v>9</v>
      </c>
      <c r="B7" s="129" t="s">
        <v>247</v>
      </c>
      <c r="C7" s="168"/>
      <c r="D7" s="168"/>
      <c r="E7" s="168">
        <v>579676</v>
      </c>
      <c r="F7" s="168"/>
      <c r="G7" s="168"/>
      <c r="H7" s="168"/>
      <c r="I7" s="169">
        <f t="shared" si="1"/>
        <v>579676</v>
      </c>
      <c r="J7" s="169">
        <f t="shared" si="0"/>
        <v>579676</v>
      </c>
      <c r="K7" s="131"/>
      <c r="L7" s="131"/>
      <c r="M7" s="131"/>
      <c r="N7" s="132"/>
      <c r="O7" s="131"/>
    </row>
    <row r="8" spans="1:15" s="133" customFormat="1" ht="15">
      <c r="A8" s="129" t="s">
        <v>10</v>
      </c>
      <c r="B8" s="129" t="s">
        <v>252</v>
      </c>
      <c r="C8" s="168">
        <v>4140443</v>
      </c>
      <c r="D8" s="168">
        <v>789875</v>
      </c>
      <c r="E8" s="168">
        <v>2991448</v>
      </c>
      <c r="F8" s="168"/>
      <c r="G8" s="168">
        <v>1236821</v>
      </c>
      <c r="H8" s="168"/>
      <c r="I8" s="169">
        <f t="shared" si="1"/>
        <v>9158587</v>
      </c>
      <c r="J8" s="169">
        <f t="shared" si="0"/>
        <v>9158587</v>
      </c>
      <c r="K8" s="131"/>
      <c r="L8" s="131"/>
      <c r="M8" s="131"/>
      <c r="N8" s="132"/>
      <c r="O8" s="131"/>
    </row>
    <row r="9" spans="1:15" s="133" customFormat="1" ht="15">
      <c r="A9" s="129" t="s">
        <v>67</v>
      </c>
      <c r="B9" s="129" t="s">
        <v>243</v>
      </c>
      <c r="C9" s="168">
        <v>1188690</v>
      </c>
      <c r="D9" s="168">
        <v>238867</v>
      </c>
      <c r="E9" s="168">
        <v>2026632</v>
      </c>
      <c r="F9" s="168"/>
      <c r="G9" s="168"/>
      <c r="H9" s="168"/>
      <c r="I9" s="169">
        <f t="shared" si="1"/>
        <v>3454189</v>
      </c>
      <c r="J9" s="169">
        <f t="shared" si="0"/>
        <v>3454189</v>
      </c>
      <c r="K9" s="131"/>
      <c r="L9" s="131"/>
      <c r="M9" s="131"/>
      <c r="N9" s="132"/>
      <c r="O9" s="131"/>
    </row>
    <row r="10" spans="1:15" s="133" customFormat="1" ht="15">
      <c r="A10" s="129" t="s">
        <v>68</v>
      </c>
      <c r="B10" s="129" t="s">
        <v>248</v>
      </c>
      <c r="C10" s="168"/>
      <c r="D10" s="168"/>
      <c r="E10" s="168">
        <v>1610274</v>
      </c>
      <c r="F10" s="168"/>
      <c r="G10" s="168"/>
      <c r="H10" s="168"/>
      <c r="I10" s="169">
        <f t="shared" si="1"/>
        <v>1610274</v>
      </c>
      <c r="J10" s="169">
        <f t="shared" si="0"/>
        <v>1610274</v>
      </c>
      <c r="K10" s="131"/>
      <c r="L10" s="131"/>
      <c r="M10" s="131"/>
      <c r="N10" s="132"/>
      <c r="O10" s="131"/>
    </row>
    <row r="11" spans="1:15" s="133" customFormat="1" ht="15">
      <c r="A11" s="129" t="s">
        <v>12</v>
      </c>
      <c r="B11" s="129" t="s">
        <v>297</v>
      </c>
      <c r="C11" s="170"/>
      <c r="D11" s="170"/>
      <c r="E11" s="170">
        <v>325095</v>
      </c>
      <c r="F11" s="170"/>
      <c r="G11" s="171"/>
      <c r="H11" s="170"/>
      <c r="I11" s="169">
        <f t="shared" si="1"/>
        <v>325095</v>
      </c>
      <c r="J11" s="169">
        <f t="shared" si="0"/>
        <v>325095</v>
      </c>
      <c r="K11" s="131"/>
      <c r="L11" s="131"/>
      <c r="M11" s="131"/>
      <c r="N11" s="132"/>
      <c r="O11" s="131"/>
    </row>
    <row r="12" spans="1:15" s="133" customFormat="1" ht="15">
      <c r="A12" s="129" t="s">
        <v>95</v>
      </c>
      <c r="B12" s="129" t="s">
        <v>298</v>
      </c>
      <c r="C12" s="168">
        <v>2457008</v>
      </c>
      <c r="D12" s="168">
        <v>239553</v>
      </c>
      <c r="E12" s="168">
        <v>273095</v>
      </c>
      <c r="F12" s="168"/>
      <c r="G12" s="171"/>
      <c r="H12" s="168"/>
      <c r="I12" s="169">
        <f t="shared" si="1"/>
        <v>2969656</v>
      </c>
      <c r="J12" s="169">
        <f>SUM(I12)</f>
        <v>2969656</v>
      </c>
      <c r="K12" s="131"/>
      <c r="L12" s="131"/>
      <c r="M12" s="131"/>
      <c r="N12" s="132"/>
      <c r="O12" s="131"/>
    </row>
    <row r="13" spans="1:15" s="133" customFormat="1" ht="15">
      <c r="A13" s="129" t="s">
        <v>97</v>
      </c>
      <c r="B13" s="129" t="s">
        <v>329</v>
      </c>
      <c r="C13" s="168">
        <v>3839671</v>
      </c>
      <c r="D13" s="168">
        <v>430935</v>
      </c>
      <c r="E13" s="168">
        <v>1040605</v>
      </c>
      <c r="F13" s="168"/>
      <c r="G13" s="171"/>
      <c r="H13" s="168"/>
      <c r="I13" s="169">
        <f t="shared" si="1"/>
        <v>5311211</v>
      </c>
      <c r="J13" s="169">
        <f>SUM(I13)</f>
        <v>5311211</v>
      </c>
      <c r="K13" s="131"/>
      <c r="L13" s="131"/>
      <c r="M13" s="131"/>
      <c r="N13" s="132"/>
      <c r="O13" s="131"/>
    </row>
    <row r="14" spans="1:15" s="133" customFormat="1" ht="15">
      <c r="A14" s="129" t="s">
        <v>98</v>
      </c>
      <c r="B14" s="129" t="s">
        <v>552</v>
      </c>
      <c r="C14" s="168"/>
      <c r="D14" s="168"/>
      <c r="E14" s="168">
        <v>6600</v>
      </c>
      <c r="F14" s="168"/>
      <c r="G14" s="168"/>
      <c r="H14" s="168"/>
      <c r="I14" s="169">
        <f t="shared" si="1"/>
        <v>6600</v>
      </c>
      <c r="J14" s="169">
        <f t="shared" si="0"/>
        <v>6600</v>
      </c>
      <c r="K14" s="131"/>
      <c r="L14" s="131"/>
      <c r="M14" s="131"/>
      <c r="N14" s="132"/>
      <c r="O14" s="131"/>
    </row>
    <row r="15" spans="1:15" s="133" customFormat="1" ht="15">
      <c r="A15" s="129" t="s">
        <v>99</v>
      </c>
      <c r="B15" s="129" t="s">
        <v>301</v>
      </c>
      <c r="C15" s="168"/>
      <c r="D15" s="168"/>
      <c r="E15" s="168">
        <v>233069</v>
      </c>
      <c r="F15" s="168">
        <v>4868620</v>
      </c>
      <c r="G15" s="168">
        <v>100000</v>
      </c>
      <c r="H15" s="168"/>
      <c r="I15" s="169">
        <f t="shared" si="1"/>
        <v>5201689</v>
      </c>
      <c r="J15" s="169">
        <f t="shared" si="0"/>
        <v>5201689</v>
      </c>
      <c r="K15" s="131"/>
      <c r="L15" s="131"/>
      <c r="M15" s="131"/>
      <c r="N15" s="132"/>
      <c r="O15" s="131"/>
    </row>
    <row r="16" spans="1:15" s="133" customFormat="1" ht="15">
      <c r="A16" s="129" t="s">
        <v>234</v>
      </c>
      <c r="B16" s="129" t="s">
        <v>244</v>
      </c>
      <c r="C16" s="168">
        <v>2662316</v>
      </c>
      <c r="D16" s="168">
        <v>515496</v>
      </c>
      <c r="E16" s="168">
        <v>1028576</v>
      </c>
      <c r="F16" s="168"/>
      <c r="G16" s="168"/>
      <c r="H16" s="168"/>
      <c r="I16" s="169">
        <f t="shared" si="1"/>
        <v>4206388</v>
      </c>
      <c r="J16" s="169">
        <f t="shared" si="0"/>
        <v>4206388</v>
      </c>
      <c r="K16" s="131"/>
      <c r="L16" s="131"/>
      <c r="M16" s="131"/>
      <c r="N16" s="132"/>
      <c r="O16" s="131"/>
    </row>
    <row r="17" spans="1:15" s="133" customFormat="1" ht="15">
      <c r="A17" s="129" t="s">
        <v>100</v>
      </c>
      <c r="B17" s="129" t="s">
        <v>346</v>
      </c>
      <c r="C17" s="168"/>
      <c r="D17" s="168"/>
      <c r="E17" s="168"/>
      <c r="F17" s="168"/>
      <c r="G17" s="168"/>
      <c r="H17" s="168"/>
      <c r="I17" s="169">
        <f t="shared" si="1"/>
        <v>0</v>
      </c>
      <c r="J17" s="169">
        <f t="shared" si="0"/>
        <v>0</v>
      </c>
      <c r="K17" s="131"/>
      <c r="L17" s="131"/>
      <c r="M17" s="131"/>
      <c r="N17" s="132"/>
      <c r="O17" s="131"/>
    </row>
    <row r="18" spans="1:15" s="133" customFormat="1" ht="15">
      <c r="A18" s="129" t="s">
        <v>235</v>
      </c>
      <c r="B18" s="129" t="s">
        <v>299</v>
      </c>
      <c r="C18" s="168"/>
      <c r="D18" s="168"/>
      <c r="E18" s="168"/>
      <c r="F18" s="168"/>
      <c r="G18" s="168"/>
      <c r="H18" s="168"/>
      <c r="I18" s="169">
        <f t="shared" si="1"/>
        <v>0</v>
      </c>
      <c r="J18" s="169">
        <f t="shared" si="0"/>
        <v>0</v>
      </c>
      <c r="K18" s="131"/>
      <c r="L18" s="131"/>
      <c r="M18" s="131"/>
      <c r="N18" s="132"/>
      <c r="O18" s="131"/>
    </row>
    <row r="19" spans="1:15" s="133" customFormat="1" ht="15">
      <c r="A19" s="129" t="s">
        <v>101</v>
      </c>
      <c r="B19" s="129" t="s">
        <v>348</v>
      </c>
      <c r="C19" s="168"/>
      <c r="D19" s="168"/>
      <c r="E19" s="168"/>
      <c r="F19" s="168"/>
      <c r="G19" s="168"/>
      <c r="H19" s="168"/>
      <c r="I19" s="169">
        <f t="shared" si="1"/>
        <v>0</v>
      </c>
      <c r="J19" s="169">
        <f t="shared" si="0"/>
        <v>0</v>
      </c>
      <c r="K19" s="131"/>
      <c r="L19" s="131"/>
      <c r="M19" s="131"/>
      <c r="N19" s="132"/>
      <c r="O19" s="131"/>
    </row>
    <row r="20" spans="1:15" s="133" customFormat="1" ht="15">
      <c r="A20" s="129" t="s">
        <v>102</v>
      </c>
      <c r="B20" s="129" t="s">
        <v>250</v>
      </c>
      <c r="C20" s="168"/>
      <c r="D20" s="168"/>
      <c r="E20" s="168"/>
      <c r="F20" s="168"/>
      <c r="G20" s="168"/>
      <c r="H20" s="168"/>
      <c r="I20" s="169">
        <f t="shared" si="1"/>
        <v>0</v>
      </c>
      <c r="J20" s="169">
        <f t="shared" si="0"/>
        <v>0</v>
      </c>
      <c r="K20" s="131"/>
      <c r="L20" s="131"/>
      <c r="M20" s="131"/>
      <c r="N20" s="132"/>
      <c r="O20" s="131"/>
    </row>
    <row r="21" spans="1:15" s="133" customFormat="1" ht="15">
      <c r="A21" s="129" t="s">
        <v>223</v>
      </c>
      <c r="B21" s="129" t="s">
        <v>347</v>
      </c>
      <c r="C21" s="168"/>
      <c r="D21" s="168"/>
      <c r="E21" s="168"/>
      <c r="F21" s="168"/>
      <c r="G21" s="168"/>
      <c r="H21" s="168"/>
      <c r="I21" s="169">
        <f t="shared" si="1"/>
        <v>0</v>
      </c>
      <c r="J21" s="169">
        <f t="shared" si="0"/>
        <v>0</v>
      </c>
      <c r="K21" s="131"/>
      <c r="L21" s="131"/>
      <c r="M21" s="131"/>
      <c r="N21" s="132"/>
      <c r="O21" s="131"/>
    </row>
    <row r="22" spans="1:15" s="133" customFormat="1" ht="15">
      <c r="A22" s="129" t="s">
        <v>103</v>
      </c>
      <c r="B22" s="129" t="s">
        <v>249</v>
      </c>
      <c r="C22" s="168"/>
      <c r="D22" s="168"/>
      <c r="E22" s="168"/>
      <c r="F22" s="168"/>
      <c r="G22" s="168"/>
      <c r="H22" s="168"/>
      <c r="I22" s="169">
        <f t="shared" si="1"/>
        <v>0</v>
      </c>
      <c r="J22" s="169">
        <f t="shared" si="0"/>
        <v>0</v>
      </c>
      <c r="K22" s="131"/>
      <c r="L22" s="131"/>
      <c r="M22" s="131"/>
      <c r="N22" s="132"/>
      <c r="O22" s="131"/>
    </row>
    <row r="23" spans="1:15" s="133" customFormat="1" ht="15">
      <c r="A23" s="129" t="s">
        <v>104</v>
      </c>
      <c r="B23" s="129" t="s">
        <v>331</v>
      </c>
      <c r="C23" s="168"/>
      <c r="D23" s="168"/>
      <c r="E23" s="168">
        <v>150343</v>
      </c>
      <c r="F23" s="168"/>
      <c r="G23" s="168"/>
      <c r="H23" s="168"/>
      <c r="I23" s="169">
        <f t="shared" si="1"/>
        <v>150343</v>
      </c>
      <c r="J23" s="169">
        <f t="shared" si="0"/>
        <v>150343</v>
      </c>
      <c r="K23" s="131"/>
      <c r="L23" s="131"/>
      <c r="M23" s="131"/>
      <c r="N23" s="132"/>
      <c r="O23" s="131"/>
    </row>
    <row r="24" spans="1:15" s="133" customFormat="1" ht="15">
      <c r="A24" s="129" t="s">
        <v>283</v>
      </c>
      <c r="B24" s="129" t="s">
        <v>300</v>
      </c>
      <c r="C24" s="168">
        <v>309652</v>
      </c>
      <c r="D24" s="168"/>
      <c r="E24" s="168">
        <v>983710</v>
      </c>
      <c r="F24" s="168"/>
      <c r="G24" s="168">
        <v>0</v>
      </c>
      <c r="H24" s="168"/>
      <c r="I24" s="169">
        <f t="shared" si="1"/>
        <v>1293362</v>
      </c>
      <c r="J24" s="169">
        <f t="shared" si="0"/>
        <v>1293362</v>
      </c>
      <c r="K24" s="131"/>
      <c r="L24" s="131"/>
      <c r="M24" s="131"/>
      <c r="N24" s="132"/>
      <c r="O24" s="131"/>
    </row>
    <row r="25" spans="1:15" s="133" customFormat="1" ht="15">
      <c r="A25" s="129" t="s">
        <v>105</v>
      </c>
      <c r="B25" s="129" t="s">
        <v>279</v>
      </c>
      <c r="C25" s="168">
        <v>90000</v>
      </c>
      <c r="D25" s="168">
        <v>15795</v>
      </c>
      <c r="E25" s="168">
        <v>5940</v>
      </c>
      <c r="F25" s="168"/>
      <c r="G25" s="168"/>
      <c r="H25" s="168"/>
      <c r="I25" s="169">
        <f t="shared" si="1"/>
        <v>111735</v>
      </c>
      <c r="J25" s="169">
        <f t="shared" si="0"/>
        <v>111735</v>
      </c>
      <c r="K25" s="131"/>
      <c r="L25" s="131"/>
      <c r="M25" s="131"/>
      <c r="N25" s="132"/>
      <c r="O25" s="131"/>
    </row>
    <row r="26" spans="1:15" s="133" customFormat="1" ht="15">
      <c r="A26" s="129" t="s">
        <v>350</v>
      </c>
      <c r="B26" s="129" t="s">
        <v>251</v>
      </c>
      <c r="C26" s="168"/>
      <c r="D26" s="168"/>
      <c r="E26" s="168">
        <v>7299</v>
      </c>
      <c r="F26" s="168"/>
      <c r="G26" s="168"/>
      <c r="H26" s="168"/>
      <c r="I26" s="169">
        <f t="shared" si="1"/>
        <v>7299</v>
      </c>
      <c r="J26" s="169">
        <f t="shared" si="0"/>
        <v>7299</v>
      </c>
      <c r="K26" s="131"/>
      <c r="L26" s="131"/>
      <c r="M26" s="131"/>
      <c r="N26" s="132"/>
      <c r="O26" s="131"/>
    </row>
    <row r="27" spans="1:15" s="133" customFormat="1" ht="15">
      <c r="A27" s="129" t="s">
        <v>351</v>
      </c>
      <c r="B27" s="129" t="s">
        <v>328</v>
      </c>
      <c r="C27" s="168"/>
      <c r="D27" s="168"/>
      <c r="E27" s="168">
        <v>145265</v>
      </c>
      <c r="F27" s="168"/>
      <c r="G27" s="168"/>
      <c r="H27" s="168"/>
      <c r="I27" s="169">
        <f t="shared" si="1"/>
        <v>145265</v>
      </c>
      <c r="J27" s="169">
        <f t="shared" si="0"/>
        <v>145265</v>
      </c>
      <c r="K27" s="131"/>
      <c r="L27" s="131"/>
      <c r="M27" s="131"/>
      <c r="N27" s="132"/>
      <c r="O27" s="131"/>
    </row>
    <row r="28" spans="1:15" s="133" customFormat="1" ht="15">
      <c r="A28" s="129" t="s">
        <v>352</v>
      </c>
      <c r="B28" s="129" t="s">
        <v>302</v>
      </c>
      <c r="C28" s="168"/>
      <c r="D28" s="168"/>
      <c r="E28" s="168"/>
      <c r="F28" s="168"/>
      <c r="G28" s="168">
        <v>1396441</v>
      </c>
      <c r="H28" s="168">
        <v>863342</v>
      </c>
      <c r="I28" s="169">
        <f t="shared" si="1"/>
        <v>2259783</v>
      </c>
      <c r="J28" s="169">
        <f t="shared" si="0"/>
        <v>2259783</v>
      </c>
      <c r="K28" s="131"/>
      <c r="L28" s="131"/>
      <c r="M28" s="131"/>
      <c r="N28" s="132"/>
      <c r="O28" s="131"/>
    </row>
    <row r="29" spans="1:15" s="133" customFormat="1" ht="15">
      <c r="A29" s="129" t="s">
        <v>353</v>
      </c>
      <c r="B29" s="129" t="s">
        <v>349</v>
      </c>
      <c r="C29" s="168"/>
      <c r="D29" s="168"/>
      <c r="E29" s="168"/>
      <c r="F29" s="168"/>
      <c r="G29" s="168">
        <v>10000</v>
      </c>
      <c r="H29" s="168"/>
      <c r="I29" s="169">
        <f t="shared" si="1"/>
        <v>10000</v>
      </c>
      <c r="J29" s="169">
        <f t="shared" si="0"/>
        <v>10000</v>
      </c>
      <c r="K29" s="131"/>
      <c r="L29" s="131"/>
      <c r="M29" s="131"/>
      <c r="N29" s="132"/>
      <c r="O29" s="131"/>
    </row>
    <row r="30" spans="1:15" s="133" customFormat="1" ht="15">
      <c r="A30" s="129" t="s">
        <v>355</v>
      </c>
      <c r="B30" s="129" t="s">
        <v>354</v>
      </c>
      <c r="C30" s="168"/>
      <c r="D30" s="168"/>
      <c r="E30" s="168"/>
      <c r="F30" s="168"/>
      <c r="G30" s="168"/>
      <c r="H30" s="168"/>
      <c r="I30" s="169">
        <f t="shared" si="1"/>
        <v>0</v>
      </c>
      <c r="J30" s="169">
        <f t="shared" si="0"/>
        <v>0</v>
      </c>
      <c r="K30" s="131"/>
      <c r="L30" s="131"/>
      <c r="M30" s="131"/>
      <c r="N30" s="132"/>
      <c r="O30" s="131"/>
    </row>
    <row r="31" spans="1:15" s="133" customFormat="1" ht="15">
      <c r="A31" s="129" t="s">
        <v>401</v>
      </c>
      <c r="B31" s="129" t="s">
        <v>402</v>
      </c>
      <c r="C31" s="168"/>
      <c r="D31" s="168"/>
      <c r="E31" s="168"/>
      <c r="F31" s="168"/>
      <c r="G31" s="168"/>
      <c r="H31" s="168"/>
      <c r="I31" s="169">
        <f t="shared" si="1"/>
        <v>0</v>
      </c>
      <c r="J31" s="169">
        <f t="shared" si="0"/>
        <v>0</v>
      </c>
      <c r="K31" s="131"/>
      <c r="L31" s="131"/>
      <c r="M31" s="131"/>
      <c r="N31" s="132"/>
      <c r="O31" s="131"/>
    </row>
    <row r="32" spans="1:15" s="133" customFormat="1" ht="15">
      <c r="A32" s="129" t="s">
        <v>403</v>
      </c>
      <c r="B32" s="129" t="s">
        <v>404</v>
      </c>
      <c r="C32" s="168"/>
      <c r="D32" s="168"/>
      <c r="E32" s="168">
        <v>262799</v>
      </c>
      <c r="F32" s="168"/>
      <c r="G32" s="168"/>
      <c r="H32" s="168"/>
      <c r="I32" s="169">
        <f t="shared" si="1"/>
        <v>262799</v>
      </c>
      <c r="J32" s="169">
        <f t="shared" si="0"/>
        <v>262799</v>
      </c>
      <c r="K32" s="131"/>
      <c r="L32" s="131"/>
      <c r="M32" s="131"/>
      <c r="N32" s="132"/>
      <c r="O32" s="131"/>
    </row>
    <row r="33" spans="1:15" s="133" customFormat="1" ht="15">
      <c r="A33" s="129"/>
      <c r="B33" s="129" t="s">
        <v>553</v>
      </c>
      <c r="C33" s="168"/>
      <c r="D33" s="168"/>
      <c r="E33" s="168">
        <v>766</v>
      </c>
      <c r="F33" s="168"/>
      <c r="G33" s="168"/>
      <c r="H33" s="168"/>
      <c r="I33" s="169">
        <f t="shared" si="1"/>
        <v>766</v>
      </c>
      <c r="J33" s="169">
        <f t="shared" si="0"/>
        <v>766</v>
      </c>
      <c r="K33" s="131"/>
      <c r="L33" s="131"/>
      <c r="M33" s="131"/>
      <c r="N33" s="132"/>
      <c r="O33" s="131"/>
    </row>
    <row r="34" spans="1:15" s="133" customFormat="1" ht="15">
      <c r="A34" s="129"/>
      <c r="B34" s="129" t="s">
        <v>554</v>
      </c>
      <c r="C34" s="168"/>
      <c r="D34" s="168"/>
      <c r="E34" s="168">
        <v>355600</v>
      </c>
      <c r="F34" s="168"/>
      <c r="G34" s="168"/>
      <c r="H34" s="168"/>
      <c r="I34" s="169">
        <f t="shared" si="1"/>
        <v>355600</v>
      </c>
      <c r="J34" s="169">
        <f t="shared" si="0"/>
        <v>355600</v>
      </c>
      <c r="K34" s="131"/>
      <c r="L34" s="131"/>
      <c r="M34" s="131"/>
      <c r="N34" s="132"/>
      <c r="O34" s="131"/>
    </row>
    <row r="35" spans="1:15" s="133" customFormat="1" ht="15">
      <c r="A35" s="129"/>
      <c r="B35" s="129" t="s">
        <v>555</v>
      </c>
      <c r="C35" s="168"/>
      <c r="D35" s="168"/>
      <c r="E35" s="168"/>
      <c r="F35" s="168"/>
      <c r="G35" s="168">
        <v>2526772</v>
      </c>
      <c r="H35" s="168"/>
      <c r="I35" s="169">
        <f t="shared" si="1"/>
        <v>2526772</v>
      </c>
      <c r="J35" s="169">
        <f t="shared" si="0"/>
        <v>2526772</v>
      </c>
      <c r="K35" s="131"/>
      <c r="L35" s="131"/>
      <c r="M35" s="131"/>
      <c r="N35" s="132"/>
      <c r="O35" s="131"/>
    </row>
    <row r="36" spans="1:15" s="133" customFormat="1" ht="15">
      <c r="A36" s="129"/>
      <c r="B36" s="130" t="s">
        <v>96</v>
      </c>
      <c r="C36" s="169">
        <f aca="true" t="shared" si="2" ref="C36:H36">SUM(C5:C35)</f>
        <v>14687780</v>
      </c>
      <c r="D36" s="169">
        <f t="shared" si="2"/>
        <v>2230521</v>
      </c>
      <c r="E36" s="169">
        <f t="shared" si="2"/>
        <v>13096159</v>
      </c>
      <c r="F36" s="169">
        <f t="shared" si="2"/>
        <v>4868620</v>
      </c>
      <c r="G36" s="169">
        <f t="shared" si="2"/>
        <v>5888834</v>
      </c>
      <c r="H36" s="169">
        <f t="shared" si="2"/>
        <v>863342</v>
      </c>
      <c r="I36" s="169">
        <f>SUM(C36:H36)</f>
        <v>41635256</v>
      </c>
      <c r="J36" s="169">
        <f>SUM(J5:J35)</f>
        <v>41635256</v>
      </c>
      <c r="K36" s="131"/>
      <c r="L36" s="131"/>
      <c r="M36" s="131"/>
      <c r="N36" s="132"/>
      <c r="O36" s="131"/>
    </row>
    <row r="37" spans="1:15" ht="15">
      <c r="A37" s="15"/>
      <c r="B37" s="57"/>
      <c r="C37" s="15"/>
      <c r="D37" s="15"/>
      <c r="E37" s="15"/>
      <c r="F37" s="15"/>
      <c r="G37" s="15"/>
      <c r="H37" s="15"/>
      <c r="I37" s="15"/>
      <c r="J37" s="15"/>
      <c r="K37" s="42"/>
      <c r="L37" s="42"/>
      <c r="M37" s="42"/>
      <c r="N37" s="40"/>
      <c r="O37" s="4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8.140625" style="0" bestFit="1" customWidth="1"/>
    <col min="2" max="2" width="13.7109375" style="0" bestFit="1" customWidth="1"/>
    <col min="3" max="4" width="11.00390625" style="0" bestFit="1" customWidth="1"/>
    <col min="5" max="5" width="12.57421875" style="0" bestFit="1" customWidth="1"/>
    <col min="6" max="6" width="13.7109375" style="0" bestFit="1" customWidth="1"/>
    <col min="7" max="7" width="14.7109375" style="0" bestFit="1" customWidth="1"/>
    <col min="8" max="8" width="12.57421875" style="0" bestFit="1" customWidth="1"/>
    <col min="9" max="9" width="12.7109375" style="0" customWidth="1"/>
    <col min="10" max="10" width="13.00390625" style="0" customWidth="1"/>
    <col min="11" max="12" width="12.57421875" style="0" bestFit="1" customWidth="1"/>
    <col min="13" max="13" width="11.00390625" style="0" bestFit="1" customWidth="1"/>
    <col min="14" max="14" width="10.00390625" style="0" bestFit="1" customWidth="1"/>
    <col min="15" max="15" width="13.7109375" style="0" bestFit="1" customWidth="1"/>
    <col min="16" max="16" width="0.13671875" style="0" customWidth="1"/>
  </cols>
  <sheetData>
    <row r="1" spans="1:7" s="4" customFormat="1" ht="12.75">
      <c r="A1" s="4" t="s">
        <v>583</v>
      </c>
      <c r="G1" s="4" t="s">
        <v>272</v>
      </c>
    </row>
    <row r="3" spans="1:7" ht="17.25" customHeight="1">
      <c r="A3" s="2" t="s">
        <v>131</v>
      </c>
      <c r="B3" s="22" t="s">
        <v>132</v>
      </c>
      <c r="C3" s="2" t="s">
        <v>133</v>
      </c>
      <c r="D3" s="2" t="s">
        <v>134</v>
      </c>
      <c r="E3" s="22" t="s">
        <v>303</v>
      </c>
      <c r="F3" s="22" t="s">
        <v>304</v>
      </c>
      <c r="G3" s="22" t="s">
        <v>280</v>
      </c>
    </row>
    <row r="4" spans="1:15" ht="19.5" customHeight="1">
      <c r="A4" s="2" t="s">
        <v>135</v>
      </c>
      <c r="B4" s="172">
        <v>3936480</v>
      </c>
      <c r="C4" s="172"/>
      <c r="D4" s="172">
        <v>203963</v>
      </c>
      <c r="E4" s="157"/>
      <c r="F4" s="157">
        <f aca="true" t="shared" si="0" ref="F4:F11">SUM(B4:E4)</f>
        <v>4140443</v>
      </c>
      <c r="G4" s="172">
        <v>789875</v>
      </c>
      <c r="H4" s="162"/>
      <c r="I4" s="162"/>
      <c r="J4" s="162"/>
      <c r="K4" s="162"/>
      <c r="L4" s="173"/>
      <c r="M4" s="173"/>
      <c r="N4" s="173"/>
      <c r="O4" s="162"/>
    </row>
    <row r="5" spans="1:15" ht="18.75" customHeight="1">
      <c r="A5" s="2" t="s">
        <v>136</v>
      </c>
      <c r="B5" s="172">
        <v>822800</v>
      </c>
      <c r="C5" s="172">
        <f>138000+7440+18200</f>
        <v>163640</v>
      </c>
      <c r="D5" s="172">
        <v>192900</v>
      </c>
      <c r="E5" s="158">
        <v>9350</v>
      </c>
      <c r="F5" s="157">
        <f>SUM(B5:E5)</f>
        <v>1188690</v>
      </c>
      <c r="G5" s="172">
        <v>238867</v>
      </c>
      <c r="H5" s="162"/>
      <c r="I5" s="162"/>
      <c r="J5" s="162"/>
      <c r="K5" s="162"/>
      <c r="L5" s="162"/>
      <c r="M5" s="162"/>
      <c r="N5" s="162"/>
      <c r="O5" s="162"/>
    </row>
    <row r="6" spans="1:15" ht="18.75" customHeight="1">
      <c r="A6" s="2" t="s">
        <v>137</v>
      </c>
      <c r="B6" s="172">
        <v>2523516</v>
      </c>
      <c r="C6" s="172">
        <v>89600</v>
      </c>
      <c r="D6" s="172">
        <v>49200</v>
      </c>
      <c r="E6" s="157"/>
      <c r="F6" s="157">
        <f t="shared" si="0"/>
        <v>2662316</v>
      </c>
      <c r="G6" s="172">
        <v>515496</v>
      </c>
      <c r="H6" s="162"/>
      <c r="I6" s="162"/>
      <c r="J6" s="162"/>
      <c r="K6" s="173"/>
      <c r="L6" s="173"/>
      <c r="M6" s="173"/>
      <c r="N6" s="162"/>
      <c r="O6" s="162"/>
    </row>
    <row r="7" spans="1:15" ht="19.5" customHeight="1">
      <c r="A7" s="22" t="s">
        <v>332</v>
      </c>
      <c r="B7" s="172">
        <v>2409449</v>
      </c>
      <c r="C7" s="172">
        <v>47559</v>
      </c>
      <c r="D7" s="172"/>
      <c r="E7" s="157"/>
      <c r="F7" s="157">
        <f t="shared" si="0"/>
        <v>2457008</v>
      </c>
      <c r="G7" s="172">
        <v>239553</v>
      </c>
      <c r="H7" s="162"/>
      <c r="I7" s="162"/>
      <c r="J7" s="162"/>
      <c r="K7" s="162"/>
      <c r="L7" s="162"/>
      <c r="M7" s="162"/>
      <c r="N7" s="162"/>
      <c r="O7" s="162"/>
    </row>
    <row r="8" spans="1:15" ht="19.5" customHeight="1">
      <c r="A8" s="22" t="s">
        <v>333</v>
      </c>
      <c r="B8" s="172">
        <v>3768683</v>
      </c>
      <c r="C8" s="172">
        <v>70988</v>
      </c>
      <c r="D8" s="172"/>
      <c r="E8" s="157"/>
      <c r="F8" s="157">
        <f t="shared" si="0"/>
        <v>3839671</v>
      </c>
      <c r="G8" s="172">
        <v>430935</v>
      </c>
      <c r="H8" s="162"/>
      <c r="I8" s="162"/>
      <c r="J8" s="162"/>
      <c r="K8" s="162"/>
      <c r="L8" s="162"/>
      <c r="M8" s="162"/>
      <c r="N8" s="162"/>
      <c r="O8" s="162"/>
    </row>
    <row r="9" spans="1:15" ht="19.5" customHeight="1">
      <c r="A9" s="22" t="s">
        <v>305</v>
      </c>
      <c r="B9" s="172">
        <v>0</v>
      </c>
      <c r="C9" s="172">
        <v>0</v>
      </c>
      <c r="D9" s="172">
        <v>309652</v>
      </c>
      <c r="E9" s="172">
        <v>0</v>
      </c>
      <c r="F9" s="157">
        <f>SUM(B9:E9)</f>
        <v>309652</v>
      </c>
      <c r="G9" s="172"/>
      <c r="H9" s="162"/>
      <c r="I9" s="162"/>
      <c r="J9" s="162"/>
      <c r="K9" s="162"/>
      <c r="L9" s="162"/>
      <c r="M9" s="162"/>
      <c r="N9" s="162"/>
      <c r="O9" s="162"/>
    </row>
    <row r="10" spans="1:15" ht="19.5" customHeight="1">
      <c r="A10" s="22" t="s">
        <v>195</v>
      </c>
      <c r="B10" s="172"/>
      <c r="C10" s="172"/>
      <c r="D10" s="172">
        <v>90000</v>
      </c>
      <c r="E10" s="172"/>
      <c r="F10" s="157">
        <f>SUM(B10:E10)</f>
        <v>90000</v>
      </c>
      <c r="G10" s="172">
        <v>15795</v>
      </c>
      <c r="H10" s="162"/>
      <c r="I10" s="162"/>
      <c r="J10" s="162"/>
      <c r="K10" s="162"/>
      <c r="L10" s="162"/>
      <c r="M10" s="162"/>
      <c r="N10" s="162"/>
      <c r="O10" s="162"/>
    </row>
    <row r="11" spans="1:15" s="4" customFormat="1" ht="20.25" customHeight="1">
      <c r="A11" s="19" t="s">
        <v>138</v>
      </c>
      <c r="B11" s="157">
        <f>SUM(B4:B9)</f>
        <v>13460928</v>
      </c>
      <c r="C11" s="157">
        <f>SUM(C4:C8)</f>
        <v>371787</v>
      </c>
      <c r="D11" s="157">
        <f>SUM(D4:D10)</f>
        <v>845715</v>
      </c>
      <c r="E11" s="157">
        <f>SUM(E4:E8)</f>
        <v>9350</v>
      </c>
      <c r="F11" s="157">
        <f t="shared" si="0"/>
        <v>14687780</v>
      </c>
      <c r="G11" s="157">
        <f>SUM(G4:G10)</f>
        <v>2230521</v>
      </c>
      <c r="H11" s="174"/>
      <c r="I11" s="174"/>
      <c r="J11" s="174"/>
      <c r="K11" s="174"/>
      <c r="L11" s="174"/>
      <c r="M11" s="174"/>
      <c r="N11" s="174"/>
      <c r="O11" s="174"/>
    </row>
    <row r="12" spans="1:15" ht="10.5" customHeight="1">
      <c r="A12" s="6"/>
      <c r="B12" s="164"/>
      <c r="C12" s="164"/>
      <c r="D12" s="164"/>
      <c r="E12" s="164"/>
      <c r="F12" s="164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5" ht="39" customHeight="1">
      <c r="A13" s="126" t="s">
        <v>74</v>
      </c>
      <c r="B13" s="175" t="s">
        <v>556</v>
      </c>
      <c r="C13" s="175" t="s">
        <v>557</v>
      </c>
      <c r="D13" s="175" t="s">
        <v>558</v>
      </c>
      <c r="E13" s="175" t="s">
        <v>559</v>
      </c>
      <c r="F13" s="175" t="s">
        <v>560</v>
      </c>
      <c r="G13" s="175" t="s">
        <v>561</v>
      </c>
      <c r="H13" s="175" t="s">
        <v>562</v>
      </c>
      <c r="I13" s="175" t="s">
        <v>563</v>
      </c>
      <c r="J13" s="175" t="s">
        <v>564</v>
      </c>
      <c r="K13" s="168" t="s">
        <v>565</v>
      </c>
      <c r="L13" s="175" t="s">
        <v>566</v>
      </c>
      <c r="M13" s="175" t="s">
        <v>567</v>
      </c>
      <c r="N13" s="175" t="s">
        <v>568</v>
      </c>
      <c r="O13" s="176" t="s">
        <v>258</v>
      </c>
    </row>
    <row r="14" spans="1:15" s="151" customFormat="1" ht="15.75" customHeight="1">
      <c r="A14" s="129" t="s">
        <v>222</v>
      </c>
      <c r="B14" s="177"/>
      <c r="C14" s="177"/>
      <c r="D14" s="177"/>
      <c r="E14" s="177">
        <v>31938</v>
      </c>
      <c r="F14" s="178"/>
      <c r="G14" s="178"/>
      <c r="H14" s="177">
        <v>301744</v>
      </c>
      <c r="I14" s="177"/>
      <c r="J14" s="177"/>
      <c r="K14" s="177">
        <v>11476</v>
      </c>
      <c r="L14" s="177">
        <v>93193</v>
      </c>
      <c r="M14" s="177"/>
      <c r="N14" s="177"/>
      <c r="O14" s="169">
        <f aca="true" t="shared" si="1" ref="O14:O34">SUM(B14:N14)</f>
        <v>438351</v>
      </c>
    </row>
    <row r="15" spans="1:15" s="151" customFormat="1" ht="15.75" customHeight="1">
      <c r="A15" s="134" t="s">
        <v>139</v>
      </c>
      <c r="B15" s="177">
        <v>5197</v>
      </c>
      <c r="C15" s="177"/>
      <c r="D15" s="177"/>
      <c r="E15" s="177"/>
      <c r="F15" s="177"/>
      <c r="G15" s="177"/>
      <c r="H15" s="177">
        <v>404741</v>
      </c>
      <c r="I15" s="177"/>
      <c r="J15" s="177"/>
      <c r="K15" s="177">
        <v>46500</v>
      </c>
      <c r="L15" s="177">
        <v>123238</v>
      </c>
      <c r="M15" s="177"/>
      <c r="N15" s="177"/>
      <c r="O15" s="169">
        <f t="shared" si="1"/>
        <v>579676</v>
      </c>
    </row>
    <row r="16" spans="1:15" s="151" customFormat="1" ht="15.75" customHeight="1">
      <c r="A16" s="134" t="s">
        <v>336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>
        <v>496860</v>
      </c>
      <c r="L16" s="177">
        <v>134156</v>
      </c>
      <c r="M16" s="177"/>
      <c r="N16" s="177"/>
      <c r="O16" s="169">
        <f t="shared" si="1"/>
        <v>631016</v>
      </c>
    </row>
    <row r="17" spans="1:15" s="151" customFormat="1" ht="16.5" customHeight="1">
      <c r="A17" s="134" t="s">
        <v>140</v>
      </c>
      <c r="B17" s="177">
        <v>24500</v>
      </c>
      <c r="C17" s="177">
        <v>57500</v>
      </c>
      <c r="D17" s="177">
        <v>210852</v>
      </c>
      <c r="E17" s="177">
        <v>225274</v>
      </c>
      <c r="F17" s="177"/>
      <c r="G17" s="177"/>
      <c r="H17" s="177"/>
      <c r="I17" s="177">
        <v>23480</v>
      </c>
      <c r="J17" s="177">
        <v>618259</v>
      </c>
      <c r="K17" s="177">
        <v>830368</v>
      </c>
      <c r="L17" s="177">
        <v>246700</v>
      </c>
      <c r="M17" s="177">
        <v>680000</v>
      </c>
      <c r="N17" s="177">
        <v>74515</v>
      </c>
      <c r="O17" s="169">
        <f t="shared" si="1"/>
        <v>2991448</v>
      </c>
    </row>
    <row r="18" spans="1:15" s="151" customFormat="1" ht="15.75" customHeight="1">
      <c r="A18" s="134" t="s">
        <v>141</v>
      </c>
      <c r="B18" s="177"/>
      <c r="C18" s="177"/>
      <c r="D18" s="177"/>
      <c r="E18" s="177">
        <v>862717</v>
      </c>
      <c r="F18" s="177"/>
      <c r="G18" s="177"/>
      <c r="H18" s="177">
        <v>414612</v>
      </c>
      <c r="I18" s="177"/>
      <c r="J18" s="177"/>
      <c r="K18" s="177"/>
      <c r="L18" s="177">
        <v>327360</v>
      </c>
      <c r="M18" s="177"/>
      <c r="N18" s="177">
        <v>5585</v>
      </c>
      <c r="O18" s="169">
        <f t="shared" si="1"/>
        <v>1610274</v>
      </c>
    </row>
    <row r="19" spans="1:15" s="151" customFormat="1" ht="15.75" customHeight="1">
      <c r="A19" s="129" t="s">
        <v>306</v>
      </c>
      <c r="B19" s="177">
        <v>255983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>
        <v>69112</v>
      </c>
      <c r="M19" s="177"/>
      <c r="N19" s="177"/>
      <c r="O19" s="169">
        <f t="shared" si="1"/>
        <v>325095</v>
      </c>
    </row>
    <row r="20" spans="1:15" s="151" customFormat="1" ht="15.75" customHeight="1">
      <c r="A20" s="134" t="s">
        <v>142</v>
      </c>
      <c r="B20" s="177">
        <v>655365</v>
      </c>
      <c r="C20" s="177"/>
      <c r="D20" s="177"/>
      <c r="E20" s="177">
        <v>65172</v>
      </c>
      <c r="F20" s="177"/>
      <c r="G20" s="177">
        <v>5000</v>
      </c>
      <c r="H20" s="177">
        <v>753077</v>
      </c>
      <c r="I20" s="177"/>
      <c r="J20" s="177"/>
      <c r="K20" s="177">
        <v>125433</v>
      </c>
      <c r="L20" s="177">
        <v>422585</v>
      </c>
      <c r="M20" s="177"/>
      <c r="N20" s="177"/>
      <c r="O20" s="169">
        <f t="shared" si="1"/>
        <v>2026632</v>
      </c>
    </row>
    <row r="21" spans="1:15" s="151" customFormat="1" ht="16.5" customHeight="1">
      <c r="A21" s="134" t="s">
        <v>137</v>
      </c>
      <c r="B21" s="177">
        <v>526184</v>
      </c>
      <c r="C21" s="177"/>
      <c r="D21" s="177">
        <v>21641</v>
      </c>
      <c r="E21" s="177"/>
      <c r="F21" s="177"/>
      <c r="G21" s="177"/>
      <c r="H21" s="177">
        <v>180480</v>
      </c>
      <c r="I21" s="177"/>
      <c r="J21" s="177">
        <v>48211</v>
      </c>
      <c r="K21" s="177">
        <v>55385</v>
      </c>
      <c r="L21" s="177">
        <v>196675</v>
      </c>
      <c r="M21" s="177"/>
      <c r="N21" s="177"/>
      <c r="O21" s="169">
        <f t="shared" si="1"/>
        <v>1028576</v>
      </c>
    </row>
    <row r="22" spans="1:15" s="151" customFormat="1" ht="16.5" customHeight="1">
      <c r="A22" s="134" t="s">
        <v>334</v>
      </c>
      <c r="B22" s="177">
        <v>849138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>
        <v>191467</v>
      </c>
      <c r="M22" s="177"/>
      <c r="N22" s="177"/>
      <c r="O22" s="169">
        <f t="shared" si="1"/>
        <v>1040605</v>
      </c>
    </row>
    <row r="23" spans="1:15" s="151" customFormat="1" ht="17.25" customHeight="1">
      <c r="A23" s="129" t="s">
        <v>335</v>
      </c>
      <c r="B23" s="177">
        <v>215035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>
        <v>58060</v>
      </c>
      <c r="M23" s="177"/>
      <c r="N23" s="177"/>
      <c r="O23" s="169">
        <f t="shared" si="1"/>
        <v>273095</v>
      </c>
    </row>
    <row r="24" spans="1:15" s="151" customFormat="1" ht="17.25" customHeight="1">
      <c r="A24" s="129" t="s">
        <v>337</v>
      </c>
      <c r="B24" s="177">
        <v>15882</v>
      </c>
      <c r="C24" s="177"/>
      <c r="D24" s="177">
        <v>47629</v>
      </c>
      <c r="E24" s="177">
        <v>46730</v>
      </c>
      <c r="F24" s="177"/>
      <c r="G24" s="177"/>
      <c r="H24" s="177">
        <v>9055</v>
      </c>
      <c r="I24" s="177"/>
      <c r="J24" s="177"/>
      <c r="K24" s="177"/>
      <c r="L24" s="177">
        <v>31047</v>
      </c>
      <c r="M24" s="177"/>
      <c r="N24" s="177"/>
      <c r="O24" s="169">
        <f t="shared" si="1"/>
        <v>150343</v>
      </c>
    </row>
    <row r="25" spans="1:15" s="151" customFormat="1" ht="16.5" customHeight="1">
      <c r="A25" s="129" t="s">
        <v>195</v>
      </c>
      <c r="B25" s="177">
        <v>1567</v>
      </c>
      <c r="C25" s="177"/>
      <c r="D25" s="177"/>
      <c r="E25" s="177"/>
      <c r="F25" s="177"/>
      <c r="G25" s="177"/>
      <c r="H25" s="177"/>
      <c r="I25" s="177"/>
      <c r="J25" s="177"/>
      <c r="K25" s="177">
        <v>3110</v>
      </c>
      <c r="L25" s="177">
        <v>1263</v>
      </c>
      <c r="M25" s="177"/>
      <c r="N25" s="177"/>
      <c r="O25" s="169">
        <f t="shared" si="1"/>
        <v>5940</v>
      </c>
    </row>
    <row r="26" spans="1:15" s="151" customFormat="1" ht="16.5" customHeight="1">
      <c r="A26" s="129" t="s">
        <v>305</v>
      </c>
      <c r="B26" s="177">
        <v>91135</v>
      </c>
      <c r="C26" s="177"/>
      <c r="D26" s="177">
        <v>49248</v>
      </c>
      <c r="E26" s="177">
        <v>85395</v>
      </c>
      <c r="F26" s="177"/>
      <c r="G26" s="177"/>
      <c r="H26" s="177"/>
      <c r="I26" s="177"/>
      <c r="J26" s="177">
        <v>45000</v>
      </c>
      <c r="K26" s="177">
        <v>590085</v>
      </c>
      <c r="L26" s="177">
        <v>122847</v>
      </c>
      <c r="M26" s="177"/>
      <c r="N26" s="177"/>
      <c r="O26" s="169">
        <f t="shared" si="1"/>
        <v>983710</v>
      </c>
    </row>
    <row r="27" spans="1:15" s="151" customFormat="1" ht="17.25" customHeight="1">
      <c r="A27" s="134" t="s">
        <v>143</v>
      </c>
      <c r="B27" s="177"/>
      <c r="C27" s="177"/>
      <c r="D27" s="177"/>
      <c r="E27" s="177">
        <v>5768</v>
      </c>
      <c r="F27" s="177"/>
      <c r="G27" s="177"/>
      <c r="H27" s="177"/>
      <c r="I27" s="177"/>
      <c r="J27" s="177"/>
      <c r="K27" s="177"/>
      <c r="L27" s="177">
        <v>1531</v>
      </c>
      <c r="M27" s="177"/>
      <c r="N27" s="177"/>
      <c r="O27" s="169">
        <f t="shared" si="1"/>
        <v>7299</v>
      </c>
    </row>
    <row r="28" spans="1:15" s="151" customFormat="1" ht="17.25" customHeight="1">
      <c r="A28" s="134" t="s">
        <v>338</v>
      </c>
      <c r="B28" s="177"/>
      <c r="C28" s="177"/>
      <c r="D28" s="177"/>
      <c r="E28" s="177">
        <v>46</v>
      </c>
      <c r="F28" s="177"/>
      <c r="G28" s="177"/>
      <c r="H28" s="177"/>
      <c r="I28" s="177">
        <v>114697</v>
      </c>
      <c r="J28" s="177"/>
      <c r="K28" s="177"/>
      <c r="L28" s="177">
        <v>30522</v>
      </c>
      <c r="M28" s="177"/>
      <c r="N28" s="177"/>
      <c r="O28" s="169">
        <f t="shared" si="1"/>
        <v>145265</v>
      </c>
    </row>
    <row r="29" spans="1:15" s="151" customFormat="1" ht="17.25" customHeight="1">
      <c r="A29" s="134" t="s">
        <v>569</v>
      </c>
      <c r="B29" s="177"/>
      <c r="C29" s="177"/>
      <c r="D29" s="177"/>
      <c r="E29" s="177"/>
      <c r="F29" s="177"/>
      <c r="G29" s="177"/>
      <c r="H29" s="177">
        <v>5197</v>
      </c>
      <c r="I29" s="177"/>
      <c r="J29" s="177"/>
      <c r="K29" s="177"/>
      <c r="L29" s="177">
        <v>1403</v>
      </c>
      <c r="M29" s="177"/>
      <c r="N29" s="177"/>
      <c r="O29" s="169">
        <f t="shared" si="1"/>
        <v>6600</v>
      </c>
    </row>
    <row r="30" spans="1:15" s="151" customFormat="1" ht="17.25" customHeight="1">
      <c r="A30" s="129" t="s">
        <v>570</v>
      </c>
      <c r="B30" s="177"/>
      <c r="C30" s="177"/>
      <c r="D30" s="177"/>
      <c r="E30" s="177">
        <v>615</v>
      </c>
      <c r="F30" s="177"/>
      <c r="G30" s="177"/>
      <c r="H30" s="177"/>
      <c r="I30" s="177"/>
      <c r="J30" s="177"/>
      <c r="K30" s="177"/>
      <c r="L30" s="177">
        <v>151</v>
      </c>
      <c r="M30" s="177"/>
      <c r="N30" s="177"/>
      <c r="O30" s="169">
        <f t="shared" si="1"/>
        <v>766</v>
      </c>
    </row>
    <row r="31" spans="1:15" s="151" customFormat="1" ht="17.25" customHeight="1">
      <c r="A31" s="129" t="s">
        <v>572</v>
      </c>
      <c r="B31" s="177"/>
      <c r="C31" s="177"/>
      <c r="D31" s="177"/>
      <c r="E31" s="177"/>
      <c r="F31" s="177">
        <v>206928</v>
      </c>
      <c r="G31" s="177"/>
      <c r="H31" s="177"/>
      <c r="I31" s="177"/>
      <c r="J31" s="177"/>
      <c r="K31" s="177"/>
      <c r="L31" s="177">
        <v>55871</v>
      </c>
      <c r="M31" s="177"/>
      <c r="N31" s="177"/>
      <c r="O31" s="169">
        <f t="shared" si="1"/>
        <v>262799</v>
      </c>
    </row>
    <row r="32" spans="1:15" s="151" customFormat="1" ht="17.25" customHeight="1">
      <c r="A32" s="129" t="s">
        <v>573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>
        <v>233069</v>
      </c>
      <c r="L32" s="177"/>
      <c r="M32" s="177"/>
      <c r="N32" s="177"/>
      <c r="O32" s="169">
        <f t="shared" si="1"/>
        <v>233069</v>
      </c>
    </row>
    <row r="33" spans="1:15" s="151" customFormat="1" ht="17.25" customHeight="1">
      <c r="A33" s="129" t="s">
        <v>571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>
        <v>280000</v>
      </c>
      <c r="L33" s="177">
        <v>75600</v>
      </c>
      <c r="M33" s="177"/>
      <c r="N33" s="177"/>
      <c r="O33" s="169">
        <f t="shared" si="1"/>
        <v>355600</v>
      </c>
    </row>
    <row r="34" spans="1:15" s="151" customFormat="1" ht="19.5" customHeight="1">
      <c r="A34" s="130" t="s">
        <v>138</v>
      </c>
      <c r="B34" s="169">
        <f>SUM(B14:B33)</f>
        <v>2639986</v>
      </c>
      <c r="C34" s="169">
        <f aca="true" t="shared" si="2" ref="C34:N34">SUM(C14:C33)</f>
        <v>57500</v>
      </c>
      <c r="D34" s="169">
        <f t="shared" si="2"/>
        <v>329370</v>
      </c>
      <c r="E34" s="169">
        <f t="shared" si="2"/>
        <v>1323655</v>
      </c>
      <c r="F34" s="169">
        <f t="shared" si="2"/>
        <v>206928</v>
      </c>
      <c r="G34" s="169">
        <f t="shared" si="2"/>
        <v>5000</v>
      </c>
      <c r="H34" s="169">
        <f t="shared" si="2"/>
        <v>2068906</v>
      </c>
      <c r="I34" s="169">
        <f t="shared" si="2"/>
        <v>138177</v>
      </c>
      <c r="J34" s="169">
        <f t="shared" si="2"/>
        <v>711470</v>
      </c>
      <c r="K34" s="169">
        <f t="shared" si="2"/>
        <v>2672286</v>
      </c>
      <c r="L34" s="169">
        <f t="shared" si="2"/>
        <v>2182781</v>
      </c>
      <c r="M34" s="169">
        <f t="shared" si="2"/>
        <v>680000</v>
      </c>
      <c r="N34" s="169">
        <f t="shared" si="2"/>
        <v>80100</v>
      </c>
      <c r="O34" s="169">
        <f t="shared" si="1"/>
        <v>13096159</v>
      </c>
    </row>
    <row r="35" spans="1:15" s="151" customFormat="1" ht="12.75">
      <c r="A35" s="134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120" zoomScaleNormal="12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9.140625" style="33" customWidth="1"/>
    <col min="2" max="2" width="40.28125" style="33" bestFit="1" customWidth="1"/>
    <col min="3" max="3" width="15.28125" style="173" bestFit="1" customWidth="1"/>
    <col min="4" max="5" width="15.28125" style="33" bestFit="1" customWidth="1"/>
    <col min="6" max="16384" width="9.140625" style="33" customWidth="1"/>
  </cols>
  <sheetData>
    <row r="1" spans="1:3" ht="15">
      <c r="A1" s="4" t="s">
        <v>584</v>
      </c>
      <c r="C1" s="179"/>
    </row>
    <row r="2" spans="1:3" ht="15" customHeight="1">
      <c r="A2" s="221" t="s">
        <v>64</v>
      </c>
      <c r="B2" s="221"/>
      <c r="C2" s="221"/>
    </row>
    <row r="3" spans="1:3" ht="15">
      <c r="A3" s="35"/>
      <c r="C3" s="173" t="s">
        <v>307</v>
      </c>
    </row>
    <row r="4" spans="1:3" ht="15">
      <c r="A4" s="35"/>
      <c r="C4" s="179"/>
    </row>
    <row r="5" spans="1:3" ht="15">
      <c r="A5" s="35"/>
      <c r="B5" s="125" t="s">
        <v>272</v>
      </c>
      <c r="C5" s="179"/>
    </row>
    <row r="6" spans="1:5" ht="12.75">
      <c r="A6" s="19" t="s">
        <v>16</v>
      </c>
      <c r="B6" s="19" t="s">
        <v>1</v>
      </c>
      <c r="C6" s="182" t="s">
        <v>65</v>
      </c>
      <c r="D6" s="157" t="s">
        <v>413</v>
      </c>
      <c r="E6" s="157" t="s">
        <v>414</v>
      </c>
    </row>
    <row r="7" spans="1:5" ht="12.75">
      <c r="A7" s="22"/>
      <c r="B7" s="22"/>
      <c r="C7" s="193"/>
      <c r="D7" s="158"/>
      <c r="E7" s="158"/>
    </row>
    <row r="8" spans="1:5" ht="12.75">
      <c r="A8" s="22" t="s">
        <v>66</v>
      </c>
      <c r="B8" s="19" t="s">
        <v>63</v>
      </c>
      <c r="C8" s="193"/>
      <c r="D8" s="158"/>
      <c r="E8" s="158"/>
    </row>
    <row r="9" spans="1:5" ht="12.75">
      <c r="A9" s="22" t="s">
        <v>3</v>
      </c>
      <c r="B9" s="22" t="s">
        <v>2</v>
      </c>
      <c r="C9" s="193">
        <v>1585300</v>
      </c>
      <c r="D9" s="158">
        <v>2912474</v>
      </c>
      <c r="E9" s="158">
        <v>2021371</v>
      </c>
    </row>
    <row r="10" spans="1:5" ht="12.75">
      <c r="A10" s="22" t="s">
        <v>4</v>
      </c>
      <c r="B10" s="22" t="s">
        <v>232</v>
      </c>
      <c r="C10" s="193">
        <f>11070000+1000000</f>
        <v>12070000</v>
      </c>
      <c r="D10" s="158">
        <v>12070000</v>
      </c>
      <c r="E10" s="158">
        <f>16939955+1165894</f>
        <v>18105849</v>
      </c>
    </row>
    <row r="11" spans="1:5" ht="12.75">
      <c r="A11" s="22" t="s">
        <v>9</v>
      </c>
      <c r="B11" s="104" t="s">
        <v>237</v>
      </c>
      <c r="C11" s="193">
        <v>26415395</v>
      </c>
      <c r="D11" s="158">
        <v>42516619</v>
      </c>
      <c r="E11" s="158">
        <v>35270223</v>
      </c>
    </row>
    <row r="12" spans="1:5" ht="12.75">
      <c r="A12" s="22" t="s">
        <v>10</v>
      </c>
      <c r="B12" s="22" t="s">
        <v>261</v>
      </c>
      <c r="C12" s="193"/>
      <c r="D12" s="158"/>
      <c r="E12" s="158"/>
    </row>
    <row r="13" spans="1:5" ht="12.75">
      <c r="A13" s="22" t="s">
        <v>67</v>
      </c>
      <c r="B13" s="22" t="s">
        <v>115</v>
      </c>
      <c r="C13" s="193">
        <v>155035</v>
      </c>
      <c r="D13" s="158">
        <v>155035</v>
      </c>
      <c r="E13" s="158">
        <v>10000</v>
      </c>
    </row>
    <row r="14" spans="1:5" ht="12.75">
      <c r="A14" s="22" t="s">
        <v>68</v>
      </c>
      <c r="B14" s="22" t="s">
        <v>238</v>
      </c>
      <c r="C14" s="193">
        <v>29084864</v>
      </c>
      <c r="D14" s="158">
        <v>21581491</v>
      </c>
      <c r="E14" s="158">
        <v>21581491</v>
      </c>
    </row>
    <row r="15" spans="1:5" ht="12.75">
      <c r="A15" s="22" t="s">
        <v>12</v>
      </c>
      <c r="B15" s="22" t="s">
        <v>262</v>
      </c>
      <c r="C15" s="193">
        <v>19098155</v>
      </c>
      <c r="D15" s="158">
        <v>28723047</v>
      </c>
      <c r="E15" s="158">
        <v>17390309</v>
      </c>
    </row>
    <row r="16" spans="1:5" ht="12.75">
      <c r="A16" s="22" t="s">
        <v>95</v>
      </c>
      <c r="B16" s="22" t="s">
        <v>263</v>
      </c>
      <c r="C16" s="193">
        <v>1270000</v>
      </c>
      <c r="D16" s="158">
        <v>1000000</v>
      </c>
      <c r="E16" s="158">
        <v>1000000</v>
      </c>
    </row>
    <row r="17" spans="1:5" ht="12.75">
      <c r="A17" s="22" t="s">
        <v>97</v>
      </c>
      <c r="B17" s="22" t="s">
        <v>264</v>
      </c>
      <c r="C17" s="193"/>
      <c r="D17" s="158"/>
      <c r="E17" s="158"/>
    </row>
    <row r="18" spans="1:5" ht="12.75">
      <c r="A18" s="22" t="s">
        <v>98</v>
      </c>
      <c r="B18" s="22" t="s">
        <v>270</v>
      </c>
      <c r="C18" s="193"/>
      <c r="D18" s="158"/>
      <c r="E18" s="158"/>
    </row>
    <row r="19" spans="1:5" ht="12.75">
      <c r="A19" s="22" t="s">
        <v>99</v>
      </c>
      <c r="B19" s="22" t="s">
        <v>574</v>
      </c>
      <c r="C19" s="193"/>
      <c r="D19" s="158"/>
      <c r="E19" s="158">
        <v>832589</v>
      </c>
    </row>
    <row r="20" spans="1:5" ht="12.75">
      <c r="A20" s="22" t="s">
        <v>234</v>
      </c>
      <c r="B20" s="22" t="s">
        <v>398</v>
      </c>
      <c r="C20" s="193">
        <v>92016002</v>
      </c>
      <c r="D20" s="158">
        <v>98624102</v>
      </c>
      <c r="E20" s="158">
        <v>98624102</v>
      </c>
    </row>
    <row r="21" spans="1:5" ht="12.75">
      <c r="A21" s="22"/>
      <c r="B21" s="19" t="s">
        <v>44</v>
      </c>
      <c r="C21" s="182">
        <f>SUM(C9:C20)</f>
        <v>181694751</v>
      </c>
      <c r="D21" s="182">
        <f>SUM(D9:D20)</f>
        <v>207582768</v>
      </c>
      <c r="E21" s="182">
        <f>SUM(E9:E20)</f>
        <v>194835934</v>
      </c>
    </row>
    <row r="22" spans="1:5" ht="12.75">
      <c r="A22" s="22"/>
      <c r="B22" s="22"/>
      <c r="C22" s="193"/>
      <c r="D22" s="158"/>
      <c r="E22" s="158"/>
    </row>
    <row r="23" spans="1:5" ht="12.75">
      <c r="A23" s="22" t="s">
        <v>41</v>
      </c>
      <c r="B23" s="19" t="s">
        <v>69</v>
      </c>
      <c r="C23" s="193"/>
      <c r="D23" s="158"/>
      <c r="E23" s="158"/>
    </row>
    <row r="24" spans="1:5" ht="12.75">
      <c r="A24" s="22" t="s">
        <v>3</v>
      </c>
      <c r="B24" s="22" t="s">
        <v>13</v>
      </c>
      <c r="C24" s="182">
        <v>13576020</v>
      </c>
      <c r="D24" s="158">
        <v>24221023</v>
      </c>
      <c r="E24" s="158">
        <v>14687780</v>
      </c>
    </row>
    <row r="25" spans="1:5" ht="12.75">
      <c r="A25" s="22" t="s">
        <v>4</v>
      </c>
      <c r="B25" s="22" t="s">
        <v>70</v>
      </c>
      <c r="C25" s="182">
        <v>2265012</v>
      </c>
      <c r="D25" s="158">
        <v>3394528</v>
      </c>
      <c r="E25" s="158">
        <v>2230521</v>
      </c>
    </row>
    <row r="26" spans="1:5" ht="12.75">
      <c r="A26" s="22" t="s">
        <v>9</v>
      </c>
      <c r="B26" s="22" t="s">
        <v>14</v>
      </c>
      <c r="C26" s="182">
        <v>13481450</v>
      </c>
      <c r="D26" s="158">
        <v>15480406</v>
      </c>
      <c r="E26" s="158">
        <v>13096159</v>
      </c>
    </row>
    <row r="27" spans="1:5" ht="12.75">
      <c r="A27" s="22" t="s">
        <v>10</v>
      </c>
      <c r="B27" s="22" t="s">
        <v>40</v>
      </c>
      <c r="C27" s="182">
        <v>4356880</v>
      </c>
      <c r="D27" s="158">
        <v>5254692</v>
      </c>
      <c r="E27" s="158">
        <v>4868620</v>
      </c>
    </row>
    <row r="28" spans="1:5" ht="12.75">
      <c r="A28" s="22" t="s">
        <v>67</v>
      </c>
      <c r="B28" s="22" t="s">
        <v>119</v>
      </c>
      <c r="C28" s="182">
        <f>75000+3704558</f>
        <v>3779558</v>
      </c>
      <c r="D28" s="158">
        <f>927322+3766593</f>
        <v>4693915</v>
      </c>
      <c r="E28" s="158">
        <f>728800+3763593</f>
        <v>4492393</v>
      </c>
    </row>
    <row r="29" spans="1:5" ht="12.75">
      <c r="A29" s="22" t="s">
        <v>68</v>
      </c>
      <c r="B29" s="22" t="s">
        <v>121</v>
      </c>
      <c r="C29" s="182"/>
      <c r="D29" s="158"/>
      <c r="E29" s="158"/>
    </row>
    <row r="30" spans="1:5" ht="12.75">
      <c r="A30" s="22" t="s">
        <v>12</v>
      </c>
      <c r="B30" s="22" t="s">
        <v>114</v>
      </c>
      <c r="C30" s="193"/>
      <c r="D30" s="158"/>
      <c r="E30" s="158"/>
    </row>
    <row r="31" spans="1:5" ht="12.75">
      <c r="A31" s="22" t="s">
        <v>95</v>
      </c>
      <c r="B31" s="22" t="s">
        <v>20</v>
      </c>
      <c r="C31" s="182">
        <v>2667674</v>
      </c>
      <c r="D31" s="158">
        <v>85372</v>
      </c>
      <c r="E31" s="158"/>
    </row>
    <row r="32" spans="1:5" ht="12.75">
      <c r="A32" s="22" t="s">
        <v>97</v>
      </c>
      <c r="B32" s="22" t="s">
        <v>281</v>
      </c>
      <c r="C32" s="193">
        <v>625000</v>
      </c>
      <c r="D32" s="158"/>
      <c r="E32" s="158"/>
    </row>
    <row r="33" spans="1:5" ht="12.75">
      <c r="A33" s="22" t="s">
        <v>98</v>
      </c>
      <c r="B33" s="22" t="s">
        <v>325</v>
      </c>
      <c r="C33" s="193"/>
      <c r="D33" s="158">
        <f>863342+2021441</f>
        <v>2884783</v>
      </c>
      <c r="E33" s="158">
        <f>863342+1396441</f>
        <v>2259783</v>
      </c>
    </row>
    <row r="34" spans="1:5" ht="12.75">
      <c r="A34" s="22" t="s">
        <v>99</v>
      </c>
      <c r="B34" s="22" t="s">
        <v>21</v>
      </c>
      <c r="C34" s="193">
        <f>7212000+2617000</f>
        <v>9829000</v>
      </c>
      <c r="D34" s="158">
        <f>14968171+5485721</f>
        <v>20453892</v>
      </c>
      <c r="E34" s="158">
        <f>2664550+719429</f>
        <v>3383979</v>
      </c>
    </row>
    <row r="35" spans="1:5" ht="12.75">
      <c r="A35" s="22" t="s">
        <v>234</v>
      </c>
      <c r="B35" s="22" t="s">
        <v>167</v>
      </c>
      <c r="C35" s="164">
        <f>95713335+35400933</f>
        <v>131114268</v>
      </c>
      <c r="D35" s="158">
        <f>95713335+35400822</f>
        <v>131114157</v>
      </c>
      <c r="E35" s="158">
        <f>110228+29762</f>
        <v>139990</v>
      </c>
    </row>
    <row r="36" spans="1:5" ht="12.75">
      <c r="A36" s="22" t="s">
        <v>100</v>
      </c>
      <c r="B36" s="22" t="s">
        <v>265</v>
      </c>
      <c r="C36" s="193"/>
      <c r="D36" s="158"/>
      <c r="E36" s="158"/>
    </row>
    <row r="37" spans="1:5" ht="12.75">
      <c r="A37" s="22"/>
      <c r="B37" s="19" t="s">
        <v>71</v>
      </c>
      <c r="C37" s="182">
        <f>SUM(C24:C36)</f>
        <v>181694862</v>
      </c>
      <c r="D37" s="182">
        <f>SUM(D24:D36)</f>
        <v>207582768</v>
      </c>
      <c r="E37" s="182">
        <f>SUM(E24:E36)</f>
        <v>45159225</v>
      </c>
    </row>
    <row r="38" spans="1:3" ht="12.75">
      <c r="A38" s="22"/>
      <c r="B38" s="22"/>
      <c r="C38" s="158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140" zoomScaleSheetLayoutView="140" zoomScalePageLayoutView="0" workbookViewId="0" topLeftCell="A1">
      <selection activeCell="B1" sqref="B1"/>
    </sheetView>
  </sheetViews>
  <sheetFormatPr defaultColWidth="9.140625" defaultRowHeight="12.75"/>
  <cols>
    <col min="2" max="2" width="35.421875" style="0" customWidth="1"/>
    <col min="3" max="3" width="13.421875" style="0" bestFit="1" customWidth="1"/>
    <col min="4" max="4" width="13.28125" style="0" bestFit="1" customWidth="1"/>
  </cols>
  <sheetData>
    <row r="1" spans="2:3" ht="12.75">
      <c r="B1" s="4" t="s">
        <v>585</v>
      </c>
      <c r="C1" t="s">
        <v>22</v>
      </c>
    </row>
    <row r="2" ht="12.75">
      <c r="B2" s="4" t="s">
        <v>75</v>
      </c>
    </row>
    <row r="3" ht="12.75">
      <c r="B3" s="33"/>
    </row>
    <row r="4" ht="12.75">
      <c r="B4" s="33" t="s">
        <v>272</v>
      </c>
    </row>
    <row r="5" ht="12.75">
      <c r="C5" s="4"/>
    </row>
    <row r="6" ht="12.75">
      <c r="C6" s="58" t="s">
        <v>307</v>
      </c>
    </row>
    <row r="7" spans="1:4" ht="12.75">
      <c r="A7" s="19" t="s">
        <v>16</v>
      </c>
      <c r="B7" s="31" t="s">
        <v>124</v>
      </c>
      <c r="C7" s="19" t="s">
        <v>125</v>
      </c>
      <c r="D7" s="23" t="s">
        <v>414</v>
      </c>
    </row>
    <row r="8" spans="1:4" ht="12.75">
      <c r="A8" s="22" t="s">
        <v>3</v>
      </c>
      <c r="B8" s="22" t="s">
        <v>405</v>
      </c>
      <c r="C8" s="158">
        <f>500000</f>
        <v>500000</v>
      </c>
      <c r="D8" s="172">
        <v>150000</v>
      </c>
    </row>
    <row r="9" spans="1:4" ht="12.75">
      <c r="A9" s="22" t="s">
        <v>4</v>
      </c>
      <c r="B9" s="22" t="s">
        <v>406</v>
      </c>
      <c r="C9" s="158">
        <v>2332000</v>
      </c>
      <c r="D9" s="172">
        <v>2514550</v>
      </c>
    </row>
    <row r="10" spans="1:4" ht="12.75">
      <c r="A10" s="22" t="s">
        <v>9</v>
      </c>
      <c r="B10" s="22" t="s">
        <v>407</v>
      </c>
      <c r="C10" s="158">
        <v>4380000</v>
      </c>
      <c r="D10" s="172"/>
    </row>
    <row r="11" spans="1:4" ht="12.75">
      <c r="A11" s="22" t="s">
        <v>10</v>
      </c>
      <c r="B11" s="22" t="s">
        <v>399</v>
      </c>
      <c r="C11" s="158">
        <f>135000+2482000</f>
        <v>2617000</v>
      </c>
      <c r="D11" s="172"/>
    </row>
    <row r="12" spans="1:4" ht="12.75">
      <c r="A12" s="22" t="s">
        <v>22</v>
      </c>
      <c r="B12" s="19" t="s">
        <v>31</v>
      </c>
      <c r="C12" s="180">
        <f>SUM(C8:C11)</f>
        <v>9829000</v>
      </c>
      <c r="D12" s="172">
        <f>SUM(D8:D11)</f>
        <v>2664550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150" zoomScaleSheetLayoutView="150" zoomScalePageLayoutView="0" workbookViewId="0" topLeftCell="A1">
      <selection activeCell="A1" sqref="A1:C1"/>
    </sheetView>
  </sheetViews>
  <sheetFormatPr defaultColWidth="9.140625" defaultRowHeight="12.75"/>
  <cols>
    <col min="1" max="1" width="9.140625" style="33" customWidth="1"/>
    <col min="2" max="2" width="30.28125" style="33" customWidth="1"/>
    <col min="3" max="3" width="19.28125" style="33" bestFit="1" customWidth="1"/>
    <col min="4" max="4" width="11.421875" style="33" bestFit="1" customWidth="1"/>
    <col min="5" max="16384" width="9.140625" style="33" customWidth="1"/>
  </cols>
  <sheetData>
    <row r="1" spans="1:3" ht="12.75">
      <c r="A1" s="221" t="s">
        <v>586</v>
      </c>
      <c r="B1" s="221"/>
      <c r="C1" s="221"/>
    </row>
    <row r="2" spans="2:3" ht="12.75">
      <c r="B2" s="4" t="s">
        <v>107</v>
      </c>
      <c r="C2" s="4"/>
    </row>
    <row r="4" spans="2:7" ht="12.75">
      <c r="B4" s="33" t="s">
        <v>272</v>
      </c>
      <c r="D4" s="4"/>
      <c r="E4" s="4"/>
      <c r="F4" s="4"/>
      <c r="G4" s="4"/>
    </row>
    <row r="5" spans="2:7" ht="12.75">
      <c r="B5" s="4"/>
      <c r="C5" s="4"/>
      <c r="D5" s="4"/>
      <c r="E5" s="4"/>
      <c r="F5" s="4"/>
      <c r="G5" s="4"/>
    </row>
    <row r="6" ht="12.75">
      <c r="C6" s="58" t="s">
        <v>296</v>
      </c>
    </row>
    <row r="7" spans="1:4" ht="12.75">
      <c r="A7" s="19" t="s">
        <v>16</v>
      </c>
      <c r="B7" s="19" t="s">
        <v>108</v>
      </c>
      <c r="C7" s="31" t="s">
        <v>109</v>
      </c>
      <c r="D7" s="22" t="s">
        <v>414</v>
      </c>
    </row>
    <row r="8" spans="1:4" ht="12.75">
      <c r="A8" s="22" t="s">
        <v>3</v>
      </c>
      <c r="B8" s="150" t="s">
        <v>408</v>
      </c>
      <c r="C8" s="194">
        <v>63880841</v>
      </c>
      <c r="D8" s="158"/>
    </row>
    <row r="9" spans="1:4" ht="12.75">
      <c r="A9" s="22"/>
      <c r="B9" s="150" t="s">
        <v>409</v>
      </c>
      <c r="C9" s="194">
        <v>16795841</v>
      </c>
      <c r="D9" s="158"/>
    </row>
    <row r="10" spans="1:4" ht="12.75">
      <c r="A10" s="22"/>
      <c r="B10" s="150" t="s">
        <v>410</v>
      </c>
      <c r="C10" s="194">
        <v>13941653</v>
      </c>
      <c r="D10" s="158"/>
    </row>
    <row r="11" spans="1:4" ht="12.75">
      <c r="A11" s="22"/>
      <c r="B11" s="150" t="s">
        <v>356</v>
      </c>
      <c r="C11" s="194">
        <v>1095000</v>
      </c>
      <c r="D11" s="158"/>
    </row>
    <row r="12" spans="1:4" ht="12.75">
      <c r="A12" s="22"/>
      <c r="B12" s="150" t="s">
        <v>575</v>
      </c>
      <c r="C12" s="194"/>
      <c r="D12" s="158">
        <v>74795</v>
      </c>
    </row>
    <row r="13" spans="1:4" ht="12.75">
      <c r="A13" s="22"/>
      <c r="B13" s="150" t="s">
        <v>576</v>
      </c>
      <c r="C13" s="194"/>
      <c r="D13" s="158">
        <v>35433</v>
      </c>
    </row>
    <row r="14" spans="1:4" ht="12.75">
      <c r="A14" s="22"/>
      <c r="B14" s="152" t="s">
        <v>330</v>
      </c>
      <c r="C14" s="195">
        <f>23627160+6212160+5156502+405000</f>
        <v>35400822</v>
      </c>
      <c r="D14" s="158"/>
    </row>
    <row r="15" spans="2:4" ht="12.75">
      <c r="B15" s="153" t="s">
        <v>11</v>
      </c>
      <c r="C15" s="196">
        <f>SUM(C8:C14)</f>
        <v>131114157</v>
      </c>
      <c r="D15" s="157">
        <f>SUM(D8:D14)</f>
        <v>110228</v>
      </c>
    </row>
    <row r="17" ht="12.75">
      <c r="B17" s="5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Körjegyzőségm, 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Felhasználó</cp:lastModifiedBy>
  <cp:lastPrinted>2019-05-29T15:14:55Z</cp:lastPrinted>
  <dcterms:created xsi:type="dcterms:W3CDTF">2004-05-26T08:30:06Z</dcterms:created>
  <dcterms:modified xsi:type="dcterms:W3CDTF">2019-05-31T12:51:44Z</dcterms:modified>
  <cp:category/>
  <cp:version/>
  <cp:contentType/>
  <cp:contentStatus/>
</cp:coreProperties>
</file>