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0"/>
  </bookViews>
  <sheets>
    <sheet name="Munka1 (2)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átadások" sheetId="7" r:id="rId7"/>
    <sheet name="7.mell.beruházás" sheetId="8" r:id="rId8"/>
    <sheet name="8.mell. - közgazd.mérleg" sheetId="9" r:id="rId9"/>
    <sheet name="9.mell. -ei.felh.ütemt." sheetId="10" r:id="rId10"/>
  </sheets>
  <definedNames>
    <definedName name="_xlnm.Print_Titles" localSheetId="2">'2.mell - bevétel'!$11:$13</definedName>
  </definedNames>
  <calcPr fullCalcOnLoad="1"/>
</workbook>
</file>

<file path=xl/sharedStrings.xml><?xml version="1.0" encoding="utf-8"?>
<sst xmlns="http://schemas.openxmlformats.org/spreadsheetml/2006/main" count="678" uniqueCount="400">
  <si>
    <t>Megnevezés</t>
  </si>
  <si>
    <t>Ft</t>
  </si>
  <si>
    <t>Összesen:</t>
  </si>
  <si>
    <t>létszám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</si>
  <si>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</si>
  <si>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</si>
  <si>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</si>
  <si>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</si>
  <si>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</si>
  <si>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</si>
  <si>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</si>
  <si>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</si>
  <si>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</si>
  <si>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</si>
  <si>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</si>
  <si>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</si>
  <si>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</si>
  <si>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</si>
  <si>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</si>
  <si>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</si>
  <si>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</si>
  <si>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</si>
  <si>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</si>
  <si>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</si>
  <si>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</si>
  <si>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</si>
  <si>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</si>
  <si>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</si>
  <si>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</si>
  <si>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</si>
  <si>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</si>
  <si>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</si>
  <si>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</si>
  <si>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</si>
  <si>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</si>
  <si>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</si>
  <si>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</si>
  <si>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</si>
  <si>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</si>
  <si>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</si>
  <si>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</si>
  <si>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</si>
  <si>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</si>
  <si>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</si>
  <si>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</si>
  <si>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</si>
  <si>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</si>
  <si>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</si>
  <si>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</si>
  <si>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</si>
  <si>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</si>
  <si>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</si>
  <si>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</si>
  <si>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</si>
  <si>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</si>
  <si>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</si>
  <si>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</si>
  <si>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</si>
  <si>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</si>
  <si>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</si>
  <si>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</si>
  <si>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</si>
  <si>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</si>
  <si>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</si>
  <si>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</si>
  <si>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</si>
  <si>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</si>
  <si>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</si>
  <si>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</si>
  <si>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</si>
  <si>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</si>
  <si>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</si>
  <si>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</si>
  <si>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</si>
  <si>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</si>
  <si>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</si>
  <si>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</si>
  <si>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</si>
  <si>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</si>
  <si>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</si>
  <si>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</si>
  <si>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</si>
  <si>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</si>
  <si>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</si>
  <si>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</si>
  <si>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</si>
  <si>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</si>
  <si>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</si>
  <si>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</si>
  <si>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</si>
  <si>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</si>
  <si>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</si>
  <si>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</si>
  <si>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</si>
  <si>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</si>
  <si>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</si>
  <si>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</si>
  <si>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</si>
  <si>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</si>
  <si>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</si>
  <si>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</si>
  <si>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</si>
  <si>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</si>
  <si>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</si>
  <si>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</si>
  <si>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</si>
  <si>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</si>
  <si>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</si>
  <si>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</si>
  <si>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</si>
  <si>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</si>
  <si>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</si>
  <si>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</si>
  <si>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</si>
  <si>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</si>
  <si>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</si>
  <si>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</si>
  <si>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</si>
  <si>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</si>
  <si>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</si>
  <si>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</si>
  <si>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</si>
  <si>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</si>
  <si>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</si>
  <si>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</si>
  <si>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</si>
  <si>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</si>
  <si>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</si>
  <si>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</si>
  <si>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</si>
  <si>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</si>
  <si>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</si>
  <si>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</si>
  <si>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</si>
  <si>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</si>
  <si>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</si>
  <si>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</si>
  <si>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</si>
  <si>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</si>
  <si>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</si>
  <si>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</si>
  <si>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</si>
  <si>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</si>
  <si>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</si>
  <si>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</si>
  <si>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</si>
  <si>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</si>
  <si>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</si>
  <si>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</si>
  <si>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</si>
  <si>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</si>
  <si>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</si>
  <si>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</si>
  <si>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</si>
  <si>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</si>
  <si>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</si>
  <si>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</si>
  <si>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</si>
  <si>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</si>
  <si>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</si>
  <si>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</si>
  <si>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</si>
  <si>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</si>
  <si>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</si>
  <si>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</si>
  <si>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</si>
  <si>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</si>
  <si>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</si>
  <si>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</si>
  <si>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</si>
  <si>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</si>
  <si>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</si>
  <si>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</si>
  <si>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</si>
  <si>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</si>
  <si>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</si>
  <si>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</si>
  <si>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</si>
  <si>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</si>
  <si>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</si>
  <si>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</si>
  <si>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</si>
  <si>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</si>
  <si>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</si>
  <si>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</si>
  <si>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</si>
  <si>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</si>
  <si>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</si>
  <si>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</si>
  <si>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</si>
  <si>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</si>
  <si>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</si>
  <si>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</si>
  <si>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</si>
  <si>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</si>
  <si>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</si>
  <si>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</si>
  <si>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</si>
  <si>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</si>
  <si>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</si>
  <si>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</si>
  <si>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</si>
  <si>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</si>
  <si>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</si>
  <si>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</si>
  <si>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</si>
  <si>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</si>
  <si>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</si>
  <si>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</si>
  <si>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</si>
  <si>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</si>
  <si>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</si>
  <si>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</si>
  <si>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</si>
  <si>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</si>
  <si>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</si>
  <si>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</si>
  <si>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</si>
  <si>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</si>
  <si>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</si>
  <si>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</si>
  <si>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</si>
  <si>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</si>
  <si>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</si>
  <si>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</si>
  <si>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</si>
  <si>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</si>
  <si>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</si>
  <si>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</si>
  <si>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</si>
  <si>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</si>
  <si>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</si>
  <si>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</si>
  <si>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</si>
  <si>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</si>
  <si>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</si>
  <si>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</si>
  <si>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</si>
  <si>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</si>
  <si>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</si>
  <si>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</si>
  <si>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</si>
  <si>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</si>
  <si>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</si>
  <si>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</si>
  <si>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</si>
  <si>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</si>
  <si>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</si>
  <si>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</si>
  <si>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Szociális ágazati pótlék</t>
  </si>
  <si>
    <t>Egyéb működési célú támogatások államháztartáson belülről összesen:</t>
  </si>
  <si>
    <t>BÖGÖT KÖZSÉG ÖNKORMÁNYZATA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</si>
  <si>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</si>
  <si>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</si>
  <si>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</si>
  <si>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</si>
  <si>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</si>
  <si>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</si>
  <si>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Bögöt, Sárvári u. 1. szám alatti ingatlan üzemeltetési és fenntartási költségeinek megtérítése</t>
  </si>
  <si>
    <t>KÖLTSÉGVETÉSI (MŰKÖDÉSI ÉS FELHALMOZÁSI) MÉRLEGE</t>
  </si>
  <si>
    <t>Bögöt község Önkormányzata</t>
  </si>
  <si>
    <t>költségvetése</t>
  </si>
  <si>
    <t>Gyermekvédelmi pénzbeni és szociális ellátások</t>
  </si>
  <si>
    <t>Köztemető-fenntartása és működtetése</t>
  </si>
  <si>
    <t>c,</t>
  </si>
  <si>
    <t>szociális étkezetés</t>
  </si>
  <si>
    <t>e,</t>
  </si>
  <si>
    <t>falugondnoki szolgálat</t>
  </si>
  <si>
    <t>Sírhely megváltása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</si>
  <si>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</si>
  <si>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</si>
  <si>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</si>
  <si>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</si>
  <si>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</si>
  <si>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</si>
  <si>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</si>
  <si>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</si>
  <si>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</si>
  <si>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</si>
  <si>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</si>
  <si>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>( Ft-ban)</t>
  </si>
  <si>
    <t>Kiszámlázott és ért.termékek és szolgáltatások ÁFÁ-ja</t>
  </si>
  <si>
    <t>ÁFA visszatérülés teljesítése</t>
  </si>
  <si>
    <t xml:space="preserve"> Ft</t>
  </si>
  <si>
    <t>018030</t>
  </si>
  <si>
    <t>Támogatási célú finanszírozási műveletek</t>
  </si>
  <si>
    <t>Ft-ban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</si>
  <si>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</si>
  <si>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</si>
  <si>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</si>
  <si>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</si>
  <si>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</si>
  <si>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</si>
  <si>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</si>
  <si>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ebből: KEHOP pályázati támogatás összege:</t>
  </si>
  <si>
    <t xml:space="preserve">           10%-os önerő pályázat összege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</si>
  <si>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</si>
  <si>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</si>
  <si>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</si>
  <si>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</si>
  <si>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</si>
  <si>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</si>
  <si>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</si>
  <si>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</si>
  <si>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</si>
  <si>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</si>
  <si>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</si>
  <si>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</si>
  <si>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</si>
  <si>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</si>
  <si>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</si>
  <si>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</si>
  <si>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</si>
  <si>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</si>
  <si>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</si>
  <si>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</si>
  <si>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</si>
  <si>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</si>
  <si>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</si>
  <si>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</si>
  <si>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</si>
  <si>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</si>
  <si>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</si>
  <si>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IV.</t>
  </si>
  <si>
    <t>sorszám</t>
  </si>
  <si>
    <t>TERVEZET</t>
  </si>
  <si>
    <t>2018. év</t>
  </si>
  <si>
    <t>Polgármesteri illetmény támogatása</t>
  </si>
  <si>
    <t>alacsony összegű fejlesztések támoagatása 2017-ben kiutalt összeg</t>
  </si>
  <si>
    <t>(Ft-ban)</t>
  </si>
  <si>
    <t>2017. évről áthúzódó bérkompenzáció</t>
  </si>
  <si>
    <t>Áht-n belüli megelőlegezések visszafizetésére ( nettó előleg)</t>
  </si>
  <si>
    <t>helyi önkormányzatok működési célú fejlesztéseinek támogatása önrészére (2068/2017.(XII.28.) Korm.Határozat)</t>
  </si>
  <si>
    <t>2068/2017.(XII.28.) Korm.hat. alapján helyi önkormányzatok működési célú kiegészítő támogatása</t>
  </si>
  <si>
    <t>Közfoglalkoztatottak 2017-ben kiutalt támogatási előlege</t>
  </si>
  <si>
    <t>041233</t>
  </si>
  <si>
    <t>Hosszabb időtartamú közfoglalkoztatás</t>
  </si>
  <si>
    <t>094260</t>
  </si>
  <si>
    <t>Hallgtói és oktatói ösztöndíjak egyéb juttatások</t>
  </si>
  <si>
    <t>Útburkolat felújításra ( Assisi Szent Ferenc u.)</t>
  </si>
  <si>
    <t>Közfoglalkoztatás támogatása</t>
  </si>
  <si>
    <t>1.sz. módosítása</t>
  </si>
  <si>
    <t>tervezett  előirányzat            ( Ft)</t>
  </si>
  <si>
    <t xml:space="preserve">2019. évi </t>
  </si>
  <si>
    <t>1. melléklet  a  2/2019. (II.12.) önkormányzati rendelethez</t>
  </si>
  <si>
    <t>2019. évre</t>
  </si>
  <si>
    <t>2. melléklet  a  2/2019. (II.12.) önkormányzati rendelethez</t>
  </si>
  <si>
    <t>2019. év</t>
  </si>
  <si>
    <t>Előző évi maradvány igénybevétel</t>
  </si>
  <si>
    <t>Közfoglalkoztatás előlege</t>
  </si>
  <si>
    <t>A téli rezsicsökkentésben korábban nem részesült háztatások egyszeri támogatásaáról szóló 1602/2018.(XI.27.) határozat alapján 2018-ban kiutalt támogatás</t>
  </si>
  <si>
    <t>3. melléklet  a  2/2019. (II.12.) önkormányzati rendelethez</t>
  </si>
  <si>
    <t>4. melléklet  a  2/2019. (II.12.) önkormányzati rendelethez</t>
  </si>
  <si>
    <t>5. melléklet  a  2/2019. (II.12.) önkormányzati rendelethez</t>
  </si>
  <si>
    <t>BERUHÁZÁSI KIADÁSOK</t>
  </si>
  <si>
    <t xml:space="preserve"> EGYÉB MŰKÖDÉSI CÉLÚ TÁMOGATÁSAI</t>
  </si>
  <si>
    <t>2019.év</t>
  </si>
  <si>
    <t>tervezett előirányzat</t>
  </si>
  <si>
    <t>EGYÉB MŰKÖDÉSI KIADÁSOK</t>
  </si>
  <si>
    <t>EGYÉB MŰKÖDÉSI CÉLÚ TÁMOGATÁSOK ÁLLAMHÁZTARTÁSON KÍVÜLRE</t>
  </si>
  <si>
    <t>VASI VOLÁN működési költség hozzájárulás</t>
  </si>
  <si>
    <t>Falugondnokok Vas megyei Egyesülete pártolói támogatás</t>
  </si>
  <si>
    <t>SÁGHEGY Leader Egyesület tagdíj</t>
  </si>
  <si>
    <t>Települési Önkormányzatok Országos Szövetsége tagdíj</t>
  </si>
  <si>
    <t>Sárvári Többcélú Kistérségi Társulás tagdíj</t>
  </si>
  <si>
    <t>BURSA Hungarica ösztöndíj pályázat támogatása</t>
  </si>
  <si>
    <t>EGYÉB MŰKÖDÉSI CÉLÚ TÁMOGATÁSOK ÁLLAMHÁZTARTÁSON KÍVÜLRE ÖSSZESEN:</t>
  </si>
  <si>
    <t>EGYÉB MŰKÖDÉSI KIADÁSOK ÖSSZESEN:</t>
  </si>
  <si>
    <t>TÁMOGATÁSOK ÖSSZESEN:</t>
  </si>
  <si>
    <t>6. melléklet  a  2./2019. (II. 12.) önkormányzati rendelethez</t>
  </si>
  <si>
    <t>Szent Miklós Egyházközösség  támogatása</t>
  </si>
  <si>
    <t>063020 Víztermelés-,  kezelés-, ellátás</t>
  </si>
  <si>
    <t>Porpác,Bögöt ívóvízminőség-javtása pályázat építési munkák költségei</t>
  </si>
  <si>
    <t>Könyvtári infrasturktúra megújítására eszközvásárlás</t>
  </si>
  <si>
    <t>Beruházási célú előzetesen felszámított általános forgalmi adó</t>
  </si>
  <si>
    <t xml:space="preserve">Összesen: </t>
  </si>
  <si>
    <t>BERUHÁZÁSOK ÖSSZESEN:</t>
  </si>
  <si>
    <t>1.1</t>
  </si>
  <si>
    <t>8 sz. melléklet a  2/2019.(II.12.) sz. önkormányzati rendelethez</t>
  </si>
  <si>
    <t>9.melléklet a 2/2019. (II.12.) önkormányzati rendelethez</t>
  </si>
  <si>
    <t>10. melléklet a 2/2019. (II.12.) önkormányzati rendelethez</t>
  </si>
  <si>
    <t>082044  Könyvtári szolgáltatások</t>
  </si>
  <si>
    <t>Kisértékű eszközbeszerzés</t>
  </si>
  <si>
    <t xml:space="preserve"> 011130 Önkormányzatok és önkormányzati hivatalok jogalkotó és általános igazgatási tevékenysége</t>
  </si>
  <si>
    <t>107055 Falugondnoki, tanyagondnoki szolgáltatás</t>
  </si>
  <si>
    <t>2.1</t>
  </si>
  <si>
    <t>3.1.</t>
  </si>
  <si>
    <t>064010 Közvilágítás</t>
  </si>
  <si>
    <t>4.1.</t>
  </si>
  <si>
    <t>5.1.</t>
  </si>
  <si>
    <t>Közvilágítás bővítése 1 db új lámpatest felszerelés</t>
  </si>
  <si>
    <t>1. melléklet  a  6/2019. (V.29.) önkormányzati rendelethez</t>
  </si>
  <si>
    <t>2. melléklet  a  6/2019. (V.29.) önkormányzati rendelethez</t>
  </si>
  <si>
    <t>3. melléklet  a  6/2019. (V.29.) önkormányzati rendelethez</t>
  </si>
  <si>
    <t>4. melléklet  a  6/2019. (V.29.) önkormányzati rendelethez</t>
  </si>
  <si>
    <t>5. melléklet  a  6/2019. (V.29.) önkormányzati rendelethez</t>
  </si>
  <si>
    <t>6. melléklet  a  6/2019. (V.29.) önkormányzati rendelethez</t>
  </si>
  <si>
    <t>7. sz. melléklet  a  6/2019. (V.29.) önkormányzati rendelethez</t>
  </si>
  <si>
    <t>8. melléklet  a  6/2019. (V.29.) önkormányzati rendelethez</t>
  </si>
  <si>
    <t>9. melléklet  a  6/2019. (V.29.)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</si>
</sst>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67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u val="single"/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i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1" borderId="7" applyNumberFormat="0" applyFon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8" applyNumberFormat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9" borderId="1" applyNumberFormat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10" fillId="0" borderId="0" xfId="57" applyFont="1">
      <alignment/>
      <protection/>
    </xf>
    <xf numFmtId="0" fontId="6" fillId="0" borderId="0" xfId="57" applyFont="1">
      <alignment/>
      <protection/>
    </xf>
    <xf numFmtId="164" fontId="6" fillId="0" borderId="0" xfId="57" applyNumberFormat="1" applyFont="1">
      <alignment/>
      <protection/>
    </xf>
    <xf numFmtId="164" fontId="10" fillId="0" borderId="0" xfId="57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57" applyFont="1">
      <alignment/>
      <protection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10" fillId="0" borderId="10" xfId="57" applyFont="1" applyBorder="1" applyAlignment="1">
      <alignment horizontal="left"/>
      <protection/>
    </xf>
    <xf numFmtId="0" fontId="10" fillId="0" borderId="10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8" fillId="0" borderId="0" xfId="57" applyFont="1" applyAlignment="1">
      <alignment/>
      <protection/>
    </xf>
    <xf numFmtId="0" fontId="4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/>
    </xf>
    <xf numFmtId="0" fontId="10" fillId="0" borderId="0" xfId="57" applyFont="1" applyBorder="1" applyAlignment="1">
      <alignment horizontal="center" vertical="center"/>
      <protection/>
    </xf>
    <xf numFmtId="168" fontId="10" fillId="0" borderId="12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7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1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57" applyFont="1">
      <alignment/>
      <protection/>
    </xf>
    <xf numFmtId="0" fontId="9" fillId="0" borderId="14" xfId="59" applyFont="1" applyBorder="1" applyAlignment="1" quotePrefix="1">
      <alignment horizontal="center" vertical="center" wrapText="1"/>
      <protection/>
    </xf>
    <xf numFmtId="0" fontId="9" fillId="0" borderId="15" xfId="59" applyFont="1" applyBorder="1" applyAlignment="1">
      <alignment horizontal="left" wrapText="1"/>
      <protection/>
    </xf>
    <xf numFmtId="0" fontId="9" fillId="0" borderId="16" xfId="59" applyFont="1" applyBorder="1" applyAlignment="1" quotePrefix="1">
      <alignment horizontal="center" vertical="center" wrapText="1"/>
      <protection/>
    </xf>
    <xf numFmtId="0" fontId="9" fillId="0" borderId="17" xfId="60" applyFont="1" applyBorder="1">
      <alignment/>
      <protection/>
    </xf>
    <xf numFmtId="0" fontId="9" fillId="0" borderId="15" xfId="60" applyFont="1" applyBorder="1">
      <alignment/>
      <protection/>
    </xf>
    <xf numFmtId="0" fontId="10" fillId="0" borderId="0" xfId="57" applyFont="1">
      <alignment/>
      <protection/>
    </xf>
    <xf numFmtId="0" fontId="12" fillId="0" borderId="0" xfId="57" applyFont="1">
      <alignment/>
      <protection/>
    </xf>
    <xf numFmtId="0" fontId="12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168" fontId="12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7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7" applyFont="1" applyBorder="1" applyAlignment="1">
      <alignment wrapText="1"/>
      <protection/>
    </xf>
    <xf numFmtId="0" fontId="10" fillId="0" borderId="18" xfId="57" applyFont="1" applyBorder="1" applyAlignment="1">
      <alignment horizontal="right"/>
      <protection/>
    </xf>
    <xf numFmtId="0" fontId="10" fillId="0" borderId="18" xfId="57" applyFont="1" applyBorder="1" applyAlignment="1">
      <alignment/>
      <protection/>
    </xf>
    <xf numFmtId="168" fontId="10" fillId="0" borderId="18" xfId="4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19" xfId="57" applyFont="1" applyBorder="1" applyAlignment="1">
      <alignment horizontal="right"/>
      <protection/>
    </xf>
    <xf numFmtId="0" fontId="6" fillId="0" borderId="19" xfId="57" applyFont="1" applyBorder="1">
      <alignment/>
      <protection/>
    </xf>
    <xf numFmtId="168" fontId="6" fillId="0" borderId="19" xfId="40" applyNumberFormat="1" applyFont="1" applyBorder="1" applyAlignment="1">
      <alignment/>
    </xf>
    <xf numFmtId="0" fontId="6" fillId="0" borderId="0" xfId="57" applyFont="1" applyBorder="1">
      <alignment/>
      <protection/>
    </xf>
    <xf numFmtId="0" fontId="10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18" fillId="0" borderId="18" xfId="0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19" xfId="58" applyFont="1" applyBorder="1" applyAlignment="1">
      <alignment horizontal="right"/>
      <protection/>
    </xf>
    <xf numFmtId="0" fontId="6" fillId="0" borderId="19" xfId="58" applyFont="1" applyBorder="1">
      <alignment/>
      <protection/>
    </xf>
    <xf numFmtId="168" fontId="6" fillId="0" borderId="19" xfId="58" applyNumberFormat="1" applyFont="1" applyBorder="1" applyAlignment="1">
      <alignment/>
      <protection/>
    </xf>
    <xf numFmtId="168" fontId="6" fillId="0" borderId="0" xfId="58" applyNumberFormat="1" applyFont="1">
      <alignment/>
      <protection/>
    </xf>
    <xf numFmtId="0" fontId="10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6" fillId="0" borderId="19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168" fontId="19" fillId="0" borderId="0" xfId="40" applyNumberFormat="1" applyFont="1" applyAlignment="1">
      <alignment/>
    </xf>
    <xf numFmtId="0" fontId="9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168" fontId="8" fillId="0" borderId="0" xfId="40" applyNumberFormat="1" applyFont="1" applyAlignment="1">
      <alignment/>
    </xf>
    <xf numFmtId="0" fontId="16" fillId="0" borderId="0" xfId="57" applyFont="1" applyAlignment="1">
      <alignment horizontal="center"/>
      <protection/>
    </xf>
    <xf numFmtId="168" fontId="16" fillId="0" borderId="0" xfId="40" applyNumberFormat="1" applyFont="1" applyAlignment="1">
      <alignment horizontal="centerContinuous"/>
    </xf>
    <xf numFmtId="168" fontId="16" fillId="0" borderId="20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1" xfId="40" applyNumberFormat="1" applyFont="1" applyBorder="1" applyAlignment="1">
      <alignment/>
    </xf>
    <xf numFmtId="168" fontId="4" fillId="0" borderId="22" xfId="40" applyNumberFormat="1" applyFont="1" applyBorder="1" applyAlignment="1">
      <alignment/>
    </xf>
    <xf numFmtId="168" fontId="4" fillId="0" borderId="18" xfId="40" applyNumberFormat="1" applyFont="1" applyBorder="1" applyAlignment="1">
      <alignment/>
    </xf>
    <xf numFmtId="168" fontId="4" fillId="0" borderId="23" xfId="40" applyNumberFormat="1" applyFont="1" applyBorder="1" applyAlignment="1">
      <alignment/>
    </xf>
    <xf numFmtId="0" fontId="8" fillId="0" borderId="24" xfId="60" applyFont="1" applyBorder="1">
      <alignment/>
      <protection/>
    </xf>
    <xf numFmtId="0" fontId="8" fillId="0" borderId="19" xfId="60" applyFont="1" applyBorder="1">
      <alignment/>
      <protection/>
    </xf>
    <xf numFmtId="168" fontId="4" fillId="0" borderId="19" xfId="40" applyNumberFormat="1" applyFont="1" applyBorder="1" applyAlignment="1">
      <alignment/>
    </xf>
    <xf numFmtId="0" fontId="9" fillId="0" borderId="25" xfId="59" applyFont="1" applyBorder="1" applyAlignment="1" quotePrefix="1">
      <alignment horizontal="center" vertical="center" wrapText="1"/>
      <protection/>
    </xf>
    <xf numFmtId="0" fontId="4" fillId="0" borderId="19" xfId="0" applyFont="1" applyBorder="1" applyAlignment="1">
      <alignment/>
    </xf>
    <xf numFmtId="0" fontId="14" fillId="0" borderId="0" xfId="0" applyFont="1" applyAlignment="1">
      <alignment/>
    </xf>
    <xf numFmtId="0" fontId="8" fillId="0" borderId="24" xfId="59" applyFont="1" applyBorder="1">
      <alignment/>
      <protection/>
    </xf>
    <xf numFmtId="0" fontId="8" fillId="0" borderId="19" xfId="59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26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7" xfId="40" applyNumberFormat="1" applyFont="1" applyBorder="1" applyAlignment="1">
      <alignment/>
    </xf>
    <xf numFmtId="168" fontId="6" fillId="0" borderId="28" xfId="40" applyNumberFormat="1" applyFont="1" applyBorder="1" applyAlignment="1">
      <alignment/>
    </xf>
    <xf numFmtId="168" fontId="6" fillId="0" borderId="29" xfId="40" applyNumberFormat="1" applyFont="1" applyBorder="1" applyAlignment="1">
      <alignment/>
    </xf>
    <xf numFmtId="168" fontId="10" fillId="0" borderId="29" xfId="40" applyNumberFormat="1" applyFont="1" applyBorder="1" applyAlignment="1">
      <alignment/>
    </xf>
    <xf numFmtId="168" fontId="10" fillId="0" borderId="28" xfId="40" applyNumberFormat="1" applyFont="1" applyBorder="1" applyAlignment="1">
      <alignment/>
    </xf>
    <xf numFmtId="168" fontId="10" fillId="0" borderId="11" xfId="4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0" xfId="0" applyFont="1" applyBorder="1" applyAlignment="1">
      <alignment horizontal="center"/>
    </xf>
    <xf numFmtId="168" fontId="10" fillId="0" borderId="31" xfId="40" applyNumberFormat="1" applyFont="1" applyBorder="1" applyAlignment="1">
      <alignment horizontal="center"/>
    </xf>
    <xf numFmtId="168" fontId="10" fillId="0" borderId="32" xfId="40" applyNumberFormat="1" applyFont="1" applyBorder="1" applyAlignment="1">
      <alignment horizontal="center"/>
    </xf>
    <xf numFmtId="168" fontId="10" fillId="0" borderId="33" xfId="4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34" xfId="0" applyFont="1" applyBorder="1" applyAlignment="1">
      <alignment/>
    </xf>
    <xf numFmtId="168" fontId="10" fillId="0" borderId="13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6" xfId="40" applyNumberFormat="1" applyFont="1" applyBorder="1" applyAlignment="1">
      <alignment/>
    </xf>
    <xf numFmtId="168" fontId="10" fillId="0" borderId="37" xfId="4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168" fontId="10" fillId="0" borderId="18" xfId="40" applyNumberFormat="1" applyFont="1" applyBorder="1" applyAlignment="1">
      <alignment/>
    </xf>
    <xf numFmtId="168" fontId="10" fillId="0" borderId="23" xfId="40" applyNumberFormat="1" applyFont="1" applyBorder="1" applyAlignment="1">
      <alignment/>
    </xf>
    <xf numFmtId="0" fontId="10" fillId="0" borderId="18" xfId="0" applyFont="1" applyBorder="1" applyAlignment="1">
      <alignment/>
    </xf>
    <xf numFmtId="168" fontId="10" fillId="0" borderId="18" xfId="40" applyNumberFormat="1" applyFont="1" applyBorder="1" applyAlignment="1">
      <alignment/>
    </xf>
    <xf numFmtId="168" fontId="21" fillId="0" borderId="18" xfId="40" applyNumberFormat="1" applyFont="1" applyFill="1" applyBorder="1" applyAlignment="1">
      <alignment/>
    </xf>
    <xf numFmtId="168" fontId="21" fillId="0" borderId="38" xfId="40" applyNumberFormat="1" applyFont="1" applyFill="1" applyBorder="1" applyAlignment="1">
      <alignment/>
    </xf>
    <xf numFmtId="168" fontId="10" fillId="0" borderId="18" xfId="40" applyNumberFormat="1" applyFont="1" applyFill="1" applyBorder="1" applyAlignment="1">
      <alignment/>
    </xf>
    <xf numFmtId="168" fontId="10" fillId="0" borderId="38" xfId="40" applyNumberFormat="1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6" fillId="0" borderId="19" xfId="0" applyFont="1" applyBorder="1" applyAlignment="1">
      <alignment/>
    </xf>
    <xf numFmtId="168" fontId="6" fillId="0" borderId="41" xfId="40" applyNumberFormat="1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10" fillId="0" borderId="42" xfId="0" applyFont="1" applyBorder="1" applyAlignment="1">
      <alignment horizontal="center"/>
    </xf>
    <xf numFmtId="0" fontId="6" fillId="0" borderId="21" xfId="0" applyFont="1" applyBorder="1" applyAlignment="1">
      <alignment/>
    </xf>
    <xf numFmtId="168" fontId="10" fillId="0" borderId="43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6" fillId="0" borderId="24" xfId="0" applyFont="1" applyBorder="1" applyAlignment="1">
      <alignment/>
    </xf>
    <xf numFmtId="168" fontId="10" fillId="0" borderId="44" xfId="40" applyNumberFormat="1" applyFont="1" applyBorder="1" applyAlignment="1">
      <alignment/>
    </xf>
    <xf numFmtId="168" fontId="10" fillId="0" borderId="45" xfId="40" applyNumberFormat="1" applyFont="1" applyBorder="1" applyAlignment="1">
      <alignment/>
    </xf>
    <xf numFmtId="0" fontId="10" fillId="0" borderId="18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169" fontId="6" fillId="0" borderId="0" xfId="0" applyNumberFormat="1" applyFont="1" applyAlignment="1">
      <alignment wrapText="1"/>
    </xf>
    <xf numFmtId="0" fontId="9" fillId="0" borderId="0" xfId="59" applyFont="1" applyBorder="1" applyAlignment="1">
      <alignment horizontal="left" wrapText="1"/>
      <protection/>
    </xf>
    <xf numFmtId="0" fontId="9" fillId="0" borderId="46" xfId="59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23" fillId="0" borderId="0" xfId="0" applyFont="1" applyAlignment="1">
      <alignment/>
    </xf>
    <xf numFmtId="0" fontId="6" fillId="0" borderId="18" xfId="57" applyFont="1" applyBorder="1" applyAlignment="1">
      <alignment/>
      <protection/>
    </xf>
    <xf numFmtId="0" fontId="10" fillId="0" borderId="0" xfId="0" applyFont="1" applyAlignment="1">
      <alignment vertical="center"/>
    </xf>
    <xf numFmtId="0" fontId="66" fillId="0" borderId="0" xfId="0" applyFont="1" applyAlignment="1">
      <alignment/>
    </xf>
    <xf numFmtId="3" fontId="0" fillId="0" borderId="0" xfId="0" applyNumberFormat="1" applyAlignment="1">
      <alignment/>
    </xf>
    <xf numFmtId="3" fontId="10" fillId="0" borderId="0" xfId="57" applyNumberFormat="1" applyFont="1">
      <alignment/>
      <protection/>
    </xf>
    <xf numFmtId="3" fontId="12" fillId="0" borderId="0" xfId="57" applyNumberFormat="1" applyFont="1">
      <alignment/>
      <protection/>
    </xf>
    <xf numFmtId="168" fontId="10" fillId="0" borderId="0" xfId="4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70" fontId="11" fillId="0" borderId="0" xfId="0" applyNumberFormat="1" applyFont="1" applyAlignment="1">
      <alignment horizontal="center"/>
    </xf>
    <xf numFmtId="170" fontId="10" fillId="0" borderId="0" xfId="4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15" xfId="59" applyFont="1" applyBorder="1" applyAlignment="1">
      <alignment horizontal="left" vertical="center" wrapText="1"/>
      <protection/>
    </xf>
    <xf numFmtId="3" fontId="9" fillId="0" borderId="47" xfId="59" applyNumberFormat="1" applyFont="1" applyBorder="1" applyAlignment="1">
      <alignment horizontal="right"/>
      <protection/>
    </xf>
    <xf numFmtId="3" fontId="9" fillId="0" borderId="17" xfId="59" applyNumberFormat="1" applyFont="1" applyBorder="1" applyAlignment="1">
      <alignment horizontal="right"/>
      <protection/>
    </xf>
    <xf numFmtId="3" fontId="9" fillId="0" borderId="18" xfId="59" applyNumberFormat="1" applyFont="1" applyBorder="1" applyAlignment="1">
      <alignment horizontal="right"/>
      <protection/>
    </xf>
    <xf numFmtId="3" fontId="14" fillId="0" borderId="18" xfId="59" applyNumberFormat="1" applyFont="1" applyBorder="1">
      <alignment/>
      <protection/>
    </xf>
    <xf numFmtId="3" fontId="9" fillId="0" borderId="18" xfId="59" applyNumberFormat="1" applyFont="1" applyBorder="1">
      <alignment/>
      <protection/>
    </xf>
    <xf numFmtId="3" fontId="14" fillId="0" borderId="38" xfId="59" applyNumberFormat="1" applyFont="1" applyBorder="1">
      <alignment/>
      <protection/>
    </xf>
    <xf numFmtId="3" fontId="8" fillId="0" borderId="24" xfId="59" applyNumberFormat="1" applyFont="1" applyBorder="1" applyAlignment="1">
      <alignment horizontal="right"/>
      <protection/>
    </xf>
    <xf numFmtId="3" fontId="9" fillId="0" borderId="38" xfId="59" applyNumberFormat="1" applyFont="1" applyBorder="1">
      <alignment/>
      <protection/>
    </xf>
    <xf numFmtId="3" fontId="9" fillId="0" borderId="23" xfId="59" applyNumberFormat="1" applyFont="1" applyBorder="1">
      <alignment/>
      <protection/>
    </xf>
    <xf numFmtId="3" fontId="9" fillId="0" borderId="47" xfId="60" applyNumberFormat="1" applyFont="1" applyBorder="1">
      <alignment/>
      <protection/>
    </xf>
    <xf numFmtId="3" fontId="9" fillId="0" borderId="21" xfId="60" applyNumberFormat="1" applyFont="1" applyBorder="1">
      <alignment/>
      <protection/>
    </xf>
    <xf numFmtId="3" fontId="9" fillId="0" borderId="48" xfId="60" applyNumberFormat="1" applyFont="1" applyBorder="1">
      <alignment/>
      <protection/>
    </xf>
    <xf numFmtId="3" fontId="9" fillId="0" borderId="18" xfId="60" applyNumberFormat="1" applyFont="1" applyBorder="1">
      <alignment/>
      <protection/>
    </xf>
    <xf numFmtId="3" fontId="14" fillId="0" borderId="17" xfId="59" applyNumberFormat="1" applyFont="1" applyBorder="1" applyAlignment="1">
      <alignment horizontal="right"/>
      <protection/>
    </xf>
    <xf numFmtId="3" fontId="14" fillId="0" borderId="18" xfId="59" applyNumberFormat="1" applyFont="1" applyBorder="1" applyAlignment="1">
      <alignment horizontal="right"/>
      <protection/>
    </xf>
    <xf numFmtId="3" fontId="14" fillId="0" borderId="18" xfId="59" applyNumberFormat="1" applyFont="1" applyBorder="1">
      <alignment/>
      <protection/>
    </xf>
    <xf numFmtId="3" fontId="14" fillId="0" borderId="38" xfId="59" applyNumberFormat="1" applyFont="1" applyBorder="1">
      <alignment/>
      <protection/>
    </xf>
    <xf numFmtId="3" fontId="14" fillId="0" borderId="23" xfId="59" applyNumberFormat="1" applyFont="1" applyBorder="1">
      <alignment/>
      <protection/>
    </xf>
    <xf numFmtId="3" fontId="14" fillId="0" borderId="48" xfId="60" applyNumberFormat="1" applyFont="1" applyBorder="1">
      <alignment/>
      <protection/>
    </xf>
    <xf numFmtId="3" fontId="14" fillId="0" borderId="18" xfId="60" applyNumberFormat="1" applyFont="1" applyBorder="1">
      <alignment/>
      <protection/>
    </xf>
    <xf numFmtId="3" fontId="9" fillId="0" borderId="38" xfId="60" applyNumberFormat="1" applyFont="1" applyBorder="1">
      <alignment/>
      <protection/>
    </xf>
    <xf numFmtId="3" fontId="8" fillId="0" borderId="19" xfId="59" applyNumberFormat="1" applyFont="1" applyBorder="1" applyAlignment="1">
      <alignment horizontal="right"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8" fontId="15" fillId="0" borderId="0" xfId="40" applyNumberFormat="1" applyFont="1" applyAlignment="1">
      <alignment wrapText="1"/>
    </xf>
    <xf numFmtId="164" fontId="1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68" fontId="15" fillId="0" borderId="0" xfId="4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3" fontId="10" fillId="0" borderId="0" xfId="57" applyNumberFormat="1" applyFont="1" applyAlignment="1">
      <alignment horizontal="right"/>
      <protection/>
    </xf>
    <xf numFmtId="3" fontId="15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/>
    </xf>
    <xf numFmtId="3" fontId="15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 wrapText="1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6" fillId="0" borderId="0" xfId="40" applyNumberFormat="1" applyFont="1" applyAlignment="1">
      <alignment horizontal="right"/>
    </xf>
    <xf numFmtId="3" fontId="10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168" fontId="4" fillId="0" borderId="50" xfId="40" applyNumberFormat="1" applyFont="1" applyBorder="1" applyAlignment="1">
      <alignment/>
    </xf>
    <xf numFmtId="0" fontId="9" fillId="0" borderId="19" xfId="59" applyFont="1" applyBorder="1" applyAlignment="1">
      <alignment horizontal="left" wrapText="1"/>
      <protection/>
    </xf>
    <xf numFmtId="168" fontId="19" fillId="0" borderId="0" xfId="40" applyNumberFormat="1" applyFont="1" applyAlignment="1">
      <alignment horizontal="right"/>
    </xf>
    <xf numFmtId="0" fontId="9" fillId="0" borderId="15" xfId="60" applyFont="1" applyBorder="1" applyAlignment="1">
      <alignment wrapText="1"/>
      <protection/>
    </xf>
    <xf numFmtId="170" fontId="4" fillId="0" borderId="0" xfId="40" applyNumberFormat="1" applyFont="1" applyAlignment="1">
      <alignment horizontal="center"/>
    </xf>
    <xf numFmtId="17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51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16" fontId="4" fillId="0" borderId="0" xfId="0" applyNumberFormat="1" applyFont="1" applyAlignment="1" quotePrefix="1">
      <alignment/>
    </xf>
    <xf numFmtId="49" fontId="4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3" fontId="9" fillId="0" borderId="0" xfId="0" applyNumberFormat="1" applyFont="1" applyAlignment="1">
      <alignment/>
    </xf>
    <xf numFmtId="14" fontId="4" fillId="0" borderId="0" xfId="0" applyNumberFormat="1" applyFont="1" applyAlignment="1" quotePrefix="1">
      <alignment/>
    </xf>
    <xf numFmtId="0" fontId="9" fillId="0" borderId="0" xfId="0" applyFont="1" applyAlignment="1" quotePrefix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68" fontId="16" fillId="0" borderId="0" xfId="40" applyNumberFormat="1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Border="1" applyAlignment="1">
      <alignment wrapText="1"/>
    </xf>
    <xf numFmtId="0" fontId="4" fillId="0" borderId="0" xfId="0" applyFont="1" applyAlignment="1" quotePrefix="1">
      <alignment/>
    </xf>
    <xf numFmtId="0" fontId="8" fillId="0" borderId="0" xfId="59" applyFont="1" applyBorder="1" applyAlignment="1">
      <alignment horizontal="left" wrapText="1"/>
      <protection/>
    </xf>
    <xf numFmtId="0" fontId="9" fillId="0" borderId="0" xfId="0" applyFont="1" applyBorder="1" applyAlignment="1" quotePrefix="1">
      <alignment/>
    </xf>
    <xf numFmtId="0" fontId="8" fillId="0" borderId="0" xfId="60" applyFont="1" applyBorder="1">
      <alignment/>
      <protection/>
    </xf>
    <xf numFmtId="3" fontId="9" fillId="0" borderId="5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59" applyFont="1" applyBorder="1" applyAlignment="1" quotePrefix="1">
      <alignment horizontal="left" vertical="center" wrapText="1"/>
      <protection/>
    </xf>
    <xf numFmtId="0" fontId="0" fillId="0" borderId="0" xfId="0" applyBorder="1" applyAlignment="1">
      <alignment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26" xfId="57" applyFont="1" applyBorder="1" applyAlignment="1">
      <alignment horizontal="center" vertical="center"/>
      <protection/>
    </xf>
    <xf numFmtId="0" fontId="10" fillId="0" borderId="54" xfId="57" applyFont="1" applyBorder="1" applyAlignment="1">
      <alignment horizontal="center" vertical="center"/>
      <protection/>
    </xf>
    <xf numFmtId="0" fontId="10" fillId="0" borderId="20" xfId="57" applyFont="1" applyBorder="1" applyAlignment="1">
      <alignment horizontal="center" vertical="center"/>
      <protection/>
    </xf>
    <xf numFmtId="0" fontId="10" fillId="0" borderId="3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55" xfId="57" applyFont="1" applyBorder="1" applyAlignment="1">
      <alignment horizontal="center" vertical="center"/>
      <protection/>
    </xf>
    <xf numFmtId="0" fontId="10" fillId="0" borderId="34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56" xfId="57" applyFont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57" applyFont="1" applyAlignment="1">
      <alignment horizontal="center"/>
      <protection/>
    </xf>
    <xf numFmtId="0" fontId="9" fillId="0" borderId="0" xfId="59" applyFont="1" applyBorder="1" applyAlignment="1">
      <alignment horizontal="left" wrapText="1"/>
      <protection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57" applyFont="1" applyBorder="1" applyAlignment="1">
      <alignment horizontal="left" vertical="center" wrapText="1"/>
      <protection/>
    </xf>
    <xf numFmtId="0" fontId="10" fillId="0" borderId="0" xfId="5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9" fillId="0" borderId="11" xfId="57" applyFont="1" applyBorder="1" applyAlignment="1">
      <alignment horizontal="center" textRotation="255"/>
      <protection/>
    </xf>
    <xf numFmtId="0" fontId="19" fillId="0" borderId="12" xfId="57" applyFont="1" applyBorder="1" applyAlignment="1">
      <alignment horizontal="center" textRotation="255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168" fontId="16" fillId="0" borderId="57" xfId="40" applyNumberFormat="1" applyFont="1" applyBorder="1" applyAlignment="1">
      <alignment horizontal="center"/>
    </xf>
    <xf numFmtId="168" fontId="16" fillId="0" borderId="58" xfId="40" applyNumberFormat="1" applyFont="1" applyBorder="1" applyAlignment="1">
      <alignment horizontal="center"/>
    </xf>
    <xf numFmtId="168" fontId="16" fillId="0" borderId="26" xfId="40" applyNumberFormat="1" applyFont="1" applyBorder="1" applyAlignment="1">
      <alignment horizontal="center"/>
    </xf>
    <xf numFmtId="168" fontId="16" fillId="0" borderId="54" xfId="40" applyNumberFormat="1" applyFont="1" applyBorder="1" applyAlignment="1">
      <alignment horizontal="center"/>
    </xf>
    <xf numFmtId="168" fontId="16" fillId="0" borderId="20" xfId="40" applyNumberFormat="1" applyFont="1" applyBorder="1" applyAlignment="1">
      <alignment horizontal="center"/>
    </xf>
    <xf numFmtId="168" fontId="16" fillId="0" borderId="30" xfId="40" applyNumberFormat="1" applyFont="1" applyBorder="1" applyAlignment="1">
      <alignment horizontal="center"/>
    </xf>
    <xf numFmtId="168" fontId="16" fillId="0" borderId="0" xfId="40" applyNumberFormat="1" applyFont="1" applyBorder="1" applyAlignment="1">
      <alignment horizontal="center"/>
    </xf>
    <xf numFmtId="168" fontId="16" fillId="0" borderId="55" xfId="40" applyNumberFormat="1" applyFont="1" applyBorder="1" applyAlignment="1">
      <alignment horizontal="center"/>
    </xf>
    <xf numFmtId="168" fontId="16" fillId="0" borderId="34" xfId="40" applyNumberFormat="1" applyFont="1" applyBorder="1" applyAlignment="1">
      <alignment horizontal="center"/>
    </xf>
    <xf numFmtId="168" fontId="16" fillId="0" borderId="10" xfId="40" applyNumberFormat="1" applyFont="1" applyBorder="1" applyAlignment="1">
      <alignment horizontal="center"/>
    </xf>
    <xf numFmtId="168" fontId="16" fillId="0" borderId="56" xfId="4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7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9" fillId="0" borderId="10" xfId="60" applyFont="1" applyBorder="1" applyAlignment="1">
      <alignment horizontal="right"/>
      <protection/>
    </xf>
    <xf numFmtId="0" fontId="10" fillId="0" borderId="0" xfId="60" applyFont="1" applyAlignment="1">
      <alignment horizontal="right"/>
      <protection/>
    </xf>
    <xf numFmtId="0" fontId="21" fillId="0" borderId="0" xfId="0" applyFont="1" applyAlignment="1">
      <alignment horizontal="right"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24" xfId="57" applyFont="1" applyBorder="1" applyAlignment="1">
      <alignment horizontal="center" wrapText="1"/>
      <protection/>
    </xf>
    <xf numFmtId="0" fontId="9" fillId="0" borderId="57" xfId="57" applyFont="1" applyBorder="1" applyAlignment="1">
      <alignment horizontal="center" wrapText="1"/>
      <protection/>
    </xf>
    <xf numFmtId="0" fontId="9" fillId="0" borderId="58" xfId="57" applyFont="1" applyBorder="1" applyAlignment="1">
      <alignment horizontal="center" wrapText="1"/>
      <protection/>
    </xf>
    <xf numFmtId="44" fontId="9" fillId="0" borderId="24" xfId="62" applyFont="1" applyBorder="1" applyAlignment="1">
      <alignment horizontal="center"/>
    </xf>
    <xf numFmtId="44" fontId="9" fillId="0" borderId="57" xfId="62" applyFont="1" applyBorder="1" applyAlignment="1">
      <alignment horizontal="center"/>
    </xf>
    <xf numFmtId="44" fontId="9" fillId="0" borderId="58" xfId="62" applyFont="1" applyBorder="1" applyAlignment="1">
      <alignment horizontal="center"/>
    </xf>
    <xf numFmtId="0" fontId="7" fillId="0" borderId="0" xfId="60" applyFont="1" applyAlignment="1">
      <alignment horizont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0" borderId="11" xfId="57" applyFont="1" applyBorder="1" applyAlignment="1">
      <alignment horizontal="center" textRotation="255"/>
      <protection/>
    </xf>
    <xf numFmtId="0" fontId="9" fillId="0" borderId="12" xfId="57" applyFont="1" applyBorder="1" applyAlignment="1">
      <alignment horizontal="center" textRotation="255"/>
      <protection/>
    </xf>
    <xf numFmtId="0" fontId="9" fillId="0" borderId="13" xfId="57" applyFont="1" applyBorder="1" applyAlignment="1">
      <alignment horizontal="center" textRotation="255"/>
      <protection/>
    </xf>
    <xf numFmtId="0" fontId="9" fillId="0" borderId="24" xfId="57" applyFont="1" applyBorder="1" applyAlignment="1">
      <alignment horizontal="center"/>
      <protection/>
    </xf>
    <xf numFmtId="0" fontId="9" fillId="0" borderId="57" xfId="57" applyFont="1" applyBorder="1" applyAlignment="1">
      <alignment horizontal="center"/>
      <protection/>
    </xf>
    <xf numFmtId="0" fontId="9" fillId="0" borderId="58" xfId="57" applyFont="1" applyBorder="1" applyAlignment="1">
      <alignment horizontal="center"/>
      <protection/>
    </xf>
    <xf numFmtId="0" fontId="7" fillId="0" borderId="34" xfId="57" applyFont="1" applyBorder="1" applyAlignment="1">
      <alignment horizontal="center"/>
      <protection/>
    </xf>
    <xf numFmtId="0" fontId="7" fillId="0" borderId="56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7" fillId="0" borderId="24" xfId="57" applyFont="1" applyBorder="1" applyAlignment="1">
      <alignment horizontal="center"/>
      <protection/>
    </xf>
    <xf numFmtId="0" fontId="7" fillId="0" borderId="58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0" fontId="7" fillId="0" borderId="55" xfId="57" applyFont="1" applyBorder="1" applyAlignment="1">
      <alignment horizontal="center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3" xfId="57" applyFont="1" applyBorder="1" applyAlignment="1">
      <alignment horizontal="center" textRotation="255"/>
      <protection/>
    </xf>
    <xf numFmtId="0" fontId="4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27" fillId="0" borderId="0" xfId="0" applyFont="1" applyAlignment="1">
      <alignment wrapText="1"/>
    </xf>
    <xf numFmtId="0" fontId="27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54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.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3"/>
  <sheetViews>
    <sheetView tabSelected="1" zoomScalePageLayoutView="0" workbookViewId="0" topLeftCell="E28">
      <selection activeCell="Q50" sqref="Q50:S50"/>
    </sheetView>
  </sheetViews>
  <sheetFormatPr defaultColWidth="9.00390625" defaultRowHeight="12.75"/>
  <cols>
    <col min="14" max="14" width="11.00390625" style="0" customWidth="1"/>
  </cols>
  <sheetData>
    <row r="42" spans="14:22" ht="22.5">
      <c r="N42" s="318" t="s">
        <v>260</v>
      </c>
      <c r="O42" s="318"/>
      <c r="P42" s="318"/>
      <c r="Q42" s="318"/>
      <c r="R42" s="318"/>
      <c r="S42" s="318"/>
      <c r="T42" s="318"/>
      <c r="U42" s="318"/>
      <c r="V42" s="318"/>
    </row>
    <row r="43" spans="14:21" ht="22.5">
      <c r="N43" s="318"/>
      <c r="O43" s="318"/>
      <c r="P43" s="318"/>
      <c r="Q43" s="318"/>
      <c r="R43" s="318"/>
      <c r="S43" s="318"/>
      <c r="T43" s="318"/>
      <c r="U43" s="318"/>
    </row>
    <row r="44" spans="14:22" ht="22.5">
      <c r="N44" s="318" t="s">
        <v>343</v>
      </c>
      <c r="O44" s="318"/>
      <c r="P44" s="318"/>
      <c r="Q44" s="318"/>
      <c r="R44" s="318"/>
      <c r="S44" s="318"/>
      <c r="T44" s="318"/>
      <c r="U44" s="318"/>
      <c r="V44" s="318"/>
    </row>
    <row r="45" spans="14:22" ht="22.5">
      <c r="N45" s="318" t="s">
        <v>261</v>
      </c>
      <c r="O45" s="318"/>
      <c r="P45" s="318"/>
      <c r="Q45" s="318"/>
      <c r="R45" s="318"/>
      <c r="S45" s="318"/>
      <c r="T45" s="318"/>
      <c r="U45" s="318"/>
      <c r="V45" s="318"/>
    </row>
    <row r="47" spans="17:19" ht="12.75">
      <c r="Q47" s="319" t="s">
        <v>341</v>
      </c>
      <c r="R47" s="320"/>
      <c r="S47" s="320"/>
    </row>
    <row r="48" spans="17:19" ht="12.75">
      <c r="Q48" s="320"/>
      <c r="R48" s="320"/>
      <c r="S48" s="320"/>
    </row>
    <row r="50" spans="17:19" ht="21" customHeight="1">
      <c r="Q50" s="319"/>
      <c r="R50" s="319"/>
      <c r="S50" s="319"/>
    </row>
    <row r="53" spans="14:16" s="140" customFormat="1" ht="15.75">
      <c r="N53" s="206"/>
      <c r="O53" s="13"/>
      <c r="P53" s="15"/>
    </row>
  </sheetData>
  <sheetProtection/>
  <mergeCells count="6">
    <mergeCell ref="N45:V45"/>
    <mergeCell ref="N43:U43"/>
    <mergeCell ref="N42:V42"/>
    <mergeCell ref="N44:V44"/>
    <mergeCell ref="Q47:S48"/>
    <mergeCell ref="Q50:S50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S50"/>
  <sheetViews>
    <sheetView zoomScalePageLayoutView="0" workbookViewId="0" topLeftCell="A1">
      <selection activeCell="B7" sqref="B7:O7"/>
    </sheetView>
  </sheetViews>
  <sheetFormatPr defaultColWidth="9.00390625" defaultRowHeight="12.75"/>
  <cols>
    <col min="1" max="1" width="5.125" style="21" customWidth="1"/>
    <col min="2" max="2" width="43.625" style="21" customWidth="1"/>
    <col min="3" max="14" width="15.375" style="16" customWidth="1"/>
    <col min="15" max="15" width="18.875" style="16" customWidth="1"/>
    <col min="16" max="16" width="12.625" style="21" bestFit="1" customWidth="1"/>
    <col min="17" max="16384" width="9.125" style="21" customWidth="1"/>
  </cols>
  <sheetData>
    <row r="1" spans="1:15" ht="15.75">
      <c r="A1" s="377" t="s">
        <v>399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</row>
    <row r="2" spans="3:15" s="204" customFormat="1" ht="15.75"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s="54" customFormat="1" ht="15.75">
      <c r="A3" s="54" t="s">
        <v>380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05"/>
    </row>
    <row r="4" ht="15.75">
      <c r="O4" s="205"/>
    </row>
    <row r="5" spans="2:15" ht="15.75"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</row>
    <row r="6" spans="2:15" ht="15.75"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</row>
    <row r="7" spans="2:15" ht="15.75">
      <c r="B7" s="324" t="s">
        <v>251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</row>
    <row r="8" spans="2:15" ht="15.75">
      <c r="B8" s="324" t="s">
        <v>205</v>
      </c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</row>
    <row r="9" spans="2:15" ht="15.75">
      <c r="B9" s="324" t="s">
        <v>347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</row>
    <row r="10" spans="3:15" ht="16.5" thickBot="1">
      <c r="C10" s="17"/>
      <c r="D10" s="17"/>
      <c r="E10" s="17"/>
      <c r="F10" s="153"/>
      <c r="G10" s="17"/>
      <c r="H10" s="17"/>
      <c r="I10" s="17"/>
      <c r="J10" s="17"/>
      <c r="O10" s="154" t="s">
        <v>280</v>
      </c>
    </row>
    <row r="11" spans="1:15" ht="15.75">
      <c r="A11" s="155" t="s">
        <v>18</v>
      </c>
      <c r="B11" s="156"/>
      <c r="C11" s="157"/>
      <c r="D11" s="158"/>
      <c r="E11" s="159"/>
      <c r="F11" s="160"/>
      <c r="G11" s="160"/>
      <c r="H11" s="160"/>
      <c r="I11" s="160"/>
      <c r="J11" s="160"/>
      <c r="K11" s="161"/>
      <c r="L11" s="161"/>
      <c r="M11" s="161"/>
      <c r="N11" s="162"/>
      <c r="O11" s="163"/>
    </row>
    <row r="12" spans="1:15" ht="15.75">
      <c r="A12" s="164"/>
      <c r="B12" s="165" t="s">
        <v>0</v>
      </c>
      <c r="C12" s="58" t="s">
        <v>206</v>
      </c>
      <c r="D12" s="166" t="s">
        <v>207</v>
      </c>
      <c r="E12" s="167" t="s">
        <v>208</v>
      </c>
      <c r="F12" s="168" t="s">
        <v>209</v>
      </c>
      <c r="G12" s="168" t="s">
        <v>210</v>
      </c>
      <c r="H12" s="168" t="s">
        <v>211</v>
      </c>
      <c r="I12" s="168" t="s">
        <v>212</v>
      </c>
      <c r="J12" s="168" t="s">
        <v>213</v>
      </c>
      <c r="K12" s="168" t="s">
        <v>214</v>
      </c>
      <c r="L12" s="168" t="s">
        <v>215</v>
      </c>
      <c r="M12" s="168" t="s">
        <v>216</v>
      </c>
      <c r="N12" s="167" t="s">
        <v>217</v>
      </c>
      <c r="O12" s="98" t="s">
        <v>202</v>
      </c>
    </row>
    <row r="13" spans="1:15" ht="16.5" thickBot="1">
      <c r="A13" s="169" t="s">
        <v>19</v>
      </c>
      <c r="B13" s="170"/>
      <c r="C13" s="171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3"/>
      <c r="O13" s="171"/>
    </row>
    <row r="14" spans="1:15" ht="28.5" customHeight="1">
      <c r="A14" s="175"/>
      <c r="B14" s="176" t="s">
        <v>218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</row>
    <row r="15" spans="1:15" ht="28.5" customHeight="1">
      <c r="A15" s="175" t="s">
        <v>20</v>
      </c>
      <c r="B15" s="176" t="s">
        <v>219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</row>
    <row r="16" spans="1:15" ht="28.5" customHeight="1">
      <c r="A16" s="175"/>
      <c r="B16" s="176" t="s">
        <v>220</v>
      </c>
      <c r="C16" s="177">
        <f>883825+16093</f>
        <v>899918</v>
      </c>
      <c r="D16" s="177">
        <f>1773000+15764</f>
        <v>1788764</v>
      </c>
      <c r="E16" s="177">
        <f>1773000+15763</f>
        <v>1788763</v>
      </c>
      <c r="F16" s="177">
        <f>1773000+15763</f>
        <v>1788763</v>
      </c>
      <c r="G16" s="177">
        <v>1710385</v>
      </c>
      <c r="H16" s="177">
        <v>1710385</v>
      </c>
      <c r="I16" s="177">
        <v>1710385</v>
      </c>
      <c r="J16" s="177">
        <v>1710385</v>
      </c>
      <c r="K16" s="177">
        <v>1710385</v>
      </c>
      <c r="L16" s="177">
        <v>1710385</v>
      </c>
      <c r="M16" s="177">
        <v>1710385</v>
      </c>
      <c r="N16" s="177">
        <v>1710381</v>
      </c>
      <c r="O16" s="178">
        <f>SUM(C16:N16)</f>
        <v>19949284</v>
      </c>
    </row>
    <row r="17" spans="1:15" ht="28.5" customHeight="1">
      <c r="A17" s="175"/>
      <c r="B17" s="176" t="s">
        <v>221</v>
      </c>
      <c r="C17" s="177"/>
      <c r="D17" s="177"/>
      <c r="E17" s="177">
        <v>602179</v>
      </c>
      <c r="F17" s="177"/>
      <c r="G17" s="177"/>
      <c r="H17" s="177"/>
      <c r="I17" s="177"/>
      <c r="J17" s="177">
        <v>42000</v>
      </c>
      <c r="K17" s="177"/>
      <c r="L17" s="177"/>
      <c r="M17" s="177">
        <v>42000</v>
      </c>
      <c r="N17" s="177"/>
      <c r="O17" s="178">
        <f>SUM(C17:N17)</f>
        <v>686179</v>
      </c>
    </row>
    <row r="18" spans="1:15" ht="28.5" customHeight="1">
      <c r="A18" s="175" t="s">
        <v>14</v>
      </c>
      <c r="B18" s="176" t="s">
        <v>222</v>
      </c>
      <c r="C18" s="177"/>
      <c r="D18" s="177">
        <v>4500000</v>
      </c>
      <c r="E18" s="177"/>
      <c r="F18" s="177"/>
      <c r="G18" s="177"/>
      <c r="H18" s="177">
        <v>5311470</v>
      </c>
      <c r="I18" s="177"/>
      <c r="J18" s="177"/>
      <c r="K18" s="177"/>
      <c r="L18" s="177"/>
      <c r="M18" s="177"/>
      <c r="N18" s="177">
        <v>5311470</v>
      </c>
      <c r="O18" s="178">
        <f aca="true" t="shared" si="0" ref="O18:O28">SUM(C18:N18)</f>
        <v>15122940</v>
      </c>
    </row>
    <row r="19" spans="1:15" ht="15.75">
      <c r="A19" s="175" t="s">
        <v>21</v>
      </c>
      <c r="B19" s="176" t="s">
        <v>223</v>
      </c>
      <c r="C19" s="177">
        <v>23000</v>
      </c>
      <c r="D19" s="177">
        <v>83000</v>
      </c>
      <c r="E19" s="177">
        <v>415000</v>
      </c>
      <c r="F19" s="177">
        <v>69000</v>
      </c>
      <c r="G19" s="177">
        <v>64000</v>
      </c>
      <c r="H19" s="177">
        <v>24000</v>
      </c>
      <c r="I19" s="177">
        <v>9000</v>
      </c>
      <c r="J19" s="177">
        <v>120000</v>
      </c>
      <c r="K19" s="177">
        <v>410000</v>
      </c>
      <c r="L19" s="177">
        <v>22000</v>
      </c>
      <c r="M19" s="177">
        <v>184000</v>
      </c>
      <c r="N19" s="177">
        <v>72000</v>
      </c>
      <c r="O19" s="178">
        <f t="shared" si="0"/>
        <v>1495000</v>
      </c>
    </row>
    <row r="20" spans="1:17" ht="15.75">
      <c r="A20" s="175" t="s">
        <v>59</v>
      </c>
      <c r="B20" s="176" t="s">
        <v>224</v>
      </c>
      <c r="C20" s="177">
        <v>72753</v>
      </c>
      <c r="D20" s="177">
        <v>72753</v>
      </c>
      <c r="E20" s="177">
        <v>72753</v>
      </c>
      <c r="F20" s="177">
        <v>72753</v>
      </c>
      <c r="G20" s="177">
        <v>72753</v>
      </c>
      <c r="H20" s="177">
        <v>72753</v>
      </c>
      <c r="I20" s="177">
        <v>72753</v>
      </c>
      <c r="J20" s="177">
        <v>72753</v>
      </c>
      <c r="K20" s="177">
        <v>72753</v>
      </c>
      <c r="L20" s="177">
        <v>72753</v>
      </c>
      <c r="M20" s="177">
        <v>72753</v>
      </c>
      <c r="N20" s="177">
        <f>72753+4200081</f>
        <v>4272834</v>
      </c>
      <c r="O20" s="178">
        <f t="shared" si="0"/>
        <v>5073117</v>
      </c>
      <c r="P20" s="200"/>
      <c r="Q20" s="200"/>
    </row>
    <row r="21" spans="1:15" ht="15.75">
      <c r="A21" s="175" t="s">
        <v>60</v>
      </c>
      <c r="B21" s="179" t="s">
        <v>225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78">
        <f t="shared" si="0"/>
        <v>0</v>
      </c>
    </row>
    <row r="22" spans="1:15" ht="15.75">
      <c r="A22" s="175" t="s">
        <v>65</v>
      </c>
      <c r="B22" s="179" t="s">
        <v>143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O22" s="178">
        <f t="shared" si="0"/>
        <v>0</v>
      </c>
    </row>
    <row r="23" spans="1:15" ht="31.5">
      <c r="A23" s="175"/>
      <c r="B23" s="176" t="s">
        <v>226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  <c r="O23" s="178">
        <f t="shared" si="0"/>
        <v>0</v>
      </c>
    </row>
    <row r="24" spans="1:15" ht="17.25" customHeight="1">
      <c r="A24" s="175"/>
      <c r="B24" s="176" t="s">
        <v>227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4"/>
      <c r="O24" s="178">
        <f t="shared" si="0"/>
        <v>0</v>
      </c>
    </row>
    <row r="25" spans="1:15" ht="15.75">
      <c r="A25" s="175" t="s">
        <v>149</v>
      </c>
      <c r="B25" s="179" t="s">
        <v>228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178">
        <f t="shared" si="0"/>
        <v>0</v>
      </c>
    </row>
    <row r="26" spans="1:15" ht="47.25">
      <c r="A26" s="175"/>
      <c r="B26" s="198" t="s">
        <v>229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4"/>
      <c r="O26" s="178">
        <f t="shared" si="0"/>
        <v>0</v>
      </c>
    </row>
    <row r="27" spans="1:15" ht="15.75">
      <c r="A27" s="175"/>
      <c r="B27" s="176" t="s">
        <v>230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4"/>
      <c r="O27" s="178">
        <f t="shared" si="0"/>
        <v>0</v>
      </c>
    </row>
    <row r="28" spans="1:15" ht="15.75">
      <c r="A28" s="175" t="s">
        <v>151</v>
      </c>
      <c r="B28" s="179" t="s">
        <v>231</v>
      </c>
      <c r="C28" s="183">
        <v>1717365</v>
      </c>
      <c r="D28" s="183"/>
      <c r="E28" s="183"/>
      <c r="F28" s="183"/>
      <c r="G28" s="183">
        <v>9967697</v>
      </c>
      <c r="H28" s="183"/>
      <c r="I28" s="183"/>
      <c r="J28" s="183"/>
      <c r="K28" s="183"/>
      <c r="L28" s="183"/>
      <c r="M28" s="183"/>
      <c r="N28" s="184"/>
      <c r="O28" s="178">
        <f t="shared" si="0"/>
        <v>11685062</v>
      </c>
    </row>
    <row r="29" spans="1:15" ht="16.5" thickBot="1">
      <c r="A29" s="185" t="s">
        <v>153</v>
      </c>
      <c r="B29" s="186" t="s">
        <v>232</v>
      </c>
      <c r="C29" s="183"/>
      <c r="D29" s="183">
        <f>C48</f>
        <v>132908</v>
      </c>
      <c r="E29" s="183">
        <f aca="true" t="shared" si="1" ref="E29:N29">D48</f>
        <v>4827849</v>
      </c>
      <c r="F29" s="183">
        <f t="shared" si="1"/>
        <v>5901370</v>
      </c>
      <c r="G29" s="183">
        <f t="shared" si="1"/>
        <v>5625506</v>
      </c>
      <c r="H29" s="183">
        <f t="shared" si="1"/>
        <v>6083210</v>
      </c>
      <c r="I29" s="183">
        <f t="shared" si="1"/>
        <v>11486894</v>
      </c>
      <c r="J29" s="183">
        <f t="shared" si="1"/>
        <v>11417948</v>
      </c>
      <c r="K29" s="183">
        <f t="shared" si="1"/>
        <v>11321602</v>
      </c>
      <c r="L29" s="183">
        <f t="shared" si="1"/>
        <v>11666956</v>
      </c>
      <c r="M29" s="183">
        <f t="shared" si="1"/>
        <v>11562508</v>
      </c>
      <c r="N29" s="183">
        <f t="shared" si="1"/>
        <v>11206834</v>
      </c>
      <c r="O29" s="178"/>
    </row>
    <row r="30" spans="1:16" s="13" customFormat="1" ht="27.75" customHeight="1" thickBot="1">
      <c r="A30" s="187"/>
      <c r="B30" s="187" t="s">
        <v>233</v>
      </c>
      <c r="C30" s="188">
        <f aca="true" t="shared" si="2" ref="C30:N30">SUM(C16:C29)</f>
        <v>2713036</v>
      </c>
      <c r="D30" s="188">
        <f t="shared" si="2"/>
        <v>6577425</v>
      </c>
      <c r="E30" s="188">
        <f t="shared" si="2"/>
        <v>7706544</v>
      </c>
      <c r="F30" s="188">
        <f t="shared" si="2"/>
        <v>7831886</v>
      </c>
      <c r="G30" s="188">
        <f t="shared" si="2"/>
        <v>17440341</v>
      </c>
      <c r="H30" s="188">
        <f t="shared" si="2"/>
        <v>13201818</v>
      </c>
      <c r="I30" s="188">
        <f t="shared" si="2"/>
        <v>13279032</v>
      </c>
      <c r="J30" s="188">
        <f t="shared" si="2"/>
        <v>13363086</v>
      </c>
      <c r="K30" s="188">
        <f t="shared" si="2"/>
        <v>13514740</v>
      </c>
      <c r="L30" s="188">
        <f t="shared" si="2"/>
        <v>13472094</v>
      </c>
      <c r="M30" s="188">
        <f t="shared" si="2"/>
        <v>13571646</v>
      </c>
      <c r="N30" s="188">
        <f t="shared" si="2"/>
        <v>22573519</v>
      </c>
      <c r="O30" s="189">
        <f>SUM(O15:O29)</f>
        <v>54011582</v>
      </c>
      <c r="P30" s="65"/>
    </row>
    <row r="31" spans="1:15" ht="15.75">
      <c r="A31" s="190"/>
      <c r="B31" s="191" t="s">
        <v>234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92"/>
    </row>
    <row r="32" spans="1:16" ht="15.75">
      <c r="A32" s="175" t="s">
        <v>159</v>
      </c>
      <c r="B32" s="179" t="s">
        <v>109</v>
      </c>
      <c r="C32" s="177">
        <f>381300+282671+13181+287</f>
        <v>677439</v>
      </c>
      <c r="D32" s="177">
        <f>633712+13191+95766</f>
        <v>742669</v>
      </c>
      <c r="E32" s="177">
        <f>633712+13191+95765</f>
        <v>742668</v>
      </c>
      <c r="F32" s="177">
        <f>633713+13191+95765+3</f>
        <v>742672</v>
      </c>
      <c r="G32" s="177">
        <v>765007</v>
      </c>
      <c r="H32" s="177">
        <v>765007</v>
      </c>
      <c r="I32" s="177">
        <v>765007</v>
      </c>
      <c r="J32" s="177">
        <v>765007</v>
      </c>
      <c r="K32" s="177">
        <v>765007</v>
      </c>
      <c r="L32" s="177">
        <v>765007</v>
      </c>
      <c r="M32" s="177">
        <v>765007</v>
      </c>
      <c r="N32" s="177">
        <v>765007</v>
      </c>
      <c r="O32" s="178">
        <f aca="true" t="shared" si="3" ref="O32:O46">SUM(C32:N32)</f>
        <v>9025504</v>
      </c>
      <c r="P32" s="200"/>
    </row>
    <row r="33" spans="1:15" ht="31.5">
      <c r="A33" s="175" t="s">
        <v>161</v>
      </c>
      <c r="B33" s="198" t="s">
        <v>235</v>
      </c>
      <c r="C33" s="177">
        <f>149956+10+2572</f>
        <v>152538</v>
      </c>
      <c r="D33" s="177">
        <f>149956+2573+9175</f>
        <v>161704</v>
      </c>
      <c r="E33" s="177">
        <f>149956+2572+9175</f>
        <v>161703</v>
      </c>
      <c r="F33" s="177">
        <f>149956+9175+2576+51</f>
        <v>161758</v>
      </c>
      <c r="G33" s="177">
        <v>169174</v>
      </c>
      <c r="H33" s="177">
        <v>169174</v>
      </c>
      <c r="I33" s="177">
        <v>169174</v>
      </c>
      <c r="J33" s="177">
        <v>169174</v>
      </c>
      <c r="K33" s="177">
        <v>169174</v>
      </c>
      <c r="L33" s="177">
        <v>169174</v>
      </c>
      <c r="M33" s="177">
        <v>169174</v>
      </c>
      <c r="N33" s="177">
        <v>169174</v>
      </c>
      <c r="O33" s="178">
        <f t="shared" si="3"/>
        <v>1991095</v>
      </c>
    </row>
    <row r="34" spans="1:17" ht="15.75">
      <c r="A34" s="175" t="s">
        <v>163</v>
      </c>
      <c r="B34" s="179" t="s">
        <v>111</v>
      </c>
      <c r="C34" s="177">
        <f>796000+84202</f>
        <v>880202</v>
      </c>
      <c r="D34" s="177">
        <f>730000+84203</f>
        <v>814203</v>
      </c>
      <c r="E34" s="177">
        <f>752600+84203</f>
        <v>836803</v>
      </c>
      <c r="F34" s="177">
        <f>856000+50000</f>
        <v>906000</v>
      </c>
      <c r="G34" s="177">
        <f>720000+84203</f>
        <v>804203</v>
      </c>
      <c r="H34" s="177">
        <f>654000+84203</f>
        <v>738203</v>
      </c>
      <c r="I34" s="177">
        <f>671700+84203</f>
        <v>755903</v>
      </c>
      <c r="J34" s="177">
        <f>722000+84203</f>
        <v>806203</v>
      </c>
      <c r="K34" s="177">
        <f>732000+84203</f>
        <v>816203</v>
      </c>
      <c r="L34" s="177">
        <f>752000+84202+84203</f>
        <v>920405</v>
      </c>
      <c r="M34" s="177">
        <f>820429+84202</f>
        <v>904631</v>
      </c>
      <c r="N34" s="177">
        <v>5770574</v>
      </c>
      <c r="O34" s="178">
        <f t="shared" si="3"/>
        <v>14953533</v>
      </c>
      <c r="Q34" s="209"/>
    </row>
    <row r="35" spans="1:15" ht="15.75">
      <c r="A35" s="175" t="s">
        <v>168</v>
      </c>
      <c r="B35" s="179" t="s">
        <v>112</v>
      </c>
      <c r="C35" s="177">
        <v>21000</v>
      </c>
      <c r="D35" s="177">
        <v>21000</v>
      </c>
      <c r="E35" s="177">
        <v>21000</v>
      </c>
      <c r="F35" s="177">
        <v>21000</v>
      </c>
      <c r="G35" s="177">
        <v>21000</v>
      </c>
      <c r="H35" s="177">
        <v>21000</v>
      </c>
      <c r="I35" s="177">
        <v>21000</v>
      </c>
      <c r="J35" s="177">
        <f>251000+37600</f>
        <v>288600</v>
      </c>
      <c r="K35" s="177">
        <v>67400</v>
      </c>
      <c r="L35" s="177">
        <v>21000</v>
      </c>
      <c r="M35" s="177">
        <v>395000</v>
      </c>
      <c r="N35" s="177">
        <v>540000</v>
      </c>
      <c r="O35" s="178">
        <f t="shared" si="3"/>
        <v>1459000</v>
      </c>
    </row>
    <row r="36" spans="1:15" ht="15.75">
      <c r="A36" s="175" t="s">
        <v>170</v>
      </c>
      <c r="B36" s="179" t="s">
        <v>236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8"/>
    </row>
    <row r="37" spans="1:16" ht="15.75">
      <c r="A37" s="175"/>
      <c r="B37" s="179" t="s">
        <v>238</v>
      </c>
      <c r="C37" s="177">
        <f>41000+12500</f>
        <v>53500</v>
      </c>
      <c r="D37" s="177">
        <f>10000</f>
        <v>10000</v>
      </c>
      <c r="E37" s="177">
        <f>43000</f>
        <v>43000</v>
      </c>
      <c r="F37" s="177">
        <f>21000</f>
        <v>21000</v>
      </c>
      <c r="G37" s="177">
        <v>84000</v>
      </c>
      <c r="H37" s="177">
        <v>21540</v>
      </c>
      <c r="I37" s="177">
        <v>150000</v>
      </c>
      <c r="J37" s="177">
        <v>12500</v>
      </c>
      <c r="K37" s="177">
        <f>30000</f>
        <v>30000</v>
      </c>
      <c r="L37" s="177">
        <v>34000</v>
      </c>
      <c r="M37" s="177"/>
      <c r="N37" s="177"/>
      <c r="O37" s="178">
        <f t="shared" si="3"/>
        <v>459540</v>
      </c>
      <c r="P37" s="200"/>
    </row>
    <row r="38" spans="1:15" ht="15.75">
      <c r="A38" s="175" t="s">
        <v>172</v>
      </c>
      <c r="B38" s="179" t="s">
        <v>115</v>
      </c>
      <c r="C38" s="177"/>
      <c r="D38" s="177"/>
      <c r="E38" s="177"/>
      <c r="F38" s="177">
        <v>353950</v>
      </c>
      <c r="G38" s="177"/>
      <c r="H38" s="177"/>
      <c r="I38" s="177"/>
      <c r="J38" s="177"/>
      <c r="K38" s="177"/>
      <c r="L38" s="177"/>
      <c r="M38" s="177">
        <v>131000</v>
      </c>
      <c r="N38" s="177">
        <v>15328764</v>
      </c>
      <c r="O38" s="178">
        <f t="shared" si="3"/>
        <v>15813714</v>
      </c>
    </row>
    <row r="39" spans="1:15" ht="15.75">
      <c r="A39" s="175" t="s">
        <v>180</v>
      </c>
      <c r="B39" s="179" t="s">
        <v>38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8">
        <f t="shared" si="3"/>
        <v>0</v>
      </c>
    </row>
    <row r="40" spans="1:15" ht="20.25" customHeight="1">
      <c r="A40" s="175" t="s">
        <v>183</v>
      </c>
      <c r="B40" s="179" t="s">
        <v>173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8">
        <f t="shared" si="3"/>
        <v>0</v>
      </c>
    </row>
    <row r="41" spans="1:15" ht="20.25" customHeight="1">
      <c r="A41" s="175"/>
      <c r="B41" s="179" t="s">
        <v>237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8">
        <f t="shared" si="3"/>
        <v>0</v>
      </c>
    </row>
    <row r="42" spans="1:15" ht="15.75">
      <c r="A42" s="175"/>
      <c r="B42" s="179" t="s">
        <v>238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8">
        <f t="shared" si="3"/>
        <v>0</v>
      </c>
    </row>
    <row r="43" spans="1:15" ht="15.75">
      <c r="A43" s="175" t="s">
        <v>184</v>
      </c>
      <c r="B43" s="179" t="s">
        <v>108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8">
        <f t="shared" si="3"/>
        <v>0</v>
      </c>
    </row>
    <row r="44" spans="1:15" ht="15.75">
      <c r="A44" s="175"/>
      <c r="B44" s="179" t="s">
        <v>275</v>
      </c>
      <c r="C44" s="177">
        <v>795449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8">
        <f t="shared" si="3"/>
        <v>795449</v>
      </c>
    </row>
    <row r="45" spans="1:15" ht="15.75">
      <c r="A45" s="175"/>
      <c r="B45" s="179" t="s">
        <v>239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8">
        <f t="shared" si="3"/>
        <v>0</v>
      </c>
    </row>
    <row r="46" spans="1:16" ht="16.5" thickBot="1">
      <c r="A46" s="175" t="s">
        <v>240</v>
      </c>
      <c r="B46" s="179" t="s">
        <v>241</v>
      </c>
      <c r="C46" s="177"/>
      <c r="D46" s="177"/>
      <c r="E46" s="177"/>
      <c r="F46" s="177"/>
      <c r="G46" s="177">
        <v>9513747</v>
      </c>
      <c r="H46" s="177"/>
      <c r="I46" s="177"/>
      <c r="J46" s="177"/>
      <c r="K46" s="177"/>
      <c r="L46" s="177"/>
      <c r="M46" s="177"/>
      <c r="N46" s="177"/>
      <c r="O46" s="178">
        <f t="shared" si="3"/>
        <v>9513747</v>
      </c>
      <c r="P46" s="200"/>
    </row>
    <row r="47" spans="1:19" s="13" customFormat="1" ht="24" customHeight="1" thickBot="1">
      <c r="A47" s="187"/>
      <c r="B47" s="187" t="s">
        <v>242</v>
      </c>
      <c r="C47" s="188">
        <f aca="true" t="shared" si="4" ref="C47:O47">SUM(C32:C46)</f>
        <v>2580128</v>
      </c>
      <c r="D47" s="188">
        <f t="shared" si="4"/>
        <v>1749576</v>
      </c>
      <c r="E47" s="188">
        <f t="shared" si="4"/>
        <v>1805174</v>
      </c>
      <c r="F47" s="188">
        <f t="shared" si="4"/>
        <v>2206380</v>
      </c>
      <c r="G47" s="188">
        <f t="shared" si="4"/>
        <v>11357131</v>
      </c>
      <c r="H47" s="188">
        <f t="shared" si="4"/>
        <v>1714924</v>
      </c>
      <c r="I47" s="188">
        <f t="shared" si="4"/>
        <v>1861084</v>
      </c>
      <c r="J47" s="188">
        <f t="shared" si="4"/>
        <v>2041484</v>
      </c>
      <c r="K47" s="188">
        <f t="shared" si="4"/>
        <v>1847784</v>
      </c>
      <c r="L47" s="188">
        <f t="shared" si="4"/>
        <v>1909586</v>
      </c>
      <c r="M47" s="188">
        <f t="shared" si="4"/>
        <v>2364812</v>
      </c>
      <c r="N47" s="188">
        <f t="shared" si="4"/>
        <v>22573519</v>
      </c>
      <c r="O47" s="189">
        <f t="shared" si="4"/>
        <v>54011582</v>
      </c>
      <c r="S47" s="193"/>
    </row>
    <row r="48" spans="1:15" ht="26.25" customHeight="1" thickBot="1">
      <c r="A48" s="194"/>
      <c r="B48" s="195" t="s">
        <v>243</v>
      </c>
      <c r="C48" s="196">
        <f aca="true" t="shared" si="5" ref="C48:N48">C30-C47</f>
        <v>132908</v>
      </c>
      <c r="D48" s="196">
        <f t="shared" si="5"/>
        <v>4827849</v>
      </c>
      <c r="E48" s="196">
        <f t="shared" si="5"/>
        <v>5901370</v>
      </c>
      <c r="F48" s="196">
        <f t="shared" si="5"/>
        <v>5625506</v>
      </c>
      <c r="G48" s="196">
        <f t="shared" si="5"/>
        <v>6083210</v>
      </c>
      <c r="H48" s="196">
        <f t="shared" si="5"/>
        <v>11486894</v>
      </c>
      <c r="I48" s="196">
        <f t="shared" si="5"/>
        <v>11417948</v>
      </c>
      <c r="J48" s="196">
        <f t="shared" si="5"/>
        <v>11321602</v>
      </c>
      <c r="K48" s="196">
        <f t="shared" si="5"/>
        <v>11666956</v>
      </c>
      <c r="L48" s="196">
        <f t="shared" si="5"/>
        <v>11562508</v>
      </c>
      <c r="M48" s="196">
        <f t="shared" si="5"/>
        <v>11206834</v>
      </c>
      <c r="N48" s="196">
        <f t="shared" si="5"/>
        <v>0</v>
      </c>
      <c r="O48" s="197"/>
    </row>
    <row r="50" spans="3:14" ht="15.75"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</row>
  </sheetData>
  <sheetProtection/>
  <mergeCells count="6">
    <mergeCell ref="B9:O9"/>
    <mergeCell ref="B5:O5"/>
    <mergeCell ref="B6:O6"/>
    <mergeCell ref="B7:O7"/>
    <mergeCell ref="B8:O8"/>
    <mergeCell ref="A1:O1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60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9.125" style="241" customWidth="1"/>
    <col min="2" max="2" width="64.625" style="2" customWidth="1"/>
    <col min="3" max="3" width="14.875" style="23" customWidth="1"/>
    <col min="4" max="4" width="4.875" style="2" customWidth="1"/>
    <col min="5" max="5" width="17.25390625" style="23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">
      <c r="A1" s="321" t="s">
        <v>391</v>
      </c>
      <c r="B1" s="322"/>
      <c r="C1" s="322"/>
      <c r="D1" s="322"/>
      <c r="E1" s="322"/>
      <c r="F1" s="322"/>
    </row>
    <row r="2" spans="1:6" ht="15">
      <c r="A2" s="326" t="s">
        <v>344</v>
      </c>
      <c r="B2" s="327"/>
      <c r="C2" s="327"/>
      <c r="D2" s="327"/>
      <c r="E2" s="327"/>
      <c r="F2" s="327"/>
    </row>
    <row r="3" spans="2:6" ht="15">
      <c r="B3" s="46"/>
      <c r="C3" s="46"/>
      <c r="D3" s="46"/>
      <c r="E3" s="46"/>
      <c r="F3" s="46"/>
    </row>
    <row r="4" spans="1:6" s="21" customFormat="1" ht="15.75">
      <c r="A4" s="242"/>
      <c r="B4" s="325" t="s">
        <v>325</v>
      </c>
      <c r="C4" s="325"/>
      <c r="D4" s="325"/>
      <c r="E4" s="325"/>
      <c r="F4" s="325"/>
    </row>
    <row r="5" spans="1:6" s="21" customFormat="1" ht="15.75">
      <c r="A5" s="242"/>
      <c r="B5" s="324" t="s">
        <v>251</v>
      </c>
      <c r="C5" s="324"/>
      <c r="D5" s="324"/>
      <c r="E5" s="324"/>
      <c r="F5" s="324"/>
    </row>
    <row r="6" spans="2:6" ht="15.75">
      <c r="B6" s="324" t="s">
        <v>89</v>
      </c>
      <c r="C6" s="324"/>
      <c r="D6" s="324"/>
      <c r="E6" s="324"/>
      <c r="F6" s="324"/>
    </row>
    <row r="7" spans="2:6" ht="12.75" customHeight="1">
      <c r="B7" s="323" t="s">
        <v>345</v>
      </c>
      <c r="C7" s="323"/>
      <c r="D7" s="323"/>
      <c r="E7" s="323"/>
      <c r="F7" s="323"/>
    </row>
    <row r="8" spans="1:6" s="1" customFormat="1" ht="15">
      <c r="A8" s="243"/>
      <c r="B8" s="2"/>
      <c r="C8" s="23"/>
      <c r="D8" s="2"/>
      <c r="E8" s="20"/>
      <c r="F8" s="2"/>
    </row>
    <row r="9" spans="1:5" s="1" customFormat="1" ht="18.75">
      <c r="A9" s="243" t="s">
        <v>20</v>
      </c>
      <c r="B9" s="69" t="s">
        <v>90</v>
      </c>
      <c r="C9" s="24"/>
      <c r="E9" s="70"/>
    </row>
    <row r="10" spans="1:6" ht="15.75">
      <c r="A10" s="241" t="s">
        <v>296</v>
      </c>
      <c r="B10" s="5" t="s">
        <v>91</v>
      </c>
      <c r="C10" s="24"/>
      <c r="D10" s="1"/>
      <c r="E10" s="71">
        <f>C11+C12</f>
        <v>20635463</v>
      </c>
      <c r="F10" s="1" t="s">
        <v>283</v>
      </c>
    </row>
    <row r="11" spans="2:8" ht="15.75">
      <c r="B11" s="72" t="s">
        <v>92</v>
      </c>
      <c r="C11" s="23">
        <f>'2.mell - bevétel'!H56</f>
        <v>19949284</v>
      </c>
      <c r="D11" s="2" t="s">
        <v>283</v>
      </c>
      <c r="E11" s="20"/>
      <c r="H11" s="40"/>
    </row>
    <row r="12" spans="1:6" s="1" customFormat="1" ht="15.75" customHeight="1">
      <c r="A12" s="243"/>
      <c r="B12" s="72" t="s">
        <v>93</v>
      </c>
      <c r="C12" s="23">
        <f>'2.mell - bevétel'!H63</f>
        <v>686179</v>
      </c>
      <c r="D12" s="2" t="s">
        <v>283</v>
      </c>
      <c r="E12" s="20"/>
      <c r="F12" s="2"/>
    </row>
    <row r="13" spans="1:5" s="1" customFormat="1" ht="15.75">
      <c r="A13" s="243"/>
      <c r="B13" s="5"/>
      <c r="C13" s="24"/>
      <c r="E13" s="71"/>
    </row>
    <row r="14" spans="1:6" s="1" customFormat="1" ht="15.75">
      <c r="A14" s="243" t="s">
        <v>297</v>
      </c>
      <c r="B14" s="5" t="s">
        <v>94</v>
      </c>
      <c r="C14" s="24"/>
      <c r="E14" s="71">
        <f>'2.mell - bevétel'!H71</f>
        <v>15122940</v>
      </c>
      <c r="F14" s="1" t="s">
        <v>283</v>
      </c>
    </row>
    <row r="15" spans="1:5" s="1" customFormat="1" ht="15.75">
      <c r="A15" s="243"/>
      <c r="B15" s="15" t="s">
        <v>294</v>
      </c>
      <c r="C15" s="279">
        <v>78740410</v>
      </c>
      <c r="D15" s="281" t="s">
        <v>1</v>
      </c>
      <c r="E15" s="71"/>
    </row>
    <row r="16" spans="1:5" s="1" customFormat="1" ht="15.75">
      <c r="A16" s="243"/>
      <c r="B16" s="15" t="s">
        <v>295</v>
      </c>
      <c r="C16" s="279">
        <v>8748935</v>
      </c>
      <c r="D16" s="281" t="s">
        <v>1</v>
      </c>
      <c r="E16" s="71"/>
    </row>
    <row r="17" spans="1:5" s="1" customFormat="1" ht="30.75" customHeight="1">
      <c r="A17" s="243"/>
      <c r="B17" s="59" t="s">
        <v>333</v>
      </c>
      <c r="C17" s="280">
        <v>12595865</v>
      </c>
      <c r="D17" s="281" t="s">
        <v>1</v>
      </c>
      <c r="E17" s="273"/>
    </row>
    <row r="18" spans="1:6" s="1" customFormat="1" ht="15.75">
      <c r="A18" s="243" t="s">
        <v>298</v>
      </c>
      <c r="B18" s="5" t="s">
        <v>68</v>
      </c>
      <c r="C18" s="24"/>
      <c r="E18" s="71">
        <f>'2.mell - bevétel'!H83</f>
        <v>1495000</v>
      </c>
      <c r="F18" s="1" t="s">
        <v>283</v>
      </c>
    </row>
    <row r="19" spans="1:8" s="1" customFormat="1" ht="15.75">
      <c r="A19" s="243"/>
      <c r="B19" s="5"/>
      <c r="C19" s="24"/>
      <c r="E19" s="71"/>
      <c r="H19" s="41"/>
    </row>
    <row r="20" spans="1:6" s="1" customFormat="1" ht="15.75">
      <c r="A20" s="243" t="s">
        <v>299</v>
      </c>
      <c r="B20" s="5" t="s">
        <v>30</v>
      </c>
      <c r="C20" s="24"/>
      <c r="E20" s="71">
        <f>'2.mell - bevétel'!H96</f>
        <v>5073117</v>
      </c>
      <c r="F20" s="1" t="s">
        <v>283</v>
      </c>
    </row>
    <row r="21" spans="1:5" s="1" customFormat="1" ht="15.75">
      <c r="A21" s="243"/>
      <c r="B21" s="8"/>
      <c r="C21" s="25"/>
      <c r="E21" s="71"/>
    </row>
    <row r="22" spans="1:5" s="1" customFormat="1" ht="15.75">
      <c r="A22" s="243"/>
      <c r="B22" s="8"/>
      <c r="C22" s="24"/>
      <c r="E22" s="71"/>
    </row>
    <row r="23" spans="1:6" s="1" customFormat="1" ht="15.75">
      <c r="A23" s="243" t="s">
        <v>300</v>
      </c>
      <c r="B23" s="5" t="s">
        <v>95</v>
      </c>
      <c r="E23" s="71">
        <f>C24+C25</f>
        <v>0</v>
      </c>
      <c r="F23" s="1" t="s">
        <v>283</v>
      </c>
    </row>
    <row r="24" spans="1:8" s="4" customFormat="1" ht="32.25">
      <c r="A24" s="244"/>
      <c r="B24" s="72" t="s">
        <v>96</v>
      </c>
      <c r="C24" s="25">
        <v>0</v>
      </c>
      <c r="D24" s="1" t="s">
        <v>283</v>
      </c>
      <c r="E24" s="71"/>
      <c r="F24" s="1"/>
      <c r="G24" s="1"/>
      <c r="H24" s="42"/>
    </row>
    <row r="25" spans="2:8" ht="18.75">
      <c r="B25" s="21" t="s">
        <v>97</v>
      </c>
      <c r="C25" s="24">
        <v>0</v>
      </c>
      <c r="D25" s="1" t="s">
        <v>283</v>
      </c>
      <c r="E25" s="71"/>
      <c r="F25" s="1"/>
      <c r="G25" s="4"/>
      <c r="H25" s="43"/>
    </row>
    <row r="26" spans="1:8" s="1" customFormat="1" ht="18.75">
      <c r="A26" s="243"/>
      <c r="B26" s="31"/>
      <c r="C26" s="23"/>
      <c r="D26" s="2"/>
      <c r="E26" s="73"/>
      <c r="F26" s="4"/>
      <c r="H26" s="44"/>
    </row>
    <row r="27" spans="1:6" s="1" customFormat="1" ht="15.75">
      <c r="A27" s="243" t="s">
        <v>301</v>
      </c>
      <c r="B27" s="5" t="s">
        <v>79</v>
      </c>
      <c r="C27" s="24"/>
      <c r="E27" s="71">
        <f>C28+C29</f>
        <v>0</v>
      </c>
      <c r="F27" s="1" t="s">
        <v>283</v>
      </c>
    </row>
    <row r="28" spans="1:5" s="1" customFormat="1" ht="31.5">
      <c r="A28" s="243"/>
      <c r="B28" s="72" t="s">
        <v>98</v>
      </c>
      <c r="C28" s="24">
        <v>0</v>
      </c>
      <c r="D28" s="1" t="s">
        <v>283</v>
      </c>
      <c r="E28" s="71"/>
    </row>
    <row r="29" spans="1:5" s="1" customFormat="1" ht="15.75">
      <c r="A29" s="243"/>
      <c r="B29" s="21" t="s">
        <v>99</v>
      </c>
      <c r="C29" s="24">
        <v>0</v>
      </c>
      <c r="D29" s="1" t="s">
        <v>283</v>
      </c>
      <c r="E29" s="71"/>
    </row>
    <row r="30" spans="1:5" s="1" customFormat="1" ht="15.75">
      <c r="A30" s="243"/>
      <c r="B30" s="31"/>
      <c r="E30" s="70"/>
    </row>
    <row r="31" spans="1:6" s="1" customFormat="1" ht="15.75">
      <c r="A31" s="243" t="s">
        <v>302</v>
      </c>
      <c r="B31" s="5" t="s">
        <v>22</v>
      </c>
      <c r="E31" s="74">
        <f>SUM(E10:E30)</f>
        <v>42326520</v>
      </c>
      <c r="F31" s="1" t="s">
        <v>283</v>
      </c>
    </row>
    <row r="32" spans="1:5" s="1" customFormat="1" ht="15.75">
      <c r="A32" s="243"/>
      <c r="B32" s="21"/>
      <c r="E32" s="70"/>
    </row>
    <row r="33" spans="1:5" s="1" customFormat="1" ht="18.75">
      <c r="A33" s="243" t="s">
        <v>14</v>
      </c>
      <c r="B33" s="69" t="s">
        <v>100</v>
      </c>
      <c r="E33" s="70"/>
    </row>
    <row r="34" spans="1:6" s="1" customFormat="1" ht="15.75">
      <c r="A34" s="243" t="s">
        <v>303</v>
      </c>
      <c r="B34" s="9" t="s">
        <v>7</v>
      </c>
      <c r="C34" s="24"/>
      <c r="E34" s="71">
        <f>C36+C37+C38+C39+C40</f>
        <v>37402419</v>
      </c>
      <c r="F34" s="1" t="s">
        <v>283</v>
      </c>
    </row>
    <row r="35" spans="1:5" s="1" customFormat="1" ht="15.75">
      <c r="A35" s="243"/>
      <c r="B35" s="8" t="s">
        <v>6</v>
      </c>
      <c r="C35" s="24"/>
      <c r="E35" s="71"/>
    </row>
    <row r="36" spans="1:5" s="1" customFormat="1" ht="15.75">
      <c r="A36" s="243" t="s">
        <v>305</v>
      </c>
      <c r="B36" s="21" t="s">
        <v>310</v>
      </c>
      <c r="C36" s="24">
        <f>'4.mell. - kiadás'!E34</f>
        <v>9025504</v>
      </c>
      <c r="D36" s="1" t="s">
        <v>283</v>
      </c>
      <c r="E36" s="71"/>
    </row>
    <row r="37" spans="1:5" s="1" customFormat="1" ht="15.75">
      <c r="A37" s="243" t="s">
        <v>306</v>
      </c>
      <c r="B37" s="21" t="s">
        <v>311</v>
      </c>
      <c r="C37" s="24">
        <f>'4.mell. - kiadás'!F34</f>
        <v>1991095</v>
      </c>
      <c r="D37" s="1" t="s">
        <v>283</v>
      </c>
      <c r="E37" s="71"/>
    </row>
    <row r="38" spans="1:5" s="1" customFormat="1" ht="15.75">
      <c r="A38" s="243" t="s">
        <v>307</v>
      </c>
      <c r="B38" s="21" t="s">
        <v>312</v>
      </c>
      <c r="C38" s="24">
        <f>'4.mell. - kiadás'!G34</f>
        <v>14953533</v>
      </c>
      <c r="D38" s="1" t="s">
        <v>283</v>
      </c>
      <c r="E38" s="71"/>
    </row>
    <row r="39" spans="1:5" s="1" customFormat="1" ht="15.75">
      <c r="A39" s="243" t="s">
        <v>308</v>
      </c>
      <c r="B39" s="75" t="s">
        <v>313</v>
      </c>
      <c r="C39" s="24">
        <f>'4.mell. - kiadás'!H34</f>
        <v>1459000</v>
      </c>
      <c r="D39" s="1" t="s">
        <v>283</v>
      </c>
      <c r="E39" s="71"/>
    </row>
    <row r="40" spans="1:5" s="1" customFormat="1" ht="15.75">
      <c r="A40" s="243" t="s">
        <v>309</v>
      </c>
      <c r="B40" s="208" t="s">
        <v>314</v>
      </c>
      <c r="C40" s="24">
        <f>'4.mell. - kiadás'!I34+9513747</f>
        <v>9973287</v>
      </c>
      <c r="D40" s="1" t="s">
        <v>283</v>
      </c>
      <c r="E40" s="71"/>
    </row>
    <row r="41" spans="1:6" s="1" customFormat="1" ht="15.75">
      <c r="A41" s="243" t="s">
        <v>304</v>
      </c>
      <c r="B41" s="9" t="s">
        <v>8</v>
      </c>
      <c r="C41" s="24"/>
      <c r="E41" s="76">
        <f>C43+C44+C45</f>
        <v>15813714</v>
      </c>
      <c r="F41" s="1" t="s">
        <v>283</v>
      </c>
    </row>
    <row r="42" spans="1:5" s="1" customFormat="1" ht="15.75">
      <c r="A42" s="243"/>
      <c r="B42" s="8" t="s">
        <v>6</v>
      </c>
      <c r="C42" s="24"/>
      <c r="E42" s="71"/>
    </row>
    <row r="43" spans="1:5" s="1" customFormat="1" ht="15.75">
      <c r="A43" s="243" t="s">
        <v>318</v>
      </c>
      <c r="B43" s="21" t="s">
        <v>315</v>
      </c>
      <c r="C43" s="25">
        <f>'4.mell. - kiadás'!L34</f>
        <v>15813714</v>
      </c>
      <c r="D43" s="1" t="s">
        <v>283</v>
      </c>
      <c r="E43" s="71"/>
    </row>
    <row r="44" spans="1:5" s="1" customFormat="1" ht="15.75">
      <c r="A44" s="243" t="s">
        <v>319</v>
      </c>
      <c r="B44" s="21" t="s">
        <v>316</v>
      </c>
      <c r="C44" s="25">
        <f>'4.mell. - kiadás'!M34</f>
        <v>0</v>
      </c>
      <c r="D44" s="1" t="s">
        <v>283</v>
      </c>
      <c r="E44" s="71"/>
    </row>
    <row r="45" spans="1:7" ht="15.75">
      <c r="A45" s="241" t="s">
        <v>320</v>
      </c>
      <c r="B45" s="21" t="s">
        <v>317</v>
      </c>
      <c r="C45" s="25">
        <f>'4.mell. - kiadás'!N34</f>
        <v>0</v>
      </c>
      <c r="D45" s="1" t="s">
        <v>283</v>
      </c>
      <c r="E45" s="71"/>
      <c r="F45" s="1"/>
      <c r="G45" s="1"/>
    </row>
    <row r="46" spans="1:5" s="1" customFormat="1" ht="15.75">
      <c r="A46" s="243"/>
      <c r="B46" s="21"/>
      <c r="C46" s="25"/>
      <c r="E46" s="71"/>
    </row>
    <row r="47" spans="1:6" s="1" customFormat="1" ht="15.75">
      <c r="A47" s="243" t="s">
        <v>321</v>
      </c>
      <c r="B47" s="13" t="s">
        <v>101</v>
      </c>
      <c r="C47" s="25"/>
      <c r="E47" s="71">
        <f>C48</f>
        <v>795449</v>
      </c>
      <c r="F47" s="1" t="s">
        <v>283</v>
      </c>
    </row>
    <row r="48" spans="1:5" s="1" customFormat="1" ht="15.75">
      <c r="A48" s="243"/>
      <c r="B48" s="21" t="s">
        <v>276</v>
      </c>
      <c r="C48" s="24">
        <f>'4.mell. - kiadás'!S34</f>
        <v>795449</v>
      </c>
      <c r="D48" s="1" t="s">
        <v>283</v>
      </c>
      <c r="E48" s="71"/>
    </row>
    <row r="49" spans="1:7" s="4" customFormat="1" ht="18.75">
      <c r="A49" s="244"/>
      <c r="B49" s="21" t="s">
        <v>102</v>
      </c>
      <c r="C49" s="24">
        <v>0</v>
      </c>
      <c r="D49" s="1" t="s">
        <v>283</v>
      </c>
      <c r="E49" s="71"/>
      <c r="F49" s="1"/>
      <c r="G49" s="2"/>
    </row>
    <row r="50" spans="2:7" ht="15.75">
      <c r="B50" s="21"/>
      <c r="C50" s="25"/>
      <c r="D50" s="1"/>
      <c r="E50" s="71"/>
      <c r="F50" s="1"/>
      <c r="G50" s="1"/>
    </row>
    <row r="51" spans="1:7" ht="15.75">
      <c r="A51" s="241" t="s">
        <v>322</v>
      </c>
      <c r="B51" s="5" t="s">
        <v>23</v>
      </c>
      <c r="C51" s="25"/>
      <c r="D51" s="1"/>
      <c r="E51" s="20">
        <f>SUM(E34:E50)</f>
        <v>54011582</v>
      </c>
      <c r="F51" s="2" t="s">
        <v>283</v>
      </c>
      <c r="G51" s="1"/>
    </row>
    <row r="52" spans="2:7" ht="15.75">
      <c r="B52" s="21"/>
      <c r="C52" s="24"/>
      <c r="D52" s="1"/>
      <c r="E52" s="76"/>
      <c r="F52" s="1"/>
      <c r="G52" s="1"/>
    </row>
    <row r="53" spans="1:7" ht="18.75">
      <c r="A53" s="241" t="s">
        <v>21</v>
      </c>
      <c r="B53" s="5" t="s">
        <v>24</v>
      </c>
      <c r="C53" s="24"/>
      <c r="D53" s="1"/>
      <c r="E53" s="20">
        <f>E31-E51</f>
        <v>-11685062</v>
      </c>
      <c r="F53" s="2" t="s">
        <v>283</v>
      </c>
      <c r="G53" s="4"/>
    </row>
    <row r="54" spans="2:5" ht="15.75">
      <c r="B54" s="21"/>
      <c r="C54" s="24"/>
      <c r="D54" s="1"/>
      <c r="E54" s="20"/>
    </row>
    <row r="55" spans="1:6" ht="32.25">
      <c r="A55" s="245" t="s">
        <v>59</v>
      </c>
      <c r="B55" s="77" t="s">
        <v>277</v>
      </c>
      <c r="C55" s="26"/>
      <c r="D55" s="4"/>
      <c r="E55" s="20">
        <f>'2.mell - bevétel'!H108</f>
        <v>11685062</v>
      </c>
      <c r="F55" s="2" t="s">
        <v>283</v>
      </c>
    </row>
    <row r="56" spans="1:7" s="1" customFormat="1" ht="15.75">
      <c r="A56" s="243"/>
      <c r="B56" s="21"/>
      <c r="C56" s="23"/>
      <c r="D56" s="2"/>
      <c r="E56" s="20"/>
      <c r="F56" s="2"/>
      <c r="G56" s="2"/>
    </row>
    <row r="57" spans="1:6" ht="15.75">
      <c r="A57" s="241" t="s">
        <v>60</v>
      </c>
      <c r="B57" s="5" t="s">
        <v>39</v>
      </c>
      <c r="E57" s="20">
        <f>E53+E55</f>
        <v>0</v>
      </c>
      <c r="F57" s="2" t="s">
        <v>283</v>
      </c>
    </row>
    <row r="58" spans="1:5" s="1" customFormat="1" ht="10.5" customHeight="1">
      <c r="A58" s="243"/>
      <c r="B58" s="3"/>
      <c r="C58" s="24"/>
      <c r="E58" s="16"/>
    </row>
    <row r="59" spans="2:6" ht="15.75">
      <c r="B59" s="3"/>
      <c r="C59" s="24"/>
      <c r="D59" s="1"/>
      <c r="E59" s="16"/>
      <c r="F59" s="5"/>
    </row>
    <row r="60" spans="2:6" ht="15.75">
      <c r="B60" s="5"/>
      <c r="E60" s="17"/>
      <c r="F60" s="5"/>
    </row>
  </sheetData>
  <sheetProtection/>
  <mergeCells count="6">
    <mergeCell ref="A1:F1"/>
    <mergeCell ref="B7:F7"/>
    <mergeCell ref="B5:F5"/>
    <mergeCell ref="B4:F4"/>
    <mergeCell ref="B6:F6"/>
    <mergeCell ref="A2:F2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2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6.00390625" style="30" customWidth="1"/>
    <col min="2" max="2" width="3.125" style="27" customWidth="1"/>
    <col min="3" max="3" width="4.25390625" style="27" customWidth="1"/>
    <col min="4" max="5" width="3.125" style="27" customWidth="1"/>
    <col min="6" max="6" width="52.125" style="8" customWidth="1"/>
    <col min="7" max="7" width="17.00390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321" t="s">
        <v>392</v>
      </c>
      <c r="B1" s="322"/>
      <c r="C1" s="322"/>
      <c r="D1" s="322"/>
      <c r="E1" s="322"/>
      <c r="F1" s="322"/>
      <c r="G1" s="322"/>
      <c r="H1" s="322"/>
      <c r="I1" s="322"/>
    </row>
    <row r="2" spans="1:9" ht="15.75">
      <c r="A2" s="283"/>
      <c r="B2" s="284"/>
      <c r="C2" s="284"/>
      <c r="D2" s="284"/>
      <c r="E2" s="284"/>
      <c r="F2" s="284"/>
      <c r="G2" s="284"/>
      <c r="H2" s="284"/>
      <c r="I2" s="284"/>
    </row>
    <row r="3" spans="1:9" ht="15.75">
      <c r="A3" s="150" t="s">
        <v>346</v>
      </c>
      <c r="B3" s="150"/>
      <c r="C3" s="150"/>
      <c r="D3" s="150"/>
      <c r="E3" s="150"/>
      <c r="F3" s="45"/>
      <c r="G3" s="45"/>
      <c r="H3" s="45"/>
      <c r="I3" s="45"/>
    </row>
    <row r="4" spans="5:9" ht="15.75">
      <c r="E4" s="46"/>
      <c r="F4" s="46"/>
      <c r="G4" s="46"/>
      <c r="H4" s="46"/>
      <c r="I4" s="46"/>
    </row>
    <row r="5" spans="1:9" ht="15.75">
      <c r="A5" s="342"/>
      <c r="B5" s="342"/>
      <c r="C5" s="342"/>
      <c r="D5" s="342"/>
      <c r="E5" s="342"/>
      <c r="F5" s="342"/>
      <c r="G5" s="342"/>
      <c r="H5" s="342"/>
      <c r="I5" s="342"/>
    </row>
    <row r="6" spans="1:9" s="9" customFormat="1" ht="15.75">
      <c r="A6" s="342" t="s">
        <v>251</v>
      </c>
      <c r="B6" s="342"/>
      <c r="C6" s="342"/>
      <c r="D6" s="342"/>
      <c r="E6" s="342"/>
      <c r="F6" s="342"/>
      <c r="G6" s="342"/>
      <c r="H6" s="342"/>
      <c r="I6" s="342"/>
    </row>
    <row r="7" spans="1:9" s="9" customFormat="1" ht="15.75">
      <c r="A7" s="342" t="s">
        <v>252</v>
      </c>
      <c r="B7" s="342"/>
      <c r="C7" s="342"/>
      <c r="D7" s="342"/>
      <c r="E7" s="342"/>
      <c r="F7" s="342"/>
      <c r="G7" s="342"/>
      <c r="H7" s="342"/>
      <c r="I7" s="342"/>
    </row>
    <row r="8" spans="1:9" ht="15.75">
      <c r="A8" s="342" t="s">
        <v>347</v>
      </c>
      <c r="B8" s="342"/>
      <c r="C8" s="342"/>
      <c r="D8" s="342"/>
      <c r="E8" s="342"/>
      <c r="F8" s="342"/>
      <c r="G8" s="342"/>
      <c r="H8" s="342"/>
      <c r="I8" s="342"/>
    </row>
    <row r="9" ht="15.75" hidden="1"/>
    <row r="10" spans="8:9" ht="16.5" thickBot="1">
      <c r="H10" s="32"/>
      <c r="I10" s="33" t="s">
        <v>280</v>
      </c>
    </row>
    <row r="11" spans="1:9" ht="15.75">
      <c r="A11" s="331" t="s">
        <v>11</v>
      </c>
      <c r="B11" s="332"/>
      <c r="C11" s="332"/>
      <c r="D11" s="332"/>
      <c r="E11" s="332"/>
      <c r="F11" s="333"/>
      <c r="G11" s="34" t="s">
        <v>9</v>
      </c>
      <c r="H11" s="34" t="s">
        <v>9</v>
      </c>
      <c r="I11" s="34" t="s">
        <v>10</v>
      </c>
    </row>
    <row r="12" spans="1:9" ht="15.75">
      <c r="A12" s="334"/>
      <c r="B12" s="335"/>
      <c r="C12" s="335"/>
      <c r="D12" s="335"/>
      <c r="E12" s="335"/>
      <c r="F12" s="336"/>
      <c r="G12" s="35" t="s">
        <v>5</v>
      </c>
      <c r="H12" s="35" t="s">
        <v>5</v>
      </c>
      <c r="I12" s="35"/>
    </row>
    <row r="13" spans="1:9" ht="16.5" thickBot="1">
      <c r="A13" s="337"/>
      <c r="B13" s="338"/>
      <c r="C13" s="338"/>
      <c r="D13" s="338"/>
      <c r="E13" s="338"/>
      <c r="F13" s="339"/>
      <c r="G13" s="36" t="s">
        <v>326</v>
      </c>
      <c r="H13" s="36" t="s">
        <v>347</v>
      </c>
      <c r="I13" s="36" t="s">
        <v>12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32.25" customHeight="1">
      <c r="A15" s="13" t="s">
        <v>25</v>
      </c>
      <c r="B15" s="330" t="s">
        <v>41</v>
      </c>
      <c r="C15" s="330"/>
      <c r="D15" s="330"/>
      <c r="E15" s="330"/>
      <c r="F15" s="330"/>
      <c r="G15" s="48"/>
      <c r="H15" s="49"/>
      <c r="I15" s="48"/>
    </row>
    <row r="16" spans="1:9" ht="10.5" customHeight="1">
      <c r="A16" s="13"/>
      <c r="B16" s="47"/>
      <c r="C16" s="47"/>
      <c r="D16" s="47"/>
      <c r="E16" s="47"/>
      <c r="F16" s="47"/>
      <c r="G16" s="48"/>
      <c r="H16" s="49"/>
      <c r="I16" s="48"/>
    </row>
    <row r="17" spans="1:9" ht="15.75">
      <c r="A17" s="13"/>
      <c r="B17" s="13" t="s">
        <v>25</v>
      </c>
      <c r="C17" s="13" t="s">
        <v>42</v>
      </c>
      <c r="D17" s="13"/>
      <c r="E17" s="13"/>
      <c r="F17" s="13"/>
      <c r="G17" s="19"/>
      <c r="H17" s="19"/>
      <c r="I17" s="13"/>
    </row>
    <row r="18" spans="1:9" ht="6.75" customHeight="1">
      <c r="A18" s="13"/>
      <c r="B18" s="13"/>
      <c r="C18" s="13"/>
      <c r="D18" s="13"/>
      <c r="E18" s="13"/>
      <c r="F18" s="13"/>
      <c r="G18" s="19"/>
      <c r="H18" s="19"/>
      <c r="I18" s="13"/>
    </row>
    <row r="19" spans="1:9" ht="15.75">
      <c r="A19" s="13"/>
      <c r="B19" s="13"/>
      <c r="C19" s="13" t="s">
        <v>20</v>
      </c>
      <c r="D19" s="330" t="s">
        <v>43</v>
      </c>
      <c r="E19" s="330"/>
      <c r="F19" s="330"/>
      <c r="G19" s="49"/>
      <c r="H19" s="49"/>
      <c r="I19" s="48"/>
    </row>
    <row r="20" spans="1:9" ht="15.75">
      <c r="A20" s="13"/>
      <c r="B20" s="13"/>
      <c r="C20" s="13"/>
      <c r="D20" s="47"/>
      <c r="E20" s="47"/>
      <c r="F20" s="47"/>
      <c r="G20" s="49"/>
      <c r="H20" s="49"/>
      <c r="I20" s="48"/>
    </row>
    <row r="21" spans="1:9" ht="15.75">
      <c r="A21" s="13"/>
      <c r="B21" s="13"/>
      <c r="C21" s="13"/>
      <c r="D21" s="13" t="s">
        <v>20</v>
      </c>
      <c r="E21" s="330" t="s">
        <v>44</v>
      </c>
      <c r="F21" s="330"/>
      <c r="G21" s="49"/>
      <c r="H21" s="49"/>
      <c r="I21" s="48"/>
    </row>
    <row r="22" spans="1:9" ht="15.75">
      <c r="A22" s="15"/>
      <c r="B22" s="15"/>
      <c r="C22" s="15"/>
      <c r="D22" s="15"/>
      <c r="E22" s="15" t="s">
        <v>31</v>
      </c>
      <c r="F22" s="15" t="s">
        <v>26</v>
      </c>
      <c r="G22" s="18"/>
      <c r="H22" s="18"/>
      <c r="I22" s="50"/>
    </row>
    <row r="23" spans="1:9" ht="15.75">
      <c r="A23" s="15"/>
      <c r="B23" s="15"/>
      <c r="C23" s="15"/>
      <c r="D23" s="15"/>
      <c r="E23" s="15"/>
      <c r="F23" s="15" t="s">
        <v>45</v>
      </c>
      <c r="G23" s="18"/>
      <c r="I23" s="50"/>
    </row>
    <row r="24" spans="1:9" ht="31.5">
      <c r="A24" s="15"/>
      <c r="B24" s="15"/>
      <c r="C24" s="15"/>
      <c r="D24" s="15"/>
      <c r="E24" s="15" t="s">
        <v>32</v>
      </c>
      <c r="F24" s="51" t="s">
        <v>27</v>
      </c>
      <c r="G24" s="52"/>
      <c r="I24" s="50"/>
    </row>
    <row r="25" spans="1:9" ht="31.5">
      <c r="A25" s="15"/>
      <c r="B25" s="15"/>
      <c r="C25" s="15"/>
      <c r="D25" s="15"/>
      <c r="E25" s="15" t="s">
        <v>46</v>
      </c>
      <c r="F25" s="51" t="s">
        <v>47</v>
      </c>
      <c r="G25" s="18">
        <v>1074860</v>
      </c>
      <c r="H25" s="211">
        <v>1074860</v>
      </c>
      <c r="I25" s="50">
        <f>H25/G25*100</f>
        <v>100</v>
      </c>
    </row>
    <row r="26" spans="1:9" ht="15.75">
      <c r="A26" s="15"/>
      <c r="B26" s="15"/>
      <c r="C26" s="15"/>
      <c r="D26" s="15"/>
      <c r="E26" s="15"/>
      <c r="F26" s="15" t="s">
        <v>45</v>
      </c>
      <c r="G26" s="18"/>
      <c r="H26" s="211"/>
      <c r="I26" s="50"/>
    </row>
    <row r="27" spans="1:9" ht="15.75">
      <c r="A27" s="15"/>
      <c r="B27" s="15"/>
      <c r="C27" s="15"/>
      <c r="D27" s="15"/>
      <c r="E27" s="15" t="s">
        <v>48</v>
      </c>
      <c r="F27" s="51" t="s">
        <v>49</v>
      </c>
      <c r="G27" s="18">
        <v>1024000</v>
      </c>
      <c r="H27" s="211">
        <v>1024000</v>
      </c>
      <c r="I27" s="50">
        <f aca="true" t="shared" si="0" ref="I27:I36">H27/G27*100</f>
        <v>100</v>
      </c>
    </row>
    <row r="28" spans="1:9" ht="15.75">
      <c r="A28" s="15"/>
      <c r="B28" s="15"/>
      <c r="C28" s="15"/>
      <c r="D28" s="15"/>
      <c r="E28" s="15"/>
      <c r="F28" s="15" t="s">
        <v>45</v>
      </c>
      <c r="G28" s="18"/>
      <c r="H28" s="211"/>
      <c r="I28" s="50"/>
    </row>
    <row r="29" spans="1:9" ht="21" customHeight="1">
      <c r="A29" s="15"/>
      <c r="B29" s="15"/>
      <c r="C29" s="15"/>
      <c r="D29" s="15"/>
      <c r="E29" s="15" t="s">
        <v>50</v>
      </c>
      <c r="F29" s="51" t="s">
        <v>51</v>
      </c>
      <c r="G29" s="18">
        <v>100000</v>
      </c>
      <c r="H29" s="211">
        <v>100000</v>
      </c>
      <c r="I29" s="50">
        <f t="shared" si="0"/>
        <v>100</v>
      </c>
    </row>
    <row r="30" spans="1:9" ht="15.75">
      <c r="A30" s="15"/>
      <c r="B30" s="15"/>
      <c r="C30" s="15"/>
      <c r="D30" s="15"/>
      <c r="E30" s="15"/>
      <c r="F30" s="15" t="s">
        <v>45</v>
      </c>
      <c r="G30" s="18"/>
      <c r="H30" s="211"/>
      <c r="I30" s="50"/>
    </row>
    <row r="31" spans="1:9" ht="15.75">
      <c r="A31" s="15"/>
      <c r="B31" s="15"/>
      <c r="C31" s="15"/>
      <c r="D31" s="15"/>
      <c r="E31" s="15" t="s">
        <v>52</v>
      </c>
      <c r="F31" s="51" t="s">
        <v>53</v>
      </c>
      <c r="G31" s="18">
        <v>692350</v>
      </c>
      <c r="H31" s="211">
        <v>692350</v>
      </c>
      <c r="I31" s="50">
        <f t="shared" si="0"/>
        <v>100</v>
      </c>
    </row>
    <row r="32" spans="1:9" s="22" customFormat="1" ht="15.75">
      <c r="A32" s="15"/>
      <c r="B32" s="15"/>
      <c r="C32" s="15"/>
      <c r="D32" s="15"/>
      <c r="E32" s="15"/>
      <c r="F32" s="15" t="s">
        <v>45</v>
      </c>
      <c r="G32" s="18"/>
      <c r="H32" s="212"/>
      <c r="I32" s="50"/>
    </row>
    <row r="33" spans="1:9" ht="15.75">
      <c r="A33" s="15"/>
      <c r="B33" s="15"/>
      <c r="C33" s="15"/>
      <c r="D33" s="15" t="s">
        <v>33</v>
      </c>
      <c r="E33" s="15" t="s">
        <v>54</v>
      </c>
      <c r="F33" s="15"/>
      <c r="G33" s="18">
        <v>5000000</v>
      </c>
      <c r="H33" s="211">
        <v>5000000</v>
      </c>
      <c r="I33" s="50">
        <f t="shared" si="0"/>
        <v>100</v>
      </c>
    </row>
    <row r="34" spans="1:9" ht="15.75">
      <c r="A34" s="15"/>
      <c r="B34" s="15"/>
      <c r="C34" s="15"/>
      <c r="D34" s="15"/>
      <c r="E34" s="15"/>
      <c r="F34" s="15" t="s">
        <v>45</v>
      </c>
      <c r="G34" s="18"/>
      <c r="H34" s="211"/>
      <c r="I34" s="50"/>
    </row>
    <row r="35" spans="1:9" ht="15.75">
      <c r="A35" s="15"/>
      <c r="B35" s="15"/>
      <c r="C35" s="15"/>
      <c r="D35" s="15" t="s">
        <v>34</v>
      </c>
      <c r="E35" s="15" t="s">
        <v>85</v>
      </c>
      <c r="F35" s="15"/>
      <c r="G35" s="18">
        <v>51000</v>
      </c>
      <c r="H35" s="211">
        <v>51000</v>
      </c>
      <c r="I35" s="50">
        <f t="shared" si="0"/>
        <v>100</v>
      </c>
    </row>
    <row r="36" spans="1:9" ht="15.75">
      <c r="A36" s="15"/>
      <c r="B36" s="15"/>
      <c r="C36" s="15"/>
      <c r="D36" s="15" t="s">
        <v>86</v>
      </c>
      <c r="E36" s="15" t="s">
        <v>245</v>
      </c>
      <c r="F36" s="15"/>
      <c r="G36" s="18">
        <v>3573995</v>
      </c>
      <c r="H36" s="211">
        <v>3798101</v>
      </c>
      <c r="I36" s="50">
        <f t="shared" si="0"/>
        <v>106.27046204597377</v>
      </c>
    </row>
    <row r="37" spans="1:9" s="22" customFormat="1" ht="15.75">
      <c r="A37" s="15"/>
      <c r="B37" s="15"/>
      <c r="C37" s="15"/>
      <c r="D37" s="15" t="s">
        <v>14</v>
      </c>
      <c r="E37" s="15" t="s">
        <v>55</v>
      </c>
      <c r="F37" s="15"/>
      <c r="G37" s="18"/>
      <c r="I37" s="50"/>
    </row>
    <row r="38" spans="1:9" ht="15.75">
      <c r="A38" s="15"/>
      <c r="B38" s="15"/>
      <c r="C38" s="15"/>
      <c r="D38" s="15"/>
      <c r="E38" s="15"/>
      <c r="F38" s="15" t="s">
        <v>45</v>
      </c>
      <c r="G38" s="18"/>
      <c r="I38" s="50"/>
    </row>
    <row r="39" spans="1:9" ht="15.75">
      <c r="A39" s="15"/>
      <c r="B39" s="15"/>
      <c r="D39" s="15" t="s">
        <v>65</v>
      </c>
      <c r="E39" s="15" t="s">
        <v>327</v>
      </c>
      <c r="F39" s="15"/>
      <c r="G39" s="18">
        <v>1009100</v>
      </c>
      <c r="H39" s="211">
        <v>990400</v>
      </c>
      <c r="I39" s="50">
        <f>H39/G39*100</f>
        <v>98.14686354176989</v>
      </c>
    </row>
    <row r="40" spans="1:9" ht="31.5" customHeight="1">
      <c r="A40" s="54"/>
      <c r="B40" s="54"/>
      <c r="C40" s="55"/>
      <c r="D40" s="344" t="s">
        <v>56</v>
      </c>
      <c r="E40" s="344"/>
      <c r="F40" s="344"/>
      <c r="G40" s="246">
        <f>SUM(G22:G39)</f>
        <v>12525305</v>
      </c>
      <c r="H40" s="260">
        <f>SUM(H22:H39)</f>
        <v>12730711</v>
      </c>
      <c r="I40" s="247">
        <f>H40/G40*100</f>
        <v>101.63992812949465</v>
      </c>
    </row>
    <row r="41" spans="1:9" ht="33" customHeight="1">
      <c r="A41" s="15"/>
      <c r="B41" s="15"/>
      <c r="C41" s="248" t="s">
        <v>28</v>
      </c>
      <c r="D41" s="330" t="s">
        <v>57</v>
      </c>
      <c r="E41" s="330"/>
      <c r="F41" s="330"/>
      <c r="G41" s="49"/>
      <c r="H41" s="259"/>
      <c r="I41" s="50"/>
    </row>
    <row r="42" spans="1:9" ht="15.75">
      <c r="A42" s="15"/>
      <c r="B42" s="15"/>
      <c r="C42" s="15"/>
      <c r="D42" s="15" t="s">
        <v>20</v>
      </c>
      <c r="E42" s="15" t="s">
        <v>87</v>
      </c>
      <c r="F42" s="15"/>
      <c r="G42" s="18"/>
      <c r="H42" s="261"/>
      <c r="I42" s="50"/>
    </row>
    <row r="43" spans="1:9" ht="30.75" customHeight="1">
      <c r="A43" s="15"/>
      <c r="B43" s="15"/>
      <c r="C43" s="15"/>
      <c r="D43" s="15" t="s">
        <v>14</v>
      </c>
      <c r="E43" s="328" t="s">
        <v>88</v>
      </c>
      <c r="F43" s="328"/>
      <c r="G43" s="18">
        <v>2574000</v>
      </c>
      <c r="H43" s="261">
        <v>1868000</v>
      </c>
      <c r="I43" s="68">
        <f>H43/G43*100</f>
        <v>72.57187257187258</v>
      </c>
    </row>
    <row r="44" spans="1:9" ht="15.75">
      <c r="A44" s="15"/>
      <c r="B44" s="15"/>
      <c r="C44" s="15"/>
      <c r="D44" s="15" t="s">
        <v>21</v>
      </c>
      <c r="E44" s="15" t="s">
        <v>58</v>
      </c>
      <c r="F44" s="15"/>
      <c r="G44" s="18"/>
      <c r="H44" s="261"/>
      <c r="I44" s="50"/>
    </row>
    <row r="45" spans="1:9" ht="15.75">
      <c r="A45" s="15"/>
      <c r="B45" s="15"/>
      <c r="C45" s="15"/>
      <c r="D45" s="15"/>
      <c r="E45" s="15" t="s">
        <v>264</v>
      </c>
      <c r="F45" s="15" t="s">
        <v>265</v>
      </c>
      <c r="G45" s="18">
        <v>387520</v>
      </c>
      <c r="H45" s="261">
        <v>387520</v>
      </c>
      <c r="I45" s="68">
        <f>H45/G45*100</f>
        <v>100</v>
      </c>
    </row>
    <row r="46" spans="1:9" ht="15.75">
      <c r="A46" s="15"/>
      <c r="B46" s="15"/>
      <c r="C46" s="15"/>
      <c r="D46" s="15"/>
      <c r="E46" s="15" t="s">
        <v>266</v>
      </c>
      <c r="F46" s="15" t="s">
        <v>267</v>
      </c>
      <c r="G46" s="18">
        <v>3100000</v>
      </c>
      <c r="H46" s="261">
        <v>3100000</v>
      </c>
      <c r="I46" s="68">
        <f>H46/G46*100</f>
        <v>100</v>
      </c>
    </row>
    <row r="47" spans="1:9" ht="15.75" customHeight="1">
      <c r="A47" s="15"/>
      <c r="B47" s="15"/>
      <c r="C47" s="15"/>
      <c r="D47" s="15" t="s">
        <v>59</v>
      </c>
      <c r="E47" s="328" t="s">
        <v>249</v>
      </c>
      <c r="F47" s="329"/>
      <c r="G47" s="59"/>
      <c r="H47" s="264">
        <v>63053</v>
      </c>
      <c r="I47" s="68"/>
    </row>
    <row r="48" spans="1:9" ht="33.75" customHeight="1">
      <c r="A48" s="54"/>
      <c r="B48" s="54"/>
      <c r="C48" s="344" t="s">
        <v>61</v>
      </c>
      <c r="D48" s="344"/>
      <c r="E48" s="344"/>
      <c r="F48" s="344"/>
      <c r="G48" s="249">
        <f>SUM(G42:G47)</f>
        <v>6061520</v>
      </c>
      <c r="H48" s="262">
        <f>SUM(H42:H47)</f>
        <v>5418573</v>
      </c>
      <c r="I48" s="247">
        <f>H48/G48*100</f>
        <v>89.39297403951484</v>
      </c>
    </row>
    <row r="49" spans="1:9" ht="12" customHeight="1">
      <c r="A49" s="15"/>
      <c r="B49" s="15"/>
      <c r="C49" s="15"/>
      <c r="D49" s="15"/>
      <c r="E49" s="15"/>
      <c r="F49" s="15"/>
      <c r="G49" s="18"/>
      <c r="H49" s="261"/>
      <c r="I49" s="50"/>
    </row>
    <row r="50" spans="1:9" ht="31.5" customHeight="1">
      <c r="A50" s="15"/>
      <c r="B50" s="15"/>
      <c r="C50" s="248" t="s">
        <v>323</v>
      </c>
      <c r="D50" s="330" t="s">
        <v>62</v>
      </c>
      <c r="E50" s="330"/>
      <c r="F50" s="330"/>
      <c r="G50" s="49"/>
      <c r="H50" s="263"/>
      <c r="I50" s="48"/>
    </row>
    <row r="51" spans="1:9" ht="15.75">
      <c r="A51" s="15"/>
      <c r="B51" s="15"/>
      <c r="C51" s="15"/>
      <c r="D51" s="15" t="s">
        <v>20</v>
      </c>
      <c r="E51" s="328" t="s">
        <v>29</v>
      </c>
      <c r="F51" s="328"/>
      <c r="G51" s="52"/>
      <c r="H51" s="264"/>
      <c r="I51" s="51"/>
    </row>
    <row r="52" spans="1:9" ht="31.5">
      <c r="A52" s="15"/>
      <c r="B52" s="15"/>
      <c r="C52" s="15"/>
      <c r="D52" s="15"/>
      <c r="E52" s="15" t="s">
        <v>34</v>
      </c>
      <c r="F52" s="51" t="s">
        <v>63</v>
      </c>
      <c r="G52" s="18">
        <v>1800000</v>
      </c>
      <c r="H52" s="264">
        <v>1800000</v>
      </c>
      <c r="I52" s="50">
        <f>H52/G52*100</f>
        <v>100</v>
      </c>
    </row>
    <row r="53" spans="1:9" ht="12" customHeight="1">
      <c r="A53" s="15"/>
      <c r="B53" s="15"/>
      <c r="C53" s="15"/>
      <c r="D53" s="15"/>
      <c r="E53" s="15"/>
      <c r="F53" s="15"/>
      <c r="G53" s="18"/>
      <c r="H53" s="261"/>
      <c r="I53" s="50"/>
    </row>
    <row r="54" spans="1:9" ht="31.5" customHeight="1">
      <c r="A54" s="54"/>
      <c r="B54" s="54"/>
      <c r="C54" s="344" t="s">
        <v>64</v>
      </c>
      <c r="D54" s="344"/>
      <c r="E54" s="344"/>
      <c r="F54" s="344"/>
      <c r="G54" s="249">
        <f>SUM(G52:G53)</f>
        <v>1800000</v>
      </c>
      <c r="H54" s="262">
        <f>SUM(H52:H53)</f>
        <v>1800000</v>
      </c>
      <c r="I54" s="247">
        <f>H54/G54*100</f>
        <v>100</v>
      </c>
    </row>
    <row r="55" spans="1:9" ht="10.5" customHeight="1">
      <c r="A55" s="15"/>
      <c r="B55" s="15"/>
      <c r="C55" s="15"/>
      <c r="D55" s="15"/>
      <c r="E55" s="15"/>
      <c r="F55" s="15"/>
      <c r="G55" s="18"/>
      <c r="H55" s="261"/>
      <c r="I55" s="50"/>
    </row>
    <row r="56" spans="1:9" ht="29.25" customHeight="1">
      <c r="A56" s="57"/>
      <c r="B56" s="330" t="s">
        <v>66</v>
      </c>
      <c r="C56" s="330"/>
      <c r="D56" s="330"/>
      <c r="E56" s="330"/>
      <c r="F56" s="330"/>
      <c r="G56" s="62">
        <f>G40+G48+G54</f>
        <v>20386825</v>
      </c>
      <c r="H56" s="265">
        <f>H40+H48+H54</f>
        <v>19949284</v>
      </c>
      <c r="I56" s="63">
        <f>H56/G56*100</f>
        <v>97.85380509225934</v>
      </c>
    </row>
    <row r="57" spans="1:9" ht="15.75">
      <c r="A57" s="57"/>
      <c r="B57" s="47"/>
      <c r="C57" s="47"/>
      <c r="D57" s="47"/>
      <c r="E57" s="47"/>
      <c r="F57" s="47"/>
      <c r="G57" s="62"/>
      <c r="H57" s="265"/>
      <c r="I57" s="63"/>
    </row>
    <row r="58" spans="1:9" ht="19.5" customHeight="1">
      <c r="A58" s="57"/>
      <c r="B58" s="47" t="s">
        <v>247</v>
      </c>
      <c r="C58" s="330" t="s">
        <v>248</v>
      </c>
      <c r="D58" s="330"/>
      <c r="E58" s="330"/>
      <c r="F58" s="330"/>
      <c r="G58" s="62"/>
      <c r="H58" s="265"/>
      <c r="I58" s="63"/>
    </row>
    <row r="59" spans="1:9" ht="15.75">
      <c r="A59" s="57"/>
      <c r="B59" s="47"/>
      <c r="C59" s="59" t="s">
        <v>20</v>
      </c>
      <c r="D59" s="328" t="s">
        <v>330</v>
      </c>
      <c r="E59" s="328"/>
      <c r="F59" s="328"/>
      <c r="G59" s="62"/>
      <c r="H59" s="264"/>
      <c r="I59" s="63"/>
    </row>
    <row r="60" spans="1:9" ht="15.75" customHeight="1">
      <c r="A60" s="57"/>
      <c r="B60" s="47"/>
      <c r="C60" s="59" t="s">
        <v>14</v>
      </c>
      <c r="D60" s="343" t="s">
        <v>244</v>
      </c>
      <c r="E60" s="343"/>
      <c r="F60" s="343"/>
      <c r="G60" s="213">
        <v>46400</v>
      </c>
      <c r="H60" s="264">
        <v>84000</v>
      </c>
      <c r="I60" s="63"/>
    </row>
    <row r="61" spans="1:9" ht="15.75">
      <c r="A61" s="57"/>
      <c r="B61" s="47"/>
      <c r="C61" s="59" t="s">
        <v>21</v>
      </c>
      <c r="D61" s="340" t="s">
        <v>340</v>
      </c>
      <c r="E61" s="341"/>
      <c r="F61" s="341"/>
      <c r="G61" s="213"/>
      <c r="H61" s="264">
        <v>602179</v>
      </c>
      <c r="I61" s="63"/>
    </row>
    <row r="62" spans="1:9" ht="15.75">
      <c r="A62" s="57"/>
      <c r="B62" s="47"/>
      <c r="C62" s="59"/>
      <c r="D62" s="343"/>
      <c r="E62" s="343"/>
      <c r="F62" s="343"/>
      <c r="G62" s="213"/>
      <c r="H62" s="264"/>
      <c r="I62" s="63"/>
    </row>
    <row r="63" spans="1:9" ht="31.5" customHeight="1">
      <c r="A63" s="57"/>
      <c r="B63" s="330" t="s">
        <v>250</v>
      </c>
      <c r="C63" s="330"/>
      <c r="D63" s="330"/>
      <c r="E63" s="330"/>
      <c r="F63" s="330"/>
      <c r="G63" s="62">
        <f>SUM(G59:G62)</f>
        <v>46400</v>
      </c>
      <c r="H63" s="265">
        <f>SUM(H59:H62)</f>
        <v>686179</v>
      </c>
      <c r="I63" s="63"/>
    </row>
    <row r="64" spans="1:9" ht="12" customHeight="1">
      <c r="A64" s="15"/>
      <c r="B64" s="15"/>
      <c r="C64" s="15"/>
      <c r="D64" s="15"/>
      <c r="E64" s="15"/>
      <c r="F64" s="15"/>
      <c r="G64" s="18"/>
      <c r="H64" s="261"/>
      <c r="I64" s="50"/>
    </row>
    <row r="65" spans="1:9" ht="36" customHeight="1">
      <c r="A65" s="330" t="s">
        <v>67</v>
      </c>
      <c r="B65" s="330"/>
      <c r="C65" s="330"/>
      <c r="D65" s="330"/>
      <c r="E65" s="330"/>
      <c r="F65" s="330"/>
      <c r="G65" s="64">
        <f>G56+G63</f>
        <v>20433225</v>
      </c>
      <c r="H65" s="266">
        <f>H56+H63</f>
        <v>20635463</v>
      </c>
      <c r="I65" s="201">
        <f>I56</f>
        <v>97.85380509225934</v>
      </c>
    </row>
    <row r="66" spans="1:9" ht="10.5" customHeight="1">
      <c r="A66" s="47"/>
      <c r="B66" s="47"/>
      <c r="C66" s="47"/>
      <c r="D66" s="47"/>
      <c r="E66" s="47"/>
      <c r="F66" s="47"/>
      <c r="G66" s="64"/>
      <c r="H66" s="266"/>
      <c r="I66" s="201"/>
    </row>
    <row r="67" spans="1:9" ht="33" customHeight="1">
      <c r="A67" s="217" t="s">
        <v>247</v>
      </c>
      <c r="B67" s="330" t="s">
        <v>287</v>
      </c>
      <c r="C67" s="330"/>
      <c r="D67" s="330"/>
      <c r="E67" s="330"/>
      <c r="F67" s="330"/>
      <c r="G67" s="64"/>
      <c r="H67" s="266"/>
      <c r="I67" s="201"/>
    </row>
    <row r="68" spans="1:9" ht="15" customHeight="1">
      <c r="A68" s="47"/>
      <c r="B68" s="47" t="s">
        <v>20</v>
      </c>
      <c r="C68" s="340" t="s">
        <v>288</v>
      </c>
      <c r="D68" s="340"/>
      <c r="E68" s="340"/>
      <c r="F68" s="340"/>
      <c r="G68" s="211">
        <v>78740410</v>
      </c>
      <c r="H68" s="267">
        <v>14356553</v>
      </c>
      <c r="I68" s="201"/>
    </row>
    <row r="69" spans="1:9" ht="15" customHeight="1">
      <c r="A69" s="47"/>
      <c r="B69" s="47"/>
      <c r="C69" s="340" t="s">
        <v>289</v>
      </c>
      <c r="D69" s="340"/>
      <c r="E69" s="340"/>
      <c r="F69" s="340"/>
      <c r="G69" s="211">
        <v>8748935</v>
      </c>
      <c r="H69" s="267">
        <v>766387</v>
      </c>
      <c r="I69" s="201"/>
    </row>
    <row r="70" spans="1:9" ht="34.5" customHeight="1">
      <c r="A70" s="47"/>
      <c r="B70" s="274" t="s">
        <v>14</v>
      </c>
      <c r="C70" s="328" t="s">
        <v>333</v>
      </c>
      <c r="D70" s="329"/>
      <c r="E70" s="329"/>
      <c r="F70" s="329"/>
      <c r="G70" s="211">
        <v>12595865</v>
      </c>
      <c r="H70" s="267"/>
      <c r="I70" s="201"/>
    </row>
    <row r="71" spans="1:9" ht="40.5" customHeight="1">
      <c r="A71" s="330" t="s">
        <v>290</v>
      </c>
      <c r="B71" s="330"/>
      <c r="C71" s="330"/>
      <c r="D71" s="330"/>
      <c r="E71" s="330"/>
      <c r="F71" s="330"/>
      <c r="G71" s="64">
        <f>G68+G69+G70</f>
        <v>100085210</v>
      </c>
      <c r="H71" s="266">
        <f>H68+H69+H70</f>
        <v>15122940</v>
      </c>
      <c r="I71" s="201"/>
    </row>
    <row r="72" spans="1:9" ht="15" customHeight="1">
      <c r="A72" s="47"/>
      <c r="B72" s="47"/>
      <c r="C72" s="47"/>
      <c r="D72" s="47"/>
      <c r="E72" s="47"/>
      <c r="F72" s="47"/>
      <c r="G72" s="64"/>
      <c r="H72" s="266"/>
      <c r="I72" s="201"/>
    </row>
    <row r="73" spans="1:9" ht="15.75">
      <c r="A73" s="13" t="s">
        <v>28</v>
      </c>
      <c r="B73" s="13" t="s">
        <v>68</v>
      </c>
      <c r="C73" s="13"/>
      <c r="D73" s="13"/>
      <c r="E73" s="13"/>
      <c r="F73" s="13"/>
      <c r="G73" s="13"/>
      <c r="H73" s="268"/>
      <c r="I73" s="50"/>
    </row>
    <row r="74" spans="1:9" ht="9" customHeight="1">
      <c r="A74" s="15"/>
      <c r="B74" s="15"/>
      <c r="C74" s="15"/>
      <c r="D74" s="15"/>
      <c r="E74" s="15"/>
      <c r="F74" s="15"/>
      <c r="G74" s="18"/>
      <c r="H74" s="261"/>
      <c r="I74" s="50"/>
    </row>
    <row r="75" spans="1:9" ht="15.75">
      <c r="A75" s="13"/>
      <c r="B75" s="13" t="s">
        <v>20</v>
      </c>
      <c r="C75" s="13" t="s">
        <v>69</v>
      </c>
      <c r="D75" s="13"/>
      <c r="E75" s="13"/>
      <c r="F75" s="13"/>
      <c r="G75" s="13"/>
      <c r="H75" s="268"/>
      <c r="I75" s="50"/>
    </row>
    <row r="76" spans="1:9" s="9" customFormat="1" ht="15.75">
      <c r="A76" s="15"/>
      <c r="B76" s="15"/>
      <c r="C76" s="15" t="s">
        <v>20</v>
      </c>
      <c r="D76" s="15" t="s">
        <v>70</v>
      </c>
      <c r="E76" s="15"/>
      <c r="F76" s="15"/>
      <c r="G76" s="60">
        <v>800000</v>
      </c>
      <c r="H76" s="261">
        <v>800000</v>
      </c>
      <c r="I76" s="50">
        <f>H76/G76*100</f>
        <v>100</v>
      </c>
    </row>
    <row r="77" spans="1:9" ht="15.75">
      <c r="A77" s="13"/>
      <c r="B77" s="13" t="s">
        <v>14</v>
      </c>
      <c r="C77" s="13" t="s">
        <v>71</v>
      </c>
      <c r="D77" s="13"/>
      <c r="E77" s="13"/>
      <c r="F77" s="13"/>
      <c r="G77" s="60"/>
      <c r="H77" s="268"/>
      <c r="I77" s="50"/>
    </row>
    <row r="78" spans="1:9" ht="15.75">
      <c r="A78" s="15"/>
      <c r="B78" s="15"/>
      <c r="C78" s="15" t="s">
        <v>20</v>
      </c>
      <c r="D78" s="15" t="s">
        <v>72</v>
      </c>
      <c r="E78" s="15"/>
      <c r="F78" s="15"/>
      <c r="G78" s="60">
        <v>650000</v>
      </c>
      <c r="H78" s="261">
        <v>650000</v>
      </c>
      <c r="I78" s="50">
        <f>H78/G78*100</f>
        <v>100</v>
      </c>
    </row>
    <row r="79" spans="1:9" ht="15.75">
      <c r="A79" s="13"/>
      <c r="B79" s="13" t="s">
        <v>59</v>
      </c>
      <c r="C79" s="13" t="s">
        <v>73</v>
      </c>
      <c r="D79" s="13"/>
      <c r="E79" s="13"/>
      <c r="F79" s="13"/>
      <c r="G79" s="60"/>
      <c r="H79" s="268"/>
      <c r="I79" s="50"/>
    </row>
    <row r="80" spans="1:9" ht="15.75">
      <c r="A80" s="15"/>
      <c r="B80" s="15"/>
      <c r="C80" s="13" t="s">
        <v>20</v>
      </c>
      <c r="D80" s="15" t="s">
        <v>74</v>
      </c>
      <c r="E80" s="15"/>
      <c r="F80" s="15"/>
      <c r="G80" s="60">
        <v>5000</v>
      </c>
      <c r="H80" s="261">
        <v>5000</v>
      </c>
      <c r="I80" s="50">
        <f>H80/G80*100</f>
        <v>100</v>
      </c>
    </row>
    <row r="81" spans="1:9" ht="15.75">
      <c r="A81" s="15"/>
      <c r="B81" s="15"/>
      <c r="C81" s="13" t="s">
        <v>21</v>
      </c>
      <c r="D81" s="15" t="s">
        <v>75</v>
      </c>
      <c r="E81" s="15"/>
      <c r="F81" s="15"/>
      <c r="G81" s="60">
        <v>40000</v>
      </c>
      <c r="H81" s="261">
        <v>40000</v>
      </c>
      <c r="I81" s="50">
        <f>H81/G81*100</f>
        <v>100</v>
      </c>
    </row>
    <row r="82" spans="1:9" ht="9" customHeight="1">
      <c r="A82" s="57"/>
      <c r="B82" s="57"/>
      <c r="C82" s="57"/>
      <c r="D82" s="57"/>
      <c r="E82" s="57"/>
      <c r="F82" s="57"/>
      <c r="G82" s="60"/>
      <c r="H82" s="269"/>
      <c r="I82" s="50"/>
    </row>
    <row r="83" spans="1:9" s="9" customFormat="1" ht="15.75">
      <c r="A83" s="13" t="s">
        <v>35</v>
      </c>
      <c r="B83" s="57"/>
      <c r="C83" s="57"/>
      <c r="D83" s="57"/>
      <c r="E83" s="57"/>
      <c r="F83" s="57"/>
      <c r="G83" s="62">
        <f>G76+G78+G80+G81</f>
        <v>1495000</v>
      </c>
      <c r="H83" s="265">
        <f>H76+H78+H80+H81</f>
        <v>1495000</v>
      </c>
      <c r="I83" s="63">
        <f>H83/G83*100</f>
        <v>100</v>
      </c>
    </row>
    <row r="84" spans="1:9" ht="9" customHeight="1">
      <c r="A84" s="57"/>
      <c r="B84" s="57"/>
      <c r="C84" s="57"/>
      <c r="D84" s="57"/>
      <c r="E84" s="57"/>
      <c r="F84" s="57"/>
      <c r="G84" s="60"/>
      <c r="H84" s="269"/>
      <c r="I84" s="50"/>
    </row>
    <row r="85" spans="1:9" ht="15.75">
      <c r="A85" s="13" t="s">
        <v>76</v>
      </c>
      <c r="B85" s="13" t="s">
        <v>30</v>
      </c>
      <c r="C85" s="13"/>
      <c r="D85" s="13"/>
      <c r="E85" s="13"/>
      <c r="F85" s="13"/>
      <c r="G85" s="13"/>
      <c r="H85" s="268"/>
      <c r="I85" s="50"/>
    </row>
    <row r="86" spans="1:9" ht="9" customHeight="1">
      <c r="A86" s="57"/>
      <c r="B86" s="57"/>
      <c r="C86" s="57"/>
      <c r="D86" s="57"/>
      <c r="E86" s="57"/>
      <c r="F86" s="57"/>
      <c r="G86" s="60"/>
      <c r="H86" s="269"/>
      <c r="I86" s="50"/>
    </row>
    <row r="87" spans="1:9" ht="15.75">
      <c r="A87" s="57"/>
      <c r="B87" s="57" t="s">
        <v>20</v>
      </c>
      <c r="C87" s="61" t="s">
        <v>246</v>
      </c>
      <c r="D87" s="61"/>
      <c r="E87" s="61"/>
      <c r="F87" s="61"/>
      <c r="G87" s="60"/>
      <c r="H87" s="269"/>
      <c r="I87" s="50"/>
    </row>
    <row r="88" spans="1:9" ht="30.75" customHeight="1">
      <c r="A88" s="57"/>
      <c r="B88" s="57"/>
      <c r="C88" s="57" t="s">
        <v>20</v>
      </c>
      <c r="D88" s="351" t="s">
        <v>258</v>
      </c>
      <c r="E88" s="351"/>
      <c r="F88" s="351"/>
      <c r="G88" s="60">
        <v>42520</v>
      </c>
      <c r="H88" s="269">
        <v>42520</v>
      </c>
      <c r="I88" s="50">
        <f>H88/G88*100</f>
        <v>100</v>
      </c>
    </row>
    <row r="89" spans="1:9" ht="15.75" customHeight="1">
      <c r="A89" s="57"/>
      <c r="B89" s="57"/>
      <c r="C89" s="57">
        <v>2</v>
      </c>
      <c r="D89" s="352" t="s">
        <v>268</v>
      </c>
      <c r="E89" s="353"/>
      <c r="F89" s="353"/>
      <c r="G89" s="60">
        <v>5000</v>
      </c>
      <c r="H89" s="269">
        <v>5000</v>
      </c>
      <c r="I89" s="50">
        <f>H89/G89*100</f>
        <v>100</v>
      </c>
    </row>
    <row r="90" spans="1:9" ht="15.75">
      <c r="A90" s="57"/>
      <c r="B90" s="57" t="s">
        <v>14</v>
      </c>
      <c r="C90" s="61" t="s">
        <v>77</v>
      </c>
      <c r="D90" s="61"/>
      <c r="E90" s="61"/>
      <c r="F90" s="61"/>
      <c r="G90" s="60"/>
      <c r="H90" s="269"/>
      <c r="I90" s="50"/>
    </row>
    <row r="91" spans="1:9" ht="15.75">
      <c r="A91" s="57"/>
      <c r="B91" s="57"/>
      <c r="C91" s="57" t="s">
        <v>20</v>
      </c>
      <c r="D91" s="61" t="s">
        <v>40</v>
      </c>
      <c r="E91" s="61"/>
      <c r="F91" s="61"/>
      <c r="G91" s="60">
        <v>578690</v>
      </c>
      <c r="H91" s="269">
        <v>523586</v>
      </c>
      <c r="I91" s="50">
        <f>H91/G91*100</f>
        <v>90.47780331438248</v>
      </c>
    </row>
    <row r="92" spans="1:9" ht="15.75">
      <c r="A92" s="57"/>
      <c r="B92" s="57"/>
      <c r="C92" s="57" t="s">
        <v>14</v>
      </c>
      <c r="D92" s="61" t="s">
        <v>281</v>
      </c>
      <c r="E92" s="61"/>
      <c r="F92" s="61"/>
      <c r="G92" s="60">
        <f>11480</f>
        <v>11480</v>
      </c>
      <c r="H92" s="269">
        <f>11480+141368</f>
        <v>152848</v>
      </c>
      <c r="I92" s="50">
        <f>H92/G92*100</f>
        <v>1331.4285714285716</v>
      </c>
    </row>
    <row r="93" spans="1:9" ht="15.75">
      <c r="A93" s="57"/>
      <c r="B93" s="57"/>
      <c r="C93" s="57" t="s">
        <v>21</v>
      </c>
      <c r="D93" s="61" t="s">
        <v>282</v>
      </c>
      <c r="E93" s="61"/>
      <c r="F93" s="61"/>
      <c r="G93" s="60">
        <f>223912+23778369</f>
        <v>24002281</v>
      </c>
      <c r="H93" s="269">
        <f>4083193+265970</f>
        <v>4349163</v>
      </c>
      <c r="I93" s="50">
        <f>H93/G93*100</f>
        <v>18.119790364924068</v>
      </c>
    </row>
    <row r="94" spans="1:9" ht="15.75">
      <c r="A94" s="57"/>
      <c r="B94" s="57" t="s">
        <v>21</v>
      </c>
      <c r="C94" s="61" t="s">
        <v>78</v>
      </c>
      <c r="D94" s="57"/>
      <c r="E94" s="57"/>
      <c r="F94" s="57"/>
      <c r="G94" s="60"/>
      <c r="H94" s="269"/>
      <c r="I94" s="50"/>
    </row>
    <row r="95" spans="1:9" ht="11.25" customHeight="1">
      <c r="A95" s="57"/>
      <c r="B95" s="57"/>
      <c r="C95" s="57"/>
      <c r="D95" s="57"/>
      <c r="E95" s="57"/>
      <c r="F95" s="57"/>
      <c r="G95" s="60"/>
      <c r="H95" s="269"/>
      <c r="I95" s="50"/>
    </row>
    <row r="96" spans="1:9" ht="15.75">
      <c r="A96" s="13" t="s">
        <v>13</v>
      </c>
      <c r="B96" s="57"/>
      <c r="C96" s="57"/>
      <c r="D96" s="57"/>
      <c r="E96" s="57"/>
      <c r="F96" s="57"/>
      <c r="G96" s="62">
        <f>SUM(G88:G95)</f>
        <v>24639971</v>
      </c>
      <c r="H96" s="265">
        <f>H88+H91+H94+H89+H92+H93</f>
        <v>5073117</v>
      </c>
      <c r="I96" s="63">
        <f>H96/G96*100</f>
        <v>20.58897309578814</v>
      </c>
    </row>
    <row r="97" spans="1:9" ht="17.25" customHeight="1">
      <c r="A97" s="66" t="s">
        <v>80</v>
      </c>
      <c r="B97" s="66"/>
      <c r="C97" s="66"/>
      <c r="D97" s="66"/>
      <c r="E97" s="66"/>
      <c r="F97" s="66"/>
      <c r="G97" s="65">
        <f>G96+G83+G71+G65</f>
        <v>146653406</v>
      </c>
      <c r="H97" s="270">
        <f>H96+H83+H65+H71</f>
        <v>42326520</v>
      </c>
      <c r="I97" s="63">
        <f>H97/G97*100</f>
        <v>28.861600391333564</v>
      </c>
    </row>
    <row r="98" spans="1:9" ht="15.75">
      <c r="A98" s="13" t="s">
        <v>81</v>
      </c>
      <c r="B98" s="330" t="s">
        <v>82</v>
      </c>
      <c r="C98" s="330"/>
      <c r="D98" s="330"/>
      <c r="E98" s="330"/>
      <c r="F98" s="330"/>
      <c r="G98" s="13"/>
      <c r="H98" s="264"/>
      <c r="I98" s="50"/>
    </row>
    <row r="99" spans="1:9" ht="15.75">
      <c r="A99" s="13"/>
      <c r="B99" s="47" t="s">
        <v>20</v>
      </c>
      <c r="C99" s="330" t="s">
        <v>83</v>
      </c>
      <c r="D99" s="330"/>
      <c r="E99" s="330"/>
      <c r="F99" s="330"/>
      <c r="G99" s="60"/>
      <c r="H99" s="264"/>
      <c r="I99" s="50"/>
    </row>
    <row r="100" spans="1:9" ht="15.75">
      <c r="A100" s="13"/>
      <c r="B100" s="47"/>
      <c r="C100" s="59" t="s">
        <v>20</v>
      </c>
      <c r="D100" s="328" t="s">
        <v>331</v>
      </c>
      <c r="E100" s="328"/>
      <c r="F100" s="328"/>
      <c r="G100" s="60">
        <v>815473</v>
      </c>
      <c r="H100" s="269">
        <v>795449</v>
      </c>
      <c r="I100" s="50">
        <f>H100/G100*100</f>
        <v>97.5444925828323</v>
      </c>
    </row>
    <row r="101" spans="1:9" ht="17.25" customHeight="1">
      <c r="A101" s="15"/>
      <c r="B101" s="15"/>
      <c r="C101" s="214" t="s">
        <v>14</v>
      </c>
      <c r="D101" s="349" t="s">
        <v>349</v>
      </c>
      <c r="E101" s="350"/>
      <c r="F101" s="350"/>
      <c r="G101" s="216"/>
      <c r="H101" s="261">
        <v>357916</v>
      </c>
      <c r="I101" s="50"/>
    </row>
    <row r="102" spans="1:9" ht="51" customHeight="1">
      <c r="A102" s="15"/>
      <c r="B102" s="15"/>
      <c r="C102" s="214" t="s">
        <v>21</v>
      </c>
      <c r="D102" s="349" t="s">
        <v>350</v>
      </c>
      <c r="E102" s="350"/>
      <c r="F102" s="350"/>
      <c r="G102" s="216"/>
      <c r="H102" s="261">
        <v>564000</v>
      </c>
      <c r="I102" s="50"/>
    </row>
    <row r="103" spans="1:9" ht="21.75" customHeight="1">
      <c r="A103" s="15"/>
      <c r="B103" s="15"/>
      <c r="C103" s="214" t="s">
        <v>59</v>
      </c>
      <c r="D103" s="345" t="s">
        <v>328</v>
      </c>
      <c r="E103" s="346"/>
      <c r="F103" s="346"/>
      <c r="G103" s="216">
        <v>1000000</v>
      </c>
      <c r="H103" s="261"/>
      <c r="I103" s="50"/>
    </row>
    <row r="104" spans="1:9" ht="34.5" customHeight="1">
      <c r="A104" s="15"/>
      <c r="B104" s="15"/>
      <c r="C104" s="214" t="s">
        <v>60</v>
      </c>
      <c r="D104" s="347" t="s">
        <v>332</v>
      </c>
      <c r="E104" s="348"/>
      <c r="F104" s="348"/>
      <c r="G104" s="216">
        <v>659121</v>
      </c>
      <c r="H104" s="261"/>
      <c r="I104" s="50"/>
    </row>
    <row r="105" spans="1:9" ht="18" customHeight="1">
      <c r="A105" s="15"/>
      <c r="B105" s="15"/>
      <c r="C105" s="214" t="s">
        <v>65</v>
      </c>
      <c r="D105" s="347" t="s">
        <v>334</v>
      </c>
      <c r="E105" s="348"/>
      <c r="F105" s="348"/>
      <c r="G105" s="216">
        <v>180996</v>
      </c>
      <c r="H105" s="261"/>
      <c r="I105" s="50"/>
    </row>
    <row r="106" spans="1:9" ht="18" customHeight="1">
      <c r="A106" s="15"/>
      <c r="B106" s="15"/>
      <c r="C106" s="214" t="s">
        <v>149</v>
      </c>
      <c r="D106" s="345" t="s">
        <v>339</v>
      </c>
      <c r="E106" s="346"/>
      <c r="F106" s="346"/>
      <c r="G106" s="216">
        <v>739032</v>
      </c>
      <c r="H106" s="261"/>
      <c r="I106" s="50"/>
    </row>
    <row r="107" spans="1:9" ht="18" customHeight="1">
      <c r="A107" s="15"/>
      <c r="B107" s="15"/>
      <c r="C107" s="214" t="s">
        <v>151</v>
      </c>
      <c r="D107" s="345" t="s">
        <v>348</v>
      </c>
      <c r="E107" s="346"/>
      <c r="F107" s="346"/>
      <c r="G107" s="216">
        <v>7416061</v>
      </c>
      <c r="H107" s="261">
        <f>103950+150000+200000+9513747</f>
        <v>9967697</v>
      </c>
      <c r="I107" s="50"/>
    </row>
    <row r="108" spans="1:9" ht="16.5">
      <c r="A108" s="66" t="s">
        <v>82</v>
      </c>
      <c r="B108" s="66"/>
      <c r="C108" s="66"/>
      <c r="D108" s="66"/>
      <c r="E108" s="66"/>
      <c r="F108" s="66"/>
      <c r="G108" s="215">
        <f>SUM(G100:G107)</f>
        <v>10810683</v>
      </c>
      <c r="H108" s="271">
        <f>H100+H101+H103+H104+H105+H106+H107+H102</f>
        <v>11685062</v>
      </c>
      <c r="I108" s="50">
        <f>H108/G108*100</f>
        <v>108.08810137157847</v>
      </c>
    </row>
    <row r="109" spans="1:9" ht="15.75">
      <c r="A109" s="15"/>
      <c r="B109" s="15"/>
      <c r="C109" s="15"/>
      <c r="D109" s="15"/>
      <c r="E109" s="15"/>
      <c r="F109" s="15"/>
      <c r="G109" s="21"/>
      <c r="H109" s="272"/>
      <c r="I109" s="50"/>
    </row>
    <row r="110" spans="1:9" ht="18.75">
      <c r="A110" s="14" t="s">
        <v>84</v>
      </c>
      <c r="B110" s="14"/>
      <c r="C110" s="14"/>
      <c r="D110" s="14"/>
      <c r="E110" s="14"/>
      <c r="F110" s="14"/>
      <c r="G110" s="67">
        <f>G97+G108</f>
        <v>157464089</v>
      </c>
      <c r="H110" s="270">
        <f>H97+H108</f>
        <v>54011582</v>
      </c>
      <c r="I110" s="63">
        <f>H110/G110*100</f>
        <v>34.30088875692794</v>
      </c>
    </row>
    <row r="111" spans="7:9" ht="15.75">
      <c r="G111" s="6"/>
      <c r="H111" s="6"/>
      <c r="I111" s="7"/>
    </row>
    <row r="112" spans="7:9" ht="15.75">
      <c r="G112" s="37"/>
      <c r="H112" s="53"/>
      <c r="I112" s="11"/>
    </row>
    <row r="113" ht="9" customHeight="1">
      <c r="I113" s="11"/>
    </row>
    <row r="114" spans="1:9" s="9" customFormat="1" ht="15.75">
      <c r="A114" s="29"/>
      <c r="B114" s="28"/>
      <c r="C114" s="28"/>
      <c r="D114" s="28"/>
      <c r="E114" s="28"/>
      <c r="H114" s="53"/>
      <c r="I114" s="10"/>
    </row>
    <row r="115" ht="9" customHeight="1">
      <c r="I115" s="11"/>
    </row>
    <row r="116" ht="9" customHeight="1">
      <c r="I116" s="11"/>
    </row>
    <row r="122" ht="15.75">
      <c r="I122" s="11"/>
    </row>
    <row r="127" ht="15.75">
      <c r="I127" s="11"/>
    </row>
  </sheetData>
  <sheetProtection/>
  <mergeCells count="42">
    <mergeCell ref="D106:F106"/>
    <mergeCell ref="E51:F51"/>
    <mergeCell ref="B63:F63"/>
    <mergeCell ref="D89:F89"/>
    <mergeCell ref="C54:F54"/>
    <mergeCell ref="A71:F71"/>
    <mergeCell ref="B67:F67"/>
    <mergeCell ref="D103:F103"/>
    <mergeCell ref="D107:F107"/>
    <mergeCell ref="C70:F70"/>
    <mergeCell ref="D105:F105"/>
    <mergeCell ref="D104:F104"/>
    <mergeCell ref="C68:F68"/>
    <mergeCell ref="D101:F101"/>
    <mergeCell ref="D88:F88"/>
    <mergeCell ref="B98:F98"/>
    <mergeCell ref="D100:F100"/>
    <mergeCell ref="D102:F102"/>
    <mergeCell ref="C69:F69"/>
    <mergeCell ref="B56:F56"/>
    <mergeCell ref="D60:F60"/>
    <mergeCell ref="C99:F99"/>
    <mergeCell ref="D62:F62"/>
    <mergeCell ref="D40:F40"/>
    <mergeCell ref="C48:F48"/>
    <mergeCell ref="E43:F43"/>
    <mergeCell ref="A5:I5"/>
    <mergeCell ref="A6:I6"/>
    <mergeCell ref="A7:I7"/>
    <mergeCell ref="A8:I8"/>
    <mergeCell ref="B15:F15"/>
    <mergeCell ref="A1:I1"/>
    <mergeCell ref="E47:F47"/>
    <mergeCell ref="D41:F41"/>
    <mergeCell ref="A11:F13"/>
    <mergeCell ref="E21:F21"/>
    <mergeCell ref="D50:F50"/>
    <mergeCell ref="A65:F65"/>
    <mergeCell ref="C58:F58"/>
    <mergeCell ref="D59:F59"/>
    <mergeCell ref="D61:F61"/>
    <mergeCell ref="D19:F19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G26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125" style="140" customWidth="1"/>
    <col min="2" max="2" width="9.125" style="140" customWidth="1"/>
    <col min="3" max="3" width="61.125" style="140" customWidth="1"/>
    <col min="4" max="7" width="26.25390625" style="140" customWidth="1"/>
    <col min="8" max="16384" width="9.125" style="140" customWidth="1"/>
  </cols>
  <sheetData>
    <row r="2" spans="1:7" ht="15.75">
      <c r="A2" s="377" t="s">
        <v>393</v>
      </c>
      <c r="B2" s="378"/>
      <c r="C2" s="378"/>
      <c r="D2" s="378"/>
      <c r="E2" s="378"/>
      <c r="F2" s="378"/>
      <c r="G2" s="378"/>
    </row>
    <row r="4" spans="1:7" s="129" customFormat="1" ht="15.75">
      <c r="A4" s="376" t="s">
        <v>351</v>
      </c>
      <c r="B4" s="327"/>
      <c r="C4" s="327"/>
      <c r="D4" s="130"/>
      <c r="E4" s="131"/>
      <c r="F4" s="131"/>
      <c r="G4" s="131"/>
    </row>
    <row r="5" spans="3:7" s="39" customFormat="1" ht="15" customHeight="1">
      <c r="C5" s="379"/>
      <c r="D5" s="379"/>
      <c r="E5" s="379"/>
      <c r="F5" s="379"/>
      <c r="G5" s="379"/>
    </row>
    <row r="6" spans="4:7" s="132" customFormat="1" ht="15" customHeight="1">
      <c r="D6" s="133"/>
      <c r="E6" s="134"/>
      <c r="F6" s="134"/>
      <c r="G6" s="134"/>
    </row>
    <row r="7" spans="3:7" s="86" customFormat="1" ht="15" customHeight="1">
      <c r="C7" s="380" t="s">
        <v>251</v>
      </c>
      <c r="D7" s="380"/>
      <c r="E7" s="380"/>
      <c r="F7" s="380"/>
      <c r="G7" s="380"/>
    </row>
    <row r="8" spans="3:7" s="86" customFormat="1" ht="15.75">
      <c r="C8" s="381" t="s">
        <v>189</v>
      </c>
      <c r="D8" s="381"/>
      <c r="E8" s="381"/>
      <c r="F8" s="381"/>
      <c r="G8" s="381"/>
    </row>
    <row r="9" spans="3:7" s="86" customFormat="1" ht="15" customHeight="1">
      <c r="C9" s="380" t="s">
        <v>347</v>
      </c>
      <c r="D9" s="380"/>
      <c r="E9" s="380"/>
      <c r="F9" s="380"/>
      <c r="G9" s="380"/>
    </row>
    <row r="10" spans="3:7" s="129" customFormat="1" ht="12" customHeight="1" thickBot="1">
      <c r="C10" s="130"/>
      <c r="D10" s="135"/>
      <c r="E10" s="136"/>
      <c r="F10" s="136"/>
      <c r="G10" s="277" t="s">
        <v>329</v>
      </c>
    </row>
    <row r="11" spans="1:7" s="129" customFormat="1" ht="16.5" customHeight="1" thickBot="1">
      <c r="A11" s="354" t="s">
        <v>324</v>
      </c>
      <c r="B11" s="356" t="s">
        <v>104</v>
      </c>
      <c r="C11" s="359" t="s">
        <v>105</v>
      </c>
      <c r="D11" s="362" t="s">
        <v>190</v>
      </c>
      <c r="E11" s="365" t="s">
        <v>191</v>
      </c>
      <c r="F11" s="365"/>
      <c r="G11" s="366"/>
    </row>
    <row r="12" spans="1:7" s="129" customFormat="1" ht="33" customHeight="1" thickBot="1">
      <c r="A12" s="355"/>
      <c r="B12" s="357"/>
      <c r="C12" s="360"/>
      <c r="D12" s="363"/>
      <c r="E12" s="137" t="s">
        <v>192</v>
      </c>
      <c r="F12" s="138" t="s">
        <v>193</v>
      </c>
      <c r="G12" s="139" t="s">
        <v>194</v>
      </c>
    </row>
    <row r="13" spans="1:7" s="129" customFormat="1" ht="22.5" customHeight="1">
      <c r="A13" s="355"/>
      <c r="B13" s="357"/>
      <c r="C13" s="360"/>
      <c r="D13" s="363"/>
      <c r="E13" s="367" t="s">
        <v>195</v>
      </c>
      <c r="F13" s="368"/>
      <c r="G13" s="369"/>
    </row>
    <row r="14" spans="1:7" ht="12.75">
      <c r="A14" s="355"/>
      <c r="B14" s="357"/>
      <c r="C14" s="360"/>
      <c r="D14" s="363"/>
      <c r="E14" s="370"/>
      <c r="F14" s="371"/>
      <c r="G14" s="372"/>
    </row>
    <row r="15" spans="1:7" ht="3" customHeight="1" thickBot="1">
      <c r="A15" s="250"/>
      <c r="B15" s="358"/>
      <c r="C15" s="361"/>
      <c r="D15" s="364"/>
      <c r="E15" s="373"/>
      <c r="F15" s="374"/>
      <c r="G15" s="375"/>
    </row>
    <row r="16" spans="1:7" ht="30.75" thickBot="1">
      <c r="A16" s="251" t="s">
        <v>20</v>
      </c>
      <c r="B16" s="203" t="s">
        <v>121</v>
      </c>
      <c r="C16" s="276" t="s">
        <v>122</v>
      </c>
      <c r="D16" s="275">
        <f aca="true" t="shared" si="0" ref="D16:D25">SUM(E16:G16)</f>
        <v>5000</v>
      </c>
      <c r="E16" s="141">
        <v>5000</v>
      </c>
      <c r="F16" s="141"/>
      <c r="G16" s="142"/>
    </row>
    <row r="17" spans="1:7" ht="15">
      <c r="A17" s="252" t="s">
        <v>14</v>
      </c>
      <c r="B17" s="203" t="s">
        <v>123</v>
      </c>
      <c r="C17" s="202" t="s">
        <v>263</v>
      </c>
      <c r="D17" s="141">
        <f t="shared" si="0"/>
        <v>5000</v>
      </c>
      <c r="E17" s="141">
        <v>5000</v>
      </c>
      <c r="F17" s="141"/>
      <c r="G17" s="142"/>
    </row>
    <row r="18" spans="1:7" ht="15">
      <c r="A18" s="252" t="s">
        <v>21</v>
      </c>
      <c r="B18" s="83" t="s">
        <v>124</v>
      </c>
      <c r="C18" s="82" t="s">
        <v>125</v>
      </c>
      <c r="D18" s="143">
        <f t="shared" si="0"/>
        <v>54000</v>
      </c>
      <c r="E18" s="143"/>
      <c r="F18" s="143">
        <v>54000</v>
      </c>
      <c r="G18" s="144"/>
    </row>
    <row r="19" spans="1:7" ht="15">
      <c r="A19" s="252" t="s">
        <v>59</v>
      </c>
      <c r="B19" s="83" t="s">
        <v>196</v>
      </c>
      <c r="C19" s="82" t="s">
        <v>197</v>
      </c>
      <c r="D19" s="143">
        <f t="shared" si="0"/>
        <v>19949284</v>
      </c>
      <c r="E19" s="143">
        <f>19886231+63053</f>
        <v>19949284</v>
      </c>
      <c r="F19" s="143"/>
      <c r="G19" s="144"/>
    </row>
    <row r="20" spans="1:7" ht="15">
      <c r="A20" s="252" t="s">
        <v>60</v>
      </c>
      <c r="B20" s="148" t="s">
        <v>284</v>
      </c>
      <c r="C20" s="82" t="s">
        <v>285</v>
      </c>
      <c r="D20" s="143">
        <f t="shared" si="0"/>
        <v>11685062</v>
      </c>
      <c r="E20" s="143">
        <f>1717365+9967697</f>
        <v>11685062</v>
      </c>
      <c r="F20" s="143"/>
      <c r="G20" s="144"/>
    </row>
    <row r="21" spans="1:7" ht="15">
      <c r="A21" s="252" t="s">
        <v>65</v>
      </c>
      <c r="B21" s="148" t="s">
        <v>335</v>
      </c>
      <c r="C21" s="82" t="s">
        <v>336</v>
      </c>
      <c r="D21" s="143">
        <f t="shared" si="0"/>
        <v>602179</v>
      </c>
      <c r="E21" s="143">
        <f>602179</f>
        <v>602179</v>
      </c>
      <c r="F21" s="143"/>
      <c r="G21" s="144"/>
    </row>
    <row r="22" spans="1:7" ht="15">
      <c r="A22" s="252" t="s">
        <v>149</v>
      </c>
      <c r="B22" s="83" t="s">
        <v>292</v>
      </c>
      <c r="C22" s="82" t="s">
        <v>291</v>
      </c>
      <c r="D22" s="143">
        <f t="shared" si="0"/>
        <v>19206133</v>
      </c>
      <c r="E22" s="143">
        <v>19206133</v>
      </c>
      <c r="F22" s="143"/>
      <c r="G22" s="144"/>
    </row>
    <row r="23" spans="1:7" ht="15">
      <c r="A23" s="252" t="s">
        <v>151</v>
      </c>
      <c r="B23" s="148">
        <v>104051</v>
      </c>
      <c r="C23" s="82" t="s">
        <v>262</v>
      </c>
      <c r="D23" s="143">
        <f t="shared" si="0"/>
        <v>84000</v>
      </c>
      <c r="E23" s="143"/>
      <c r="F23" s="143"/>
      <c r="G23" s="144">
        <v>84000</v>
      </c>
    </row>
    <row r="24" spans="1:7" ht="15">
      <c r="A24" s="252" t="s">
        <v>153</v>
      </c>
      <c r="B24" s="148">
        <v>107051</v>
      </c>
      <c r="C24" s="84" t="s">
        <v>253</v>
      </c>
      <c r="D24" s="143">
        <f t="shared" si="0"/>
        <v>930924</v>
      </c>
      <c r="E24" s="143">
        <v>930924</v>
      </c>
      <c r="F24" s="143"/>
      <c r="G24" s="144"/>
    </row>
    <row r="25" spans="1:7" ht="30.75" thickBot="1">
      <c r="A25" s="253" t="s">
        <v>159</v>
      </c>
      <c r="B25" s="148">
        <v>900020</v>
      </c>
      <c r="C25" s="82" t="s">
        <v>198</v>
      </c>
      <c r="D25" s="143">
        <f t="shared" si="0"/>
        <v>1490000</v>
      </c>
      <c r="E25" s="143">
        <v>1490000</v>
      </c>
      <c r="F25" s="143"/>
      <c r="G25" s="144"/>
    </row>
    <row r="26" spans="1:7" ht="30" customHeight="1" thickBot="1">
      <c r="A26" s="254" t="s">
        <v>161</v>
      </c>
      <c r="B26" s="149"/>
      <c r="C26" s="149" t="s">
        <v>2</v>
      </c>
      <c r="D26" s="147">
        <f>SUM(D16:D25)</f>
        <v>54011582</v>
      </c>
      <c r="E26" s="147">
        <f>SUM(E16:E25)</f>
        <v>53873582</v>
      </c>
      <c r="F26" s="147">
        <f>SUM(F16:F25)</f>
        <v>54000</v>
      </c>
      <c r="G26" s="147">
        <f>SUM(G16:G25)</f>
        <v>84000</v>
      </c>
    </row>
  </sheetData>
  <sheetProtection/>
  <mergeCells count="12">
    <mergeCell ref="A4:C4"/>
    <mergeCell ref="A2:G2"/>
    <mergeCell ref="C5:G5"/>
    <mergeCell ref="C7:G7"/>
    <mergeCell ref="C8:G8"/>
    <mergeCell ref="C9:G9"/>
    <mergeCell ref="A11:A14"/>
    <mergeCell ref="B11:B15"/>
    <mergeCell ref="C11:C15"/>
    <mergeCell ref="D11:D15"/>
    <mergeCell ref="E11:G11"/>
    <mergeCell ref="E13:G15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34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3.00390625" style="12" customWidth="1"/>
    <col min="5" max="6" width="10.375" style="12" customWidth="1"/>
    <col min="7" max="7" width="11.875" style="12" customWidth="1"/>
    <col min="8" max="8" width="10.375" style="12" customWidth="1"/>
    <col min="9" max="10" width="10.25390625" style="12" customWidth="1"/>
    <col min="11" max="11" width="13.00390625" style="12" customWidth="1"/>
    <col min="12" max="12" width="12.375" style="12" customWidth="1"/>
    <col min="13" max="13" width="11.1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1:21" ht="15" customHeight="1">
      <c r="A1" s="391" t="s">
        <v>394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</row>
    <row r="3" spans="1:21" ht="15.75">
      <c r="A3" s="376" t="s">
        <v>352</v>
      </c>
      <c r="B3" s="327"/>
      <c r="C3" s="327"/>
      <c r="D3" s="327"/>
      <c r="M3" s="389"/>
      <c r="N3" s="389"/>
      <c r="O3" s="389"/>
      <c r="P3" s="389"/>
      <c r="Q3" s="389"/>
      <c r="R3" s="389"/>
      <c r="S3" s="389"/>
      <c r="T3" s="389"/>
      <c r="U3" s="389"/>
    </row>
    <row r="4" spans="2:18" ht="15.75" customHeight="1"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</row>
    <row r="5" spans="2:21" s="79" customFormat="1" ht="15.75" customHeight="1"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</row>
    <row r="6" spans="2:18" s="79" customFormat="1" ht="15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2:21" s="79" customFormat="1" ht="15.75" customHeight="1">
      <c r="B7" s="385" t="s">
        <v>251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</row>
    <row r="8" spans="2:21" s="79" customFormat="1" ht="15.75" customHeight="1">
      <c r="B8" s="385" t="s">
        <v>103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</row>
    <row r="9" spans="2:21" s="79" customFormat="1" ht="15.75" customHeight="1">
      <c r="B9" s="385" t="s">
        <v>345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</row>
    <row r="10" spans="20:21" s="79" customFormat="1" ht="15.75" thickBot="1">
      <c r="T10" s="390" t="s">
        <v>329</v>
      </c>
      <c r="U10" s="390"/>
    </row>
    <row r="11" spans="1:21" s="80" customFormat="1" ht="20.25" customHeight="1" thickBot="1">
      <c r="A11" s="406" t="s">
        <v>324</v>
      </c>
      <c r="B11" s="421" t="s">
        <v>104</v>
      </c>
      <c r="C11" s="393" t="s">
        <v>105</v>
      </c>
      <c r="D11" s="382" t="s">
        <v>106</v>
      </c>
      <c r="E11" s="409" t="s">
        <v>107</v>
      </c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1"/>
      <c r="T11" s="417" t="s">
        <v>3</v>
      </c>
      <c r="U11" s="418"/>
    </row>
    <row r="12" spans="1:21" s="80" customFormat="1" ht="38.25" customHeight="1" thickBot="1">
      <c r="A12" s="407"/>
      <c r="B12" s="422"/>
      <c r="C12" s="394"/>
      <c r="D12" s="383"/>
      <c r="E12" s="399" t="s">
        <v>36</v>
      </c>
      <c r="F12" s="400"/>
      <c r="G12" s="400"/>
      <c r="H12" s="400"/>
      <c r="I12" s="400"/>
      <c r="J12" s="400"/>
      <c r="K12" s="401"/>
      <c r="L12" s="409" t="s">
        <v>37</v>
      </c>
      <c r="M12" s="410"/>
      <c r="N12" s="410"/>
      <c r="O12" s="411"/>
      <c r="P12" s="396" t="s">
        <v>108</v>
      </c>
      <c r="Q12" s="397"/>
      <c r="R12" s="397"/>
      <c r="S12" s="398"/>
      <c r="T12" s="412" t="s">
        <v>4</v>
      </c>
      <c r="U12" s="413"/>
    </row>
    <row r="13" spans="1:21" s="80" customFormat="1" ht="21" customHeight="1" thickBot="1">
      <c r="A13" s="407"/>
      <c r="B13" s="422"/>
      <c r="C13" s="394"/>
      <c r="D13" s="383"/>
      <c r="E13" s="382" t="s">
        <v>109</v>
      </c>
      <c r="F13" s="382" t="s">
        <v>110</v>
      </c>
      <c r="G13" s="382" t="s">
        <v>111</v>
      </c>
      <c r="H13" s="382" t="s">
        <v>112</v>
      </c>
      <c r="I13" s="382" t="s">
        <v>113</v>
      </c>
      <c r="J13" s="386" t="s">
        <v>269</v>
      </c>
      <c r="K13" s="403" t="s">
        <v>114</v>
      </c>
      <c r="L13" s="386" t="s">
        <v>115</v>
      </c>
      <c r="M13" s="386" t="s">
        <v>38</v>
      </c>
      <c r="N13" s="382" t="s">
        <v>199</v>
      </c>
      <c r="O13" s="414" t="s">
        <v>200</v>
      </c>
      <c r="P13" s="382" t="s">
        <v>271</v>
      </c>
      <c r="Q13" s="382" t="s">
        <v>116</v>
      </c>
      <c r="R13" s="382" t="s">
        <v>117</v>
      </c>
      <c r="S13" s="414" t="s">
        <v>201</v>
      </c>
      <c r="T13" s="127" t="s">
        <v>118</v>
      </c>
      <c r="U13" s="128" t="s">
        <v>119</v>
      </c>
    </row>
    <row r="14" spans="1:21" s="80" customFormat="1" ht="18.75" customHeight="1">
      <c r="A14" s="407"/>
      <c r="B14" s="422"/>
      <c r="C14" s="394"/>
      <c r="D14" s="383"/>
      <c r="E14" s="383"/>
      <c r="F14" s="383"/>
      <c r="G14" s="383"/>
      <c r="H14" s="383"/>
      <c r="I14" s="383"/>
      <c r="J14" s="424"/>
      <c r="K14" s="404"/>
      <c r="L14" s="387"/>
      <c r="M14" s="387"/>
      <c r="N14" s="383"/>
      <c r="O14" s="415"/>
      <c r="P14" s="383"/>
      <c r="Q14" s="383"/>
      <c r="R14" s="383"/>
      <c r="S14" s="415"/>
      <c r="T14" s="419" t="s">
        <v>120</v>
      </c>
      <c r="U14" s="420"/>
    </row>
    <row r="15" spans="1:21" s="80" customFormat="1" ht="20.25" customHeight="1" thickBot="1">
      <c r="A15" s="408"/>
      <c r="B15" s="423"/>
      <c r="C15" s="395"/>
      <c r="D15" s="384"/>
      <c r="E15" s="384"/>
      <c r="F15" s="384"/>
      <c r="G15" s="384"/>
      <c r="H15" s="384"/>
      <c r="I15" s="384"/>
      <c r="J15" s="425"/>
      <c r="K15" s="405"/>
      <c r="L15" s="388"/>
      <c r="M15" s="388"/>
      <c r="N15" s="384"/>
      <c r="O15" s="416"/>
      <c r="P15" s="384"/>
      <c r="Q15" s="384"/>
      <c r="R15" s="384"/>
      <c r="S15" s="416"/>
      <c r="T15" s="412"/>
      <c r="U15" s="413"/>
    </row>
    <row r="16" spans="1:21" s="79" customFormat="1" ht="30.75" thickBot="1">
      <c r="A16" s="255" t="s">
        <v>20</v>
      </c>
      <c r="B16" s="81" t="s">
        <v>121</v>
      </c>
      <c r="C16" s="82" t="s">
        <v>122</v>
      </c>
      <c r="D16" s="219">
        <f>K16+O16+S16</f>
        <v>17907066</v>
      </c>
      <c r="E16" s="220">
        <v>3890040</v>
      </c>
      <c r="F16" s="221">
        <v>897530</v>
      </c>
      <c r="G16" s="221">
        <v>3185236</v>
      </c>
      <c r="H16" s="221"/>
      <c r="I16" s="221">
        <f>259540+150000</f>
        <v>409540</v>
      </c>
      <c r="J16" s="221">
        <v>9513747</v>
      </c>
      <c r="K16" s="222">
        <f aca="true" t="shared" si="0" ref="K16:K22">SUM(E16:J16)</f>
        <v>17896093</v>
      </c>
      <c r="L16" s="223">
        <v>10973</v>
      </c>
      <c r="M16" s="223"/>
      <c r="N16" s="223"/>
      <c r="O16" s="224">
        <f>SUM(L16:N16)</f>
        <v>10973</v>
      </c>
      <c r="P16" s="225"/>
      <c r="Q16" s="226"/>
      <c r="R16" s="227"/>
      <c r="S16" s="227">
        <f>SUM(P16:R16)</f>
        <v>0</v>
      </c>
      <c r="T16" s="228"/>
      <c r="U16" s="229"/>
    </row>
    <row r="17" spans="1:21" s="79" customFormat="1" ht="15">
      <c r="A17" s="256" t="s">
        <v>14</v>
      </c>
      <c r="B17" s="83" t="s">
        <v>123</v>
      </c>
      <c r="C17" s="82" t="s">
        <v>16</v>
      </c>
      <c r="D17" s="219">
        <f>K17+O17+S17</f>
        <v>196534</v>
      </c>
      <c r="E17" s="220"/>
      <c r="F17" s="221"/>
      <c r="G17" s="221">
        <f>181534+15000</f>
        <v>196534</v>
      </c>
      <c r="H17" s="221"/>
      <c r="I17" s="221"/>
      <c r="J17" s="221"/>
      <c r="K17" s="222">
        <f t="shared" si="0"/>
        <v>196534</v>
      </c>
      <c r="L17" s="223"/>
      <c r="M17" s="223"/>
      <c r="N17" s="223"/>
      <c r="O17" s="224">
        <f>SUM(L17:N17)</f>
        <v>0</v>
      </c>
      <c r="P17" s="224"/>
      <c r="Q17" s="226"/>
      <c r="R17" s="227"/>
      <c r="S17" s="227">
        <f aca="true" t="shared" si="1" ref="S17:S33">SUM(P17:R17)</f>
        <v>0</v>
      </c>
      <c r="T17" s="230"/>
      <c r="U17" s="231"/>
    </row>
    <row r="18" spans="1:21" s="79" customFormat="1" ht="30">
      <c r="A18" s="256" t="s">
        <v>21</v>
      </c>
      <c r="B18" s="83" t="s">
        <v>124</v>
      </c>
      <c r="C18" s="82" t="s">
        <v>293</v>
      </c>
      <c r="D18" s="219">
        <f>K18+O18+S18</f>
        <v>11480</v>
      </c>
      <c r="E18" s="220"/>
      <c r="F18" s="221"/>
      <c r="G18" s="221">
        <v>11480</v>
      </c>
      <c r="H18" s="221"/>
      <c r="I18" s="221"/>
      <c r="J18" s="221"/>
      <c r="K18" s="222">
        <f t="shared" si="0"/>
        <v>11480</v>
      </c>
      <c r="L18" s="223"/>
      <c r="M18" s="223"/>
      <c r="N18" s="223"/>
      <c r="O18" s="224"/>
      <c r="P18" s="224"/>
      <c r="Q18" s="226"/>
      <c r="R18" s="227"/>
      <c r="S18" s="227"/>
      <c r="T18" s="230"/>
      <c r="U18" s="231"/>
    </row>
    <row r="19" spans="1:21" s="79" customFormat="1" ht="30">
      <c r="A19" s="256" t="s">
        <v>59</v>
      </c>
      <c r="B19" s="83" t="s">
        <v>196</v>
      </c>
      <c r="C19" s="82" t="s">
        <v>270</v>
      </c>
      <c r="D19" s="219">
        <f aca="true" t="shared" si="2" ref="D19:D33">K19+O19+S19</f>
        <v>795449</v>
      </c>
      <c r="E19" s="220"/>
      <c r="F19" s="221"/>
      <c r="G19" s="221"/>
      <c r="H19" s="221"/>
      <c r="I19" s="221"/>
      <c r="J19" s="221"/>
      <c r="K19" s="222">
        <f t="shared" si="0"/>
        <v>0</v>
      </c>
      <c r="L19" s="223"/>
      <c r="M19" s="223"/>
      <c r="N19" s="223"/>
      <c r="O19" s="224">
        <f>SUM(L19:N19)</f>
        <v>0</v>
      </c>
      <c r="P19" s="224">
        <v>795449</v>
      </c>
      <c r="Q19" s="226"/>
      <c r="R19" s="227"/>
      <c r="S19" s="227">
        <f t="shared" si="1"/>
        <v>795449</v>
      </c>
      <c r="T19" s="230"/>
      <c r="U19" s="231"/>
    </row>
    <row r="20" spans="1:21" s="79" customFormat="1" ht="15">
      <c r="A20" s="256" t="s">
        <v>60</v>
      </c>
      <c r="B20" s="83" t="s">
        <v>335</v>
      </c>
      <c r="C20" s="82" t="s">
        <v>336</v>
      </c>
      <c r="D20" s="219">
        <f t="shared" si="2"/>
        <v>960095</v>
      </c>
      <c r="E20" s="220">
        <f>326119+548682</f>
        <v>874801</v>
      </c>
      <c r="F20" s="221">
        <f>31797+53497</f>
        <v>85294</v>
      </c>
      <c r="G20" s="221"/>
      <c r="H20" s="221"/>
      <c r="I20" s="221"/>
      <c r="J20" s="221"/>
      <c r="K20" s="222">
        <f t="shared" si="0"/>
        <v>960095</v>
      </c>
      <c r="L20" s="223"/>
      <c r="M20" s="223"/>
      <c r="N20" s="223"/>
      <c r="O20" s="224"/>
      <c r="P20" s="224"/>
      <c r="Q20" s="226"/>
      <c r="R20" s="227"/>
      <c r="S20" s="227"/>
      <c r="T20" s="230"/>
      <c r="U20" s="231"/>
    </row>
    <row r="21" spans="1:21" s="79" customFormat="1" ht="30">
      <c r="A21" s="256" t="s">
        <v>65</v>
      </c>
      <c r="B21" s="83" t="s">
        <v>272</v>
      </c>
      <c r="C21" s="82" t="s">
        <v>273</v>
      </c>
      <c r="D21" s="219">
        <f t="shared" si="2"/>
        <v>415900</v>
      </c>
      <c r="E21" s="220"/>
      <c r="F21" s="221"/>
      <c r="G21" s="221">
        <f>215900+200000</f>
        <v>415900</v>
      </c>
      <c r="H21" s="221"/>
      <c r="I21" s="221"/>
      <c r="J21" s="221"/>
      <c r="K21" s="222">
        <f t="shared" si="0"/>
        <v>415900</v>
      </c>
      <c r="L21" s="223"/>
      <c r="M21" s="223"/>
      <c r="N21" s="223"/>
      <c r="O21" s="224">
        <f>SUM(L21:N21)</f>
        <v>0</v>
      </c>
      <c r="P21" s="224"/>
      <c r="Q21" s="226"/>
      <c r="R21" s="227"/>
      <c r="S21" s="227"/>
      <c r="T21" s="230"/>
      <c r="U21" s="231"/>
    </row>
    <row r="22" spans="1:21" s="79" customFormat="1" ht="18.75" customHeight="1">
      <c r="A22" s="256" t="s">
        <v>149</v>
      </c>
      <c r="B22" s="83" t="s">
        <v>292</v>
      </c>
      <c r="C22" s="82" t="s">
        <v>291</v>
      </c>
      <c r="D22" s="219">
        <f t="shared" si="2"/>
        <v>19206133</v>
      </c>
      <c r="E22" s="232"/>
      <c r="F22" s="233"/>
      <c r="G22" s="233">
        <v>3877369</v>
      </c>
      <c r="H22" s="233"/>
      <c r="I22" s="233"/>
      <c r="J22" s="233"/>
      <c r="K22" s="234">
        <f t="shared" si="0"/>
        <v>3877369</v>
      </c>
      <c r="L22" s="234">
        <v>15328764</v>
      </c>
      <c r="M22" s="234"/>
      <c r="N22" s="234"/>
      <c r="O22" s="224">
        <f>SUM(L22:N22)</f>
        <v>15328764</v>
      </c>
      <c r="P22" s="235"/>
      <c r="Q22" s="235"/>
      <c r="R22" s="236"/>
      <c r="S22" s="236"/>
      <c r="T22" s="237"/>
      <c r="U22" s="238"/>
    </row>
    <row r="23" spans="1:21" s="79" customFormat="1" ht="29.25" customHeight="1">
      <c r="A23" s="256" t="s">
        <v>151</v>
      </c>
      <c r="B23" s="83" t="s">
        <v>126</v>
      </c>
      <c r="C23" s="218" t="s">
        <v>127</v>
      </c>
      <c r="D23" s="219">
        <f>K23+O23+S23</f>
        <v>1476820</v>
      </c>
      <c r="E23" s="220"/>
      <c r="F23" s="221"/>
      <c r="G23" s="221">
        <v>1372870</v>
      </c>
      <c r="H23" s="223"/>
      <c r="I23" s="221"/>
      <c r="J23" s="221"/>
      <c r="K23" s="222">
        <f aca="true" t="shared" si="3" ref="K23:K33">SUM(E23:I23)</f>
        <v>1372870</v>
      </c>
      <c r="L23" s="223">
        <v>103950</v>
      </c>
      <c r="M23" s="223"/>
      <c r="N23" s="223"/>
      <c r="O23" s="224">
        <f aca="true" t="shared" si="4" ref="O23:O33">SUM(L23:N23)</f>
        <v>103950</v>
      </c>
      <c r="P23" s="224"/>
      <c r="Q23" s="226"/>
      <c r="R23" s="227"/>
      <c r="S23" s="227">
        <f t="shared" si="1"/>
        <v>0</v>
      </c>
      <c r="T23" s="239"/>
      <c r="U23" s="231"/>
    </row>
    <row r="24" spans="1:21" s="79" customFormat="1" ht="15">
      <c r="A24" s="256" t="s">
        <v>153</v>
      </c>
      <c r="B24" s="83" t="s">
        <v>128</v>
      </c>
      <c r="C24" s="82" t="s">
        <v>129</v>
      </c>
      <c r="D24" s="219">
        <f t="shared" si="2"/>
        <v>859779</v>
      </c>
      <c r="E24" s="220">
        <f>258000-15000</f>
        <v>243000</v>
      </c>
      <c r="F24" s="221">
        <v>45279</v>
      </c>
      <c r="G24" s="221">
        <v>571500</v>
      </c>
      <c r="H24" s="223"/>
      <c r="I24" s="221"/>
      <c r="J24" s="221"/>
      <c r="K24" s="222">
        <f t="shared" si="3"/>
        <v>859779</v>
      </c>
      <c r="L24" s="223"/>
      <c r="M24" s="223"/>
      <c r="N24" s="223"/>
      <c r="O24" s="224">
        <f t="shared" si="4"/>
        <v>0</v>
      </c>
      <c r="P24" s="224"/>
      <c r="Q24" s="226"/>
      <c r="R24" s="227"/>
      <c r="S24" s="227">
        <f t="shared" si="1"/>
        <v>0</v>
      </c>
      <c r="T24" s="239"/>
      <c r="U24" s="231"/>
    </row>
    <row r="25" spans="1:21" s="79" customFormat="1" ht="30">
      <c r="A25" s="256" t="s">
        <v>159</v>
      </c>
      <c r="B25" s="83" t="s">
        <v>130</v>
      </c>
      <c r="C25" s="82" t="s">
        <v>131</v>
      </c>
      <c r="D25" s="219">
        <f t="shared" si="2"/>
        <v>274259</v>
      </c>
      <c r="E25" s="220"/>
      <c r="F25" s="221"/>
      <c r="G25" s="221">
        <v>274259</v>
      </c>
      <c r="H25" s="223"/>
      <c r="I25" s="221"/>
      <c r="J25" s="221"/>
      <c r="K25" s="222">
        <f t="shared" si="3"/>
        <v>274259</v>
      </c>
      <c r="L25" s="223"/>
      <c r="M25" s="223"/>
      <c r="N25" s="223"/>
      <c r="O25" s="224">
        <f t="shared" si="4"/>
        <v>0</v>
      </c>
      <c r="P25" s="224"/>
      <c r="Q25" s="226"/>
      <c r="R25" s="227"/>
      <c r="S25" s="227">
        <f t="shared" si="1"/>
        <v>0</v>
      </c>
      <c r="T25" s="228"/>
      <c r="U25" s="231"/>
    </row>
    <row r="26" spans="1:21" s="79" customFormat="1" ht="15">
      <c r="A26" s="256" t="s">
        <v>161</v>
      </c>
      <c r="B26" s="83" t="s">
        <v>132</v>
      </c>
      <c r="C26" s="82" t="s">
        <v>15</v>
      </c>
      <c r="D26" s="219">
        <f t="shared" si="2"/>
        <v>93500</v>
      </c>
      <c r="E26" s="220"/>
      <c r="F26" s="221"/>
      <c r="G26" s="221">
        <v>93500</v>
      </c>
      <c r="H26" s="223"/>
      <c r="I26" s="221"/>
      <c r="J26" s="221"/>
      <c r="K26" s="222">
        <f t="shared" si="3"/>
        <v>93500</v>
      </c>
      <c r="L26" s="223"/>
      <c r="M26" s="223"/>
      <c r="N26" s="223"/>
      <c r="O26" s="224">
        <f t="shared" si="4"/>
        <v>0</v>
      </c>
      <c r="P26" s="224"/>
      <c r="Q26" s="226"/>
      <c r="R26" s="227"/>
      <c r="S26" s="227">
        <f t="shared" si="1"/>
        <v>0</v>
      </c>
      <c r="T26" s="239"/>
      <c r="U26" s="231"/>
    </row>
    <row r="27" spans="1:21" s="79" customFormat="1" ht="15">
      <c r="A27" s="256" t="s">
        <v>163</v>
      </c>
      <c r="B27" s="83" t="s">
        <v>133</v>
      </c>
      <c r="C27" s="82" t="s">
        <v>17</v>
      </c>
      <c r="D27" s="219">
        <f t="shared" si="2"/>
        <v>1609646</v>
      </c>
      <c r="E27" s="220">
        <v>193200</v>
      </c>
      <c r="F27" s="221">
        <v>33907</v>
      </c>
      <c r="G27" s="221">
        <v>1018092</v>
      </c>
      <c r="H27" s="221"/>
      <c r="I27" s="221"/>
      <c r="J27" s="221"/>
      <c r="K27" s="222">
        <f t="shared" si="3"/>
        <v>1245199</v>
      </c>
      <c r="L27" s="223">
        <f>381000-16553</f>
        <v>364447</v>
      </c>
      <c r="M27" s="223"/>
      <c r="N27" s="223"/>
      <c r="O27" s="224">
        <f t="shared" si="4"/>
        <v>364447</v>
      </c>
      <c r="P27" s="224"/>
      <c r="Q27" s="226"/>
      <c r="R27" s="227"/>
      <c r="S27" s="227">
        <f t="shared" si="1"/>
        <v>0</v>
      </c>
      <c r="T27" s="239"/>
      <c r="U27" s="231"/>
    </row>
    <row r="28" spans="1:21" s="79" customFormat="1" ht="30">
      <c r="A28" s="256" t="s">
        <v>168</v>
      </c>
      <c r="B28" s="83" t="s">
        <v>254</v>
      </c>
      <c r="C28" s="82" t="s">
        <v>255</v>
      </c>
      <c r="D28" s="219">
        <f t="shared" si="2"/>
        <v>1909509</v>
      </c>
      <c r="E28" s="220">
        <v>500000</v>
      </c>
      <c r="F28" s="221">
        <v>258509</v>
      </c>
      <c r="G28" s="221">
        <v>1151000</v>
      </c>
      <c r="H28" s="221"/>
      <c r="I28" s="221"/>
      <c r="J28" s="221"/>
      <c r="K28" s="222">
        <f t="shared" si="3"/>
        <v>1909509</v>
      </c>
      <c r="L28" s="223"/>
      <c r="M28" s="223"/>
      <c r="N28" s="223"/>
      <c r="O28" s="224">
        <f t="shared" si="4"/>
        <v>0</v>
      </c>
      <c r="P28" s="224"/>
      <c r="Q28" s="226"/>
      <c r="R28" s="227"/>
      <c r="S28" s="227">
        <f t="shared" si="1"/>
        <v>0</v>
      </c>
      <c r="T28" s="239"/>
      <c r="U28" s="231"/>
    </row>
    <row r="29" spans="1:21" s="79" customFormat="1" ht="15">
      <c r="A29" s="256" t="s">
        <v>170</v>
      </c>
      <c r="B29" s="83" t="s">
        <v>337</v>
      </c>
      <c r="C29" s="82" t="s">
        <v>338</v>
      </c>
      <c r="D29" s="219">
        <f t="shared" si="2"/>
        <v>50000</v>
      </c>
      <c r="E29" s="220"/>
      <c r="F29" s="221"/>
      <c r="G29" s="221"/>
      <c r="H29" s="221"/>
      <c r="I29" s="221">
        <v>50000</v>
      </c>
      <c r="J29" s="221"/>
      <c r="K29" s="222">
        <f t="shared" si="3"/>
        <v>50000</v>
      </c>
      <c r="L29" s="223"/>
      <c r="M29" s="223"/>
      <c r="N29" s="223"/>
      <c r="O29" s="224"/>
      <c r="P29" s="224"/>
      <c r="Q29" s="226"/>
      <c r="R29" s="227"/>
      <c r="S29" s="227"/>
      <c r="T29" s="239"/>
      <c r="U29" s="231"/>
    </row>
    <row r="30" spans="1:21" s="79" customFormat="1" ht="29.25" customHeight="1">
      <c r="A30" s="256" t="s">
        <v>172</v>
      </c>
      <c r="B30" s="83">
        <v>104051</v>
      </c>
      <c r="C30" s="278" t="s">
        <v>244</v>
      </c>
      <c r="D30" s="219">
        <f t="shared" si="2"/>
        <v>84000</v>
      </c>
      <c r="E30" s="220"/>
      <c r="F30" s="221"/>
      <c r="G30" s="221"/>
      <c r="H30" s="221">
        <v>84000</v>
      </c>
      <c r="I30" s="221"/>
      <c r="J30" s="221"/>
      <c r="K30" s="222">
        <f t="shared" si="3"/>
        <v>84000</v>
      </c>
      <c r="L30" s="223"/>
      <c r="M30" s="223"/>
      <c r="N30" s="223"/>
      <c r="O30" s="224">
        <f t="shared" si="4"/>
        <v>0</v>
      </c>
      <c r="P30" s="224"/>
      <c r="Q30" s="226"/>
      <c r="R30" s="227"/>
      <c r="S30" s="227">
        <f t="shared" si="1"/>
        <v>0</v>
      </c>
      <c r="T30" s="239"/>
      <c r="U30" s="231"/>
    </row>
    <row r="31" spans="1:21" s="79" customFormat="1" ht="15">
      <c r="A31" s="256" t="s">
        <v>180</v>
      </c>
      <c r="B31" s="83" t="s">
        <v>134</v>
      </c>
      <c r="C31" s="84" t="s">
        <v>256</v>
      </c>
      <c r="D31" s="219">
        <f t="shared" si="2"/>
        <v>1392413</v>
      </c>
      <c r="E31" s="220"/>
      <c r="F31" s="221"/>
      <c r="G31" s="221">
        <v>1392413</v>
      </c>
      <c r="H31" s="221"/>
      <c r="I31" s="221"/>
      <c r="J31" s="221"/>
      <c r="K31" s="222">
        <f t="shared" si="3"/>
        <v>1392413</v>
      </c>
      <c r="L31" s="223"/>
      <c r="M31" s="223"/>
      <c r="N31" s="223"/>
      <c r="O31" s="224">
        <f t="shared" si="4"/>
        <v>0</v>
      </c>
      <c r="P31" s="224"/>
      <c r="Q31" s="226"/>
      <c r="R31" s="227"/>
      <c r="S31" s="227">
        <f t="shared" si="1"/>
        <v>0</v>
      </c>
      <c r="T31" s="239"/>
      <c r="U31" s="231"/>
    </row>
    <row r="32" spans="1:21" s="79" customFormat="1" ht="15">
      <c r="A32" s="256" t="s">
        <v>183</v>
      </c>
      <c r="B32" s="83">
        <v>107055</v>
      </c>
      <c r="C32" s="85" t="s">
        <v>257</v>
      </c>
      <c r="D32" s="219">
        <f t="shared" si="2"/>
        <v>4829999</v>
      </c>
      <c r="E32" s="220">
        <f>3271699+52764</f>
        <v>3324463</v>
      </c>
      <c r="F32" s="221">
        <f>660287+10289</f>
        <v>670576</v>
      </c>
      <c r="G32" s="221">
        <v>829380</v>
      </c>
      <c r="H32" s="221"/>
      <c r="I32" s="221"/>
      <c r="J32" s="221"/>
      <c r="K32" s="222">
        <f t="shared" si="3"/>
        <v>4824419</v>
      </c>
      <c r="L32" s="223">
        <v>5580</v>
      </c>
      <c r="M32" s="223"/>
      <c r="N32" s="223"/>
      <c r="O32" s="224">
        <f t="shared" si="4"/>
        <v>5580</v>
      </c>
      <c r="P32" s="224"/>
      <c r="Q32" s="226"/>
      <c r="R32" s="227"/>
      <c r="S32" s="227">
        <f t="shared" si="1"/>
        <v>0</v>
      </c>
      <c r="T32" s="239">
        <v>1</v>
      </c>
      <c r="U32" s="231">
        <v>1</v>
      </c>
    </row>
    <row r="33" spans="1:21" s="79" customFormat="1" ht="30.75" thickBot="1">
      <c r="A33" s="257" t="s">
        <v>184</v>
      </c>
      <c r="B33" s="83">
        <v>107060</v>
      </c>
      <c r="C33" s="82" t="s">
        <v>135</v>
      </c>
      <c r="D33" s="219">
        <f t="shared" si="2"/>
        <v>1939000</v>
      </c>
      <c r="E33" s="220"/>
      <c r="F33" s="221"/>
      <c r="G33" s="221">
        <v>564000</v>
      </c>
      <c r="H33" s="221">
        <v>1375000</v>
      </c>
      <c r="I33" s="221"/>
      <c r="J33" s="221"/>
      <c r="K33" s="222">
        <f t="shared" si="3"/>
        <v>1939000</v>
      </c>
      <c r="L33" s="223"/>
      <c r="M33" s="223"/>
      <c r="N33" s="223"/>
      <c r="O33" s="224">
        <f t="shared" si="4"/>
        <v>0</v>
      </c>
      <c r="P33" s="224"/>
      <c r="Q33" s="226"/>
      <c r="R33" s="227"/>
      <c r="S33" s="227">
        <f t="shared" si="1"/>
        <v>0</v>
      </c>
      <c r="T33" s="239"/>
      <c r="U33" s="231"/>
    </row>
    <row r="34" spans="1:21" s="79" customFormat="1" ht="33.75" customHeight="1" thickBot="1">
      <c r="A34" s="258" t="s">
        <v>240</v>
      </c>
      <c r="B34" s="151"/>
      <c r="C34" s="152" t="s">
        <v>202</v>
      </c>
      <c r="D34" s="225">
        <f>SUM(D16:D33)</f>
        <v>54011582</v>
      </c>
      <c r="E34" s="225">
        <f aca="true" t="shared" si="5" ref="E34:P34">SUM(E16:E33)</f>
        <v>9025504</v>
      </c>
      <c r="F34" s="225">
        <f t="shared" si="5"/>
        <v>1991095</v>
      </c>
      <c r="G34" s="225">
        <f t="shared" si="5"/>
        <v>14953533</v>
      </c>
      <c r="H34" s="225">
        <f t="shared" si="5"/>
        <v>1459000</v>
      </c>
      <c r="I34" s="225">
        <f t="shared" si="5"/>
        <v>459540</v>
      </c>
      <c r="J34" s="225">
        <f t="shared" si="5"/>
        <v>9513747</v>
      </c>
      <c r="K34" s="225">
        <f t="shared" si="5"/>
        <v>37402419</v>
      </c>
      <c r="L34" s="225">
        <f t="shared" si="5"/>
        <v>15813714</v>
      </c>
      <c r="M34" s="225">
        <f t="shared" si="5"/>
        <v>0</v>
      </c>
      <c r="N34" s="225">
        <f t="shared" si="5"/>
        <v>0</v>
      </c>
      <c r="O34" s="225">
        <f t="shared" si="5"/>
        <v>15813714</v>
      </c>
      <c r="P34" s="225">
        <f t="shared" si="5"/>
        <v>795449</v>
      </c>
      <c r="Q34" s="225"/>
      <c r="R34" s="225"/>
      <c r="S34" s="225">
        <f>SUM(S16:S33)</f>
        <v>795449</v>
      </c>
      <c r="T34" s="225">
        <f>SUM(T16:T33)</f>
        <v>1</v>
      </c>
      <c r="U34" s="240">
        <f>SUM(U16:U33)</f>
        <v>1</v>
      </c>
    </row>
  </sheetData>
  <sheetProtection/>
  <mergeCells count="35">
    <mergeCell ref="B11:B15"/>
    <mergeCell ref="B5:U5"/>
    <mergeCell ref="I13:I15"/>
    <mergeCell ref="F13:F15"/>
    <mergeCell ref="P13:P15"/>
    <mergeCell ref="J13:J15"/>
    <mergeCell ref="T12:U12"/>
    <mergeCell ref="D11:D15"/>
    <mergeCell ref="S13:S15"/>
    <mergeCell ref="T11:U11"/>
    <mergeCell ref="T14:U15"/>
    <mergeCell ref="G13:G15"/>
    <mergeCell ref="L12:O12"/>
    <mergeCell ref="O13:O15"/>
    <mergeCell ref="Q13:Q15"/>
    <mergeCell ref="A1:U1"/>
    <mergeCell ref="A3:D3"/>
    <mergeCell ref="C11:C15"/>
    <mergeCell ref="P12:S12"/>
    <mergeCell ref="E12:K12"/>
    <mergeCell ref="B4:R4"/>
    <mergeCell ref="B7:U7"/>
    <mergeCell ref="K13:K15"/>
    <mergeCell ref="A11:A15"/>
    <mergeCell ref="E11:S11"/>
    <mergeCell ref="E13:E15"/>
    <mergeCell ref="R13:R15"/>
    <mergeCell ref="B9:U9"/>
    <mergeCell ref="L13:L15"/>
    <mergeCell ref="H13:H15"/>
    <mergeCell ref="M3:U3"/>
    <mergeCell ref="T10:U10"/>
    <mergeCell ref="B8:U8"/>
    <mergeCell ref="M13:M15"/>
    <mergeCell ref="N13:N1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G3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2" width="9.125" style="140" customWidth="1"/>
    <col min="3" max="3" width="63.125" style="140" customWidth="1"/>
    <col min="4" max="7" width="26.25390625" style="140" customWidth="1"/>
    <col min="8" max="16384" width="9.125" style="140" customWidth="1"/>
  </cols>
  <sheetData>
    <row r="2" spans="1:7" ht="12.75">
      <c r="A2" s="427" t="s">
        <v>395</v>
      </c>
      <c r="B2" s="322"/>
      <c r="C2" s="322"/>
      <c r="D2" s="322"/>
      <c r="E2" s="322"/>
      <c r="F2" s="322"/>
      <c r="G2" s="322"/>
    </row>
    <row r="4" spans="1:7" s="129" customFormat="1" ht="15.75">
      <c r="A4" s="376" t="s">
        <v>353</v>
      </c>
      <c r="B4" s="327"/>
      <c r="C4" s="327"/>
      <c r="D4" s="130"/>
      <c r="E4" s="131"/>
      <c r="F4" s="131"/>
      <c r="G4" s="131"/>
    </row>
    <row r="5" spans="3:7" s="39" customFormat="1" ht="15" customHeight="1">
      <c r="C5" s="379"/>
      <c r="D5" s="379"/>
      <c r="E5" s="379"/>
      <c r="F5" s="379"/>
      <c r="G5" s="379"/>
    </row>
    <row r="6" spans="4:7" s="132" customFormat="1" ht="15" customHeight="1">
      <c r="D6" s="133"/>
      <c r="E6" s="134"/>
      <c r="F6" s="134"/>
      <c r="G6" s="134"/>
    </row>
    <row r="7" spans="3:7" s="86" customFormat="1" ht="15" customHeight="1">
      <c r="C7" s="380" t="s">
        <v>251</v>
      </c>
      <c r="D7" s="380"/>
      <c r="E7" s="380"/>
      <c r="F7" s="380"/>
      <c r="G7" s="380"/>
    </row>
    <row r="8" spans="3:7" s="86" customFormat="1" ht="15.75">
      <c r="C8" s="381" t="s">
        <v>203</v>
      </c>
      <c r="D8" s="381"/>
      <c r="E8" s="381"/>
      <c r="F8" s="381"/>
      <c r="G8" s="381"/>
    </row>
    <row r="9" spans="3:7" s="86" customFormat="1" ht="15" customHeight="1">
      <c r="C9" s="380" t="s">
        <v>347</v>
      </c>
      <c r="D9" s="380"/>
      <c r="E9" s="380"/>
      <c r="F9" s="380"/>
      <c r="G9" s="380"/>
    </row>
    <row r="10" spans="3:7" s="129" customFormat="1" ht="12" customHeight="1" thickBot="1">
      <c r="C10" s="130"/>
      <c r="D10" s="135"/>
      <c r="E10" s="136"/>
      <c r="F10" s="136"/>
      <c r="G10" s="302" t="s">
        <v>286</v>
      </c>
    </row>
    <row r="11" spans="1:7" s="129" customFormat="1" ht="16.5" customHeight="1" thickBot="1">
      <c r="A11" s="354" t="s">
        <v>324</v>
      </c>
      <c r="B11" s="356" t="s">
        <v>104</v>
      </c>
      <c r="C11" s="359" t="s">
        <v>105</v>
      </c>
      <c r="D11" s="362" t="s">
        <v>204</v>
      </c>
      <c r="E11" s="365" t="s">
        <v>191</v>
      </c>
      <c r="F11" s="365"/>
      <c r="G11" s="366"/>
    </row>
    <row r="12" spans="1:7" s="129" customFormat="1" ht="33" customHeight="1" thickBot="1">
      <c r="A12" s="355"/>
      <c r="B12" s="357"/>
      <c r="C12" s="360"/>
      <c r="D12" s="363"/>
      <c r="E12" s="137" t="s">
        <v>192</v>
      </c>
      <c r="F12" s="138" t="s">
        <v>193</v>
      </c>
      <c r="G12" s="139" t="s">
        <v>194</v>
      </c>
    </row>
    <row r="13" spans="1:7" s="129" customFormat="1" ht="22.5" customHeight="1">
      <c r="A13" s="355"/>
      <c r="B13" s="357"/>
      <c r="C13" s="360"/>
      <c r="D13" s="363"/>
      <c r="E13" s="367" t="s">
        <v>195</v>
      </c>
      <c r="F13" s="368"/>
      <c r="G13" s="369"/>
    </row>
    <row r="14" spans="1:7" ht="12.75">
      <c r="A14" s="355"/>
      <c r="B14" s="357"/>
      <c r="C14" s="360"/>
      <c r="D14" s="363"/>
      <c r="E14" s="370"/>
      <c r="F14" s="371"/>
      <c r="G14" s="372"/>
    </row>
    <row r="15" spans="1:7" ht="3" customHeight="1" thickBot="1">
      <c r="A15" s="426"/>
      <c r="B15" s="358"/>
      <c r="C15" s="361"/>
      <c r="D15" s="364"/>
      <c r="E15" s="373"/>
      <c r="F15" s="374"/>
      <c r="G15" s="375"/>
    </row>
    <row r="16" spans="1:7" ht="30">
      <c r="A16" s="251" t="s">
        <v>20</v>
      </c>
      <c r="B16" s="81" t="s">
        <v>121</v>
      </c>
      <c r="C16" s="82" t="s">
        <v>122</v>
      </c>
      <c r="D16" s="141">
        <f>SUM(E16:G16)</f>
        <v>17907066</v>
      </c>
      <c r="E16" s="141">
        <v>17329083</v>
      </c>
      <c r="F16" s="141">
        <v>577983</v>
      </c>
      <c r="G16" s="141"/>
    </row>
    <row r="17" spans="1:7" ht="15">
      <c r="A17" s="252" t="s">
        <v>14</v>
      </c>
      <c r="B17" s="83" t="s">
        <v>123</v>
      </c>
      <c r="C17" s="82" t="s">
        <v>16</v>
      </c>
      <c r="D17" s="143">
        <f aca="true" t="shared" si="0" ref="D17:D33">SUM(E17:G17)</f>
        <v>196534</v>
      </c>
      <c r="E17" s="143">
        <v>196534</v>
      </c>
      <c r="F17" s="143"/>
      <c r="G17" s="143"/>
    </row>
    <row r="18" spans="1:7" ht="15">
      <c r="A18" s="252" t="s">
        <v>21</v>
      </c>
      <c r="B18" s="83" t="s">
        <v>124</v>
      </c>
      <c r="C18" s="82" t="s">
        <v>293</v>
      </c>
      <c r="D18" s="143">
        <f t="shared" si="0"/>
        <v>11480</v>
      </c>
      <c r="E18" s="143">
        <v>11480</v>
      </c>
      <c r="F18" s="143"/>
      <c r="G18" s="143"/>
    </row>
    <row r="19" spans="1:7" ht="15">
      <c r="A19" s="252" t="s">
        <v>59</v>
      </c>
      <c r="B19" s="83" t="s">
        <v>196</v>
      </c>
      <c r="C19" s="82" t="s">
        <v>278</v>
      </c>
      <c r="D19" s="143">
        <f>SUM(E19:G19)</f>
        <v>795449</v>
      </c>
      <c r="E19" s="143">
        <v>795449</v>
      </c>
      <c r="F19" s="143"/>
      <c r="G19" s="143"/>
    </row>
    <row r="20" spans="1:7" ht="15">
      <c r="A20" s="252" t="s">
        <v>60</v>
      </c>
      <c r="B20" s="83" t="s">
        <v>335</v>
      </c>
      <c r="C20" s="82" t="s">
        <v>336</v>
      </c>
      <c r="D20" s="143">
        <f>SUM(E20:G20)</f>
        <v>960095</v>
      </c>
      <c r="E20" s="143">
        <v>960095</v>
      </c>
      <c r="F20" s="143"/>
      <c r="G20" s="143"/>
    </row>
    <row r="21" spans="1:7" ht="15">
      <c r="A21" s="252" t="s">
        <v>65</v>
      </c>
      <c r="B21" s="83" t="s">
        <v>272</v>
      </c>
      <c r="C21" s="82" t="s">
        <v>279</v>
      </c>
      <c r="D21" s="143">
        <f>SUM(E21:G21)</f>
        <v>415900</v>
      </c>
      <c r="E21" s="143">
        <v>415900</v>
      </c>
      <c r="F21" s="143"/>
      <c r="G21" s="143"/>
    </row>
    <row r="22" spans="1:7" ht="15">
      <c r="A22" s="252" t="s">
        <v>149</v>
      </c>
      <c r="B22" s="83" t="s">
        <v>292</v>
      </c>
      <c r="C22" s="82" t="s">
        <v>291</v>
      </c>
      <c r="D22" s="143">
        <f>SUM(E22:G22)</f>
        <v>19206133</v>
      </c>
      <c r="E22" s="143">
        <v>19206133</v>
      </c>
      <c r="F22" s="143"/>
      <c r="G22" s="143"/>
    </row>
    <row r="23" spans="1:7" ht="15">
      <c r="A23" s="252" t="s">
        <v>151</v>
      </c>
      <c r="B23" s="83" t="s">
        <v>126</v>
      </c>
      <c r="C23" s="82" t="s">
        <v>127</v>
      </c>
      <c r="D23" s="143">
        <f t="shared" si="0"/>
        <v>1476820</v>
      </c>
      <c r="E23" s="143">
        <f>1372870+103950</f>
        <v>1476820</v>
      </c>
      <c r="F23" s="143"/>
      <c r="G23" s="143"/>
    </row>
    <row r="24" spans="1:7" ht="15">
      <c r="A24" s="252" t="s">
        <v>153</v>
      </c>
      <c r="B24" s="83" t="s">
        <v>128</v>
      </c>
      <c r="C24" s="82" t="s">
        <v>129</v>
      </c>
      <c r="D24" s="143">
        <f t="shared" si="0"/>
        <v>859779</v>
      </c>
      <c r="E24" s="143">
        <v>859779</v>
      </c>
      <c r="F24" s="143"/>
      <c r="G24" s="143"/>
    </row>
    <row r="25" spans="1:7" ht="15">
      <c r="A25" s="252" t="s">
        <v>159</v>
      </c>
      <c r="B25" s="83" t="s">
        <v>130</v>
      </c>
      <c r="C25" s="82" t="s">
        <v>131</v>
      </c>
      <c r="D25" s="143">
        <f t="shared" si="0"/>
        <v>274259</v>
      </c>
      <c r="E25" s="143">
        <v>274259</v>
      </c>
      <c r="F25" s="143"/>
      <c r="G25" s="143"/>
    </row>
    <row r="26" spans="1:7" ht="15">
      <c r="A26" s="252" t="s">
        <v>161</v>
      </c>
      <c r="B26" s="83" t="s">
        <v>132</v>
      </c>
      <c r="C26" s="82" t="s">
        <v>15</v>
      </c>
      <c r="D26" s="143">
        <f t="shared" si="0"/>
        <v>93500</v>
      </c>
      <c r="E26" s="143">
        <v>93500</v>
      </c>
      <c r="F26" s="143"/>
      <c r="G26" s="143"/>
    </row>
    <row r="27" spans="1:7" ht="15">
      <c r="A27" s="252" t="s">
        <v>163</v>
      </c>
      <c r="B27" s="83" t="s">
        <v>133</v>
      </c>
      <c r="C27" s="82" t="s">
        <v>17</v>
      </c>
      <c r="D27" s="143">
        <f t="shared" si="0"/>
        <v>1609646</v>
      </c>
      <c r="E27" s="143">
        <v>1609646</v>
      </c>
      <c r="F27" s="143"/>
      <c r="G27" s="143"/>
    </row>
    <row r="28" spans="1:7" ht="15">
      <c r="A28" s="252" t="s">
        <v>168</v>
      </c>
      <c r="B28" s="83" t="s">
        <v>254</v>
      </c>
      <c r="C28" s="82" t="s">
        <v>255</v>
      </c>
      <c r="D28" s="143">
        <f t="shared" si="0"/>
        <v>1909509</v>
      </c>
      <c r="E28" s="143">
        <v>1151000</v>
      </c>
      <c r="F28" s="143">
        <v>758509</v>
      </c>
      <c r="G28" s="143"/>
    </row>
    <row r="29" spans="1:7" ht="15">
      <c r="A29" s="252" t="s">
        <v>170</v>
      </c>
      <c r="B29" s="83" t="s">
        <v>337</v>
      </c>
      <c r="C29" s="82" t="s">
        <v>338</v>
      </c>
      <c r="D29" s="143">
        <f t="shared" si="0"/>
        <v>50000</v>
      </c>
      <c r="E29" s="143">
        <v>50000</v>
      </c>
      <c r="F29" s="143"/>
      <c r="G29" s="143"/>
    </row>
    <row r="30" spans="1:7" ht="15">
      <c r="A30" s="252" t="s">
        <v>172</v>
      </c>
      <c r="B30" s="83">
        <v>104051</v>
      </c>
      <c r="C30" s="85" t="s">
        <v>244</v>
      </c>
      <c r="D30" s="143">
        <f t="shared" si="0"/>
        <v>84000</v>
      </c>
      <c r="E30" s="143"/>
      <c r="F30" s="143"/>
      <c r="G30" s="143">
        <v>84000</v>
      </c>
    </row>
    <row r="31" spans="1:7" ht="15">
      <c r="A31" s="252" t="s">
        <v>180</v>
      </c>
      <c r="B31" s="83" t="s">
        <v>134</v>
      </c>
      <c r="C31" s="84" t="s">
        <v>253</v>
      </c>
      <c r="D31" s="143">
        <f t="shared" si="0"/>
        <v>1392413</v>
      </c>
      <c r="E31" s="143">
        <v>1392413</v>
      </c>
      <c r="F31" s="143"/>
      <c r="G31" s="143"/>
    </row>
    <row r="32" spans="1:7" ht="15">
      <c r="A32" s="252" t="s">
        <v>183</v>
      </c>
      <c r="B32" s="83">
        <v>107055</v>
      </c>
      <c r="C32" s="85" t="s">
        <v>257</v>
      </c>
      <c r="D32" s="143">
        <f t="shared" si="0"/>
        <v>4829999</v>
      </c>
      <c r="E32" s="143">
        <v>4629999</v>
      </c>
      <c r="F32" s="143">
        <v>200000</v>
      </c>
      <c r="G32" s="143"/>
    </row>
    <row r="33" spans="1:7" ht="15.75" thickBot="1">
      <c r="A33" s="253" t="s">
        <v>184</v>
      </c>
      <c r="B33" s="83">
        <v>107060</v>
      </c>
      <c r="C33" s="84" t="s">
        <v>135</v>
      </c>
      <c r="D33" s="143">
        <f t="shared" si="0"/>
        <v>1939000</v>
      </c>
      <c r="E33" s="143">
        <v>1939000</v>
      </c>
      <c r="F33" s="143"/>
      <c r="G33" s="143"/>
    </row>
    <row r="34" spans="1:7" ht="33" customHeight="1" thickBot="1">
      <c r="A34" s="254" t="s">
        <v>240</v>
      </c>
      <c r="B34" s="145"/>
      <c r="C34" s="146" t="s">
        <v>2</v>
      </c>
      <c r="D34" s="147">
        <f>SUM(D16:D33)</f>
        <v>54011582</v>
      </c>
      <c r="E34" s="147">
        <f>SUM(E16:E33)</f>
        <v>52391090</v>
      </c>
      <c r="F34" s="147">
        <f>SUM(F16:F33)</f>
        <v>1536492</v>
      </c>
      <c r="G34" s="147">
        <f>SUM(G16:G33)</f>
        <v>84000</v>
      </c>
    </row>
  </sheetData>
  <sheetProtection/>
  <mergeCells count="12">
    <mergeCell ref="A2:G2"/>
    <mergeCell ref="A4:C4"/>
    <mergeCell ref="C5:G5"/>
    <mergeCell ref="C7:G7"/>
    <mergeCell ref="C8:G8"/>
    <mergeCell ref="C9:G9"/>
    <mergeCell ref="A11:A15"/>
    <mergeCell ref="B11:B15"/>
    <mergeCell ref="C11:C15"/>
    <mergeCell ref="D11:D15"/>
    <mergeCell ref="E11:G11"/>
    <mergeCell ref="E13:G1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J30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4.00390625" style="0" customWidth="1"/>
    <col min="5" max="5" width="46.00390625" style="0" customWidth="1"/>
    <col min="6" max="6" width="14.25390625" style="0" customWidth="1"/>
  </cols>
  <sheetData>
    <row r="2" spans="1:7" ht="12.75">
      <c r="A2" s="428" t="s">
        <v>396</v>
      </c>
      <c r="B2" s="428"/>
      <c r="C2" s="428"/>
      <c r="D2" s="428"/>
      <c r="E2" s="428"/>
      <c r="F2" s="428"/>
      <c r="G2" s="284"/>
    </row>
    <row r="4" ht="12.75">
      <c r="A4" t="s">
        <v>369</v>
      </c>
    </row>
    <row r="6" spans="1:10" ht="25.5" customHeight="1">
      <c r="A6" s="434"/>
      <c r="B6" s="435"/>
      <c r="C6" s="435"/>
      <c r="D6" s="435"/>
      <c r="E6" s="435"/>
      <c r="F6" s="435"/>
      <c r="G6" s="303"/>
      <c r="H6" s="303"/>
      <c r="I6" s="303"/>
      <c r="J6" s="303"/>
    </row>
    <row r="8" spans="1:10" ht="18" customHeight="1">
      <c r="A8" s="432" t="s">
        <v>251</v>
      </c>
      <c r="B8" s="433"/>
      <c r="C8" s="433"/>
      <c r="D8" s="433"/>
      <c r="E8" s="433"/>
      <c r="F8" s="433"/>
      <c r="G8" s="303"/>
      <c r="H8" s="303"/>
      <c r="I8" s="303"/>
      <c r="J8" s="303"/>
    </row>
    <row r="9" spans="1:10" ht="18" customHeight="1">
      <c r="A9" s="432" t="s">
        <v>355</v>
      </c>
      <c r="B9" s="433"/>
      <c r="C9" s="433"/>
      <c r="D9" s="433"/>
      <c r="E9" s="433"/>
      <c r="F9" s="433"/>
      <c r="G9" s="303"/>
      <c r="H9" s="303"/>
      <c r="I9" s="303"/>
      <c r="J9" s="303"/>
    </row>
    <row r="10" spans="1:10" ht="20.25" customHeight="1">
      <c r="A10" s="432" t="s">
        <v>356</v>
      </c>
      <c r="B10" s="433"/>
      <c r="C10" s="433"/>
      <c r="D10" s="433"/>
      <c r="E10" s="433"/>
      <c r="F10" s="433"/>
      <c r="G10" s="303"/>
      <c r="H10" s="303"/>
      <c r="I10" s="303"/>
      <c r="J10" s="303"/>
    </row>
    <row r="11" spans="1:10" ht="18.75" customHeight="1" thickBot="1">
      <c r="A11" s="429" t="s">
        <v>280</v>
      </c>
      <c r="B11" s="429"/>
      <c r="C11" s="429"/>
      <c r="D11" s="429"/>
      <c r="E11" s="429"/>
      <c r="F11" s="429"/>
      <c r="G11" s="284"/>
      <c r="H11" s="284"/>
      <c r="I11" s="284"/>
      <c r="J11" s="284"/>
    </row>
    <row r="12" spans="1:6" ht="34.5" customHeight="1" thickBot="1">
      <c r="A12" s="431" t="s">
        <v>0</v>
      </c>
      <c r="B12" s="431"/>
      <c r="C12" s="431"/>
      <c r="D12" s="431"/>
      <c r="E12" s="431"/>
      <c r="F12" s="304" t="s">
        <v>357</v>
      </c>
    </row>
    <row r="15" spans="1:3" ht="12.75">
      <c r="A15" s="305" t="s">
        <v>358</v>
      </c>
      <c r="B15" s="305"/>
      <c r="C15" s="305"/>
    </row>
    <row r="17" spans="1:5" ht="12.75">
      <c r="A17" s="305"/>
      <c r="B17" s="305" t="s">
        <v>359</v>
      </c>
      <c r="C17" s="305"/>
      <c r="D17" s="305"/>
      <c r="E17" s="305"/>
    </row>
    <row r="19" spans="1:6" ht="17.25" customHeight="1">
      <c r="A19" t="s">
        <v>20</v>
      </c>
      <c r="B19" t="s">
        <v>360</v>
      </c>
      <c r="F19" s="210">
        <v>85620</v>
      </c>
    </row>
    <row r="20" spans="1:6" ht="18" customHeight="1">
      <c r="A20" t="s">
        <v>14</v>
      </c>
      <c r="B20" t="s">
        <v>361</v>
      </c>
      <c r="F20" s="210">
        <v>7745</v>
      </c>
    </row>
    <row r="21" spans="1:6" ht="18" customHeight="1">
      <c r="A21" t="s">
        <v>21</v>
      </c>
      <c r="B21" t="s">
        <v>362</v>
      </c>
      <c r="F21" s="210">
        <v>39100</v>
      </c>
    </row>
    <row r="22" spans="1:6" ht="18" customHeight="1">
      <c r="A22" t="s">
        <v>59</v>
      </c>
      <c r="B22" t="s">
        <v>363</v>
      </c>
      <c r="F22" s="210">
        <v>9775</v>
      </c>
    </row>
    <row r="23" spans="1:6" ht="18" customHeight="1">
      <c r="A23" t="s">
        <v>60</v>
      </c>
      <c r="B23" t="s">
        <v>364</v>
      </c>
      <c r="F23" s="210">
        <v>117300</v>
      </c>
    </row>
    <row r="24" spans="1:6" ht="18" customHeight="1">
      <c r="A24" t="s">
        <v>65</v>
      </c>
      <c r="B24" t="s">
        <v>365</v>
      </c>
      <c r="F24" s="210">
        <v>50000</v>
      </c>
    </row>
    <row r="25" spans="1:6" ht="18" customHeight="1">
      <c r="A25" t="s">
        <v>149</v>
      </c>
      <c r="B25" t="s">
        <v>370</v>
      </c>
      <c r="F25" s="210">
        <v>150000</v>
      </c>
    </row>
    <row r="26" spans="2:6" ht="36" customHeight="1">
      <c r="B26" s="430" t="s">
        <v>366</v>
      </c>
      <c r="C26" s="430"/>
      <c r="D26" s="430"/>
      <c r="E26" s="430"/>
      <c r="F26" s="306">
        <f>SUM(F19:F25)</f>
        <v>459540</v>
      </c>
    </row>
    <row r="28" spans="1:6" ht="18.75" customHeight="1">
      <c r="A28" s="305" t="s">
        <v>367</v>
      </c>
      <c r="B28" s="305"/>
      <c r="C28" s="305"/>
      <c r="D28" s="305"/>
      <c r="E28" s="305"/>
      <c r="F28" s="306">
        <f>F26</f>
        <v>459540</v>
      </c>
    </row>
    <row r="30" spans="1:6" ht="19.5" customHeight="1">
      <c r="A30" s="305" t="s">
        <v>368</v>
      </c>
      <c r="B30" s="305"/>
      <c r="C30" s="305"/>
      <c r="D30" s="305"/>
      <c r="E30" s="305"/>
      <c r="F30" s="306">
        <f>F28</f>
        <v>459540</v>
      </c>
    </row>
  </sheetData>
  <sheetProtection/>
  <mergeCells count="8">
    <mergeCell ref="A2:F2"/>
    <mergeCell ref="A11:F11"/>
    <mergeCell ref="B26:E26"/>
    <mergeCell ref="A12:E12"/>
    <mergeCell ref="A9:F9"/>
    <mergeCell ref="A8:F8"/>
    <mergeCell ref="A10:F10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43"/>
  <sheetViews>
    <sheetView zoomScalePageLayoutView="0" workbookViewId="0" topLeftCell="A1">
      <selection activeCell="P18" sqref="P18"/>
    </sheetView>
  </sheetViews>
  <sheetFormatPr defaultColWidth="9.00390625" defaultRowHeight="12.75"/>
  <cols>
    <col min="1" max="1" width="10.125" style="0" bestFit="1" customWidth="1"/>
    <col min="2" max="2" width="73.875" style="0" customWidth="1"/>
    <col min="3" max="3" width="13.625" style="0" customWidth="1"/>
    <col min="4" max="11" width="9.125" style="0" hidden="1" customWidth="1"/>
  </cols>
  <sheetData>
    <row r="2" spans="1:11" ht="12.75">
      <c r="A2" s="427" t="s">
        <v>397</v>
      </c>
      <c r="B2" s="427"/>
      <c r="C2" s="285"/>
      <c r="D2" s="140"/>
      <c r="E2" s="140"/>
      <c r="F2" s="140"/>
      <c r="G2" s="140"/>
      <c r="H2" s="140"/>
      <c r="I2" s="140"/>
      <c r="J2" s="140"/>
      <c r="K2" s="140"/>
    </row>
    <row r="3" spans="1:11" ht="12.7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2.75">
      <c r="A4" s="437" t="s">
        <v>378</v>
      </c>
      <c r="B4" s="437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12.7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</row>
    <row r="7" spans="1:11" ht="14.25">
      <c r="A7" s="436"/>
      <c r="B7" s="436"/>
      <c r="C7" s="436"/>
      <c r="D7" s="140"/>
      <c r="E7" s="140"/>
      <c r="F7" s="140"/>
      <c r="G7" s="140"/>
      <c r="H7" s="140"/>
      <c r="I7" s="140"/>
      <c r="J7" s="140"/>
      <c r="K7" s="140"/>
    </row>
    <row r="8" spans="1:11" ht="15">
      <c r="A8" s="140"/>
      <c r="B8" s="286"/>
      <c r="C8" s="286"/>
      <c r="D8" s="286"/>
      <c r="E8" s="286"/>
      <c r="F8" s="286"/>
      <c r="G8" s="286"/>
      <c r="H8" s="286"/>
      <c r="I8" s="286"/>
      <c r="J8" s="286"/>
      <c r="K8" s="286"/>
    </row>
    <row r="9" spans="1:11" ht="14.25">
      <c r="A9" s="140"/>
      <c r="B9" s="436" t="s">
        <v>251</v>
      </c>
      <c r="C9" s="436"/>
      <c r="D9" s="436"/>
      <c r="E9" s="436"/>
      <c r="F9" s="436"/>
      <c r="G9" s="436"/>
      <c r="H9" s="436"/>
      <c r="I9" s="436"/>
      <c r="J9" s="436"/>
      <c r="K9" s="436"/>
    </row>
    <row r="10" spans="1:11" ht="14.25">
      <c r="A10" s="140"/>
      <c r="B10" s="436" t="s">
        <v>354</v>
      </c>
      <c r="C10" s="436"/>
      <c r="D10" s="436"/>
      <c r="E10" s="436"/>
      <c r="F10" s="436"/>
      <c r="G10" s="436"/>
      <c r="H10" s="436"/>
      <c r="I10" s="436"/>
      <c r="J10" s="436"/>
      <c r="K10" s="436"/>
    </row>
    <row r="11" spans="1:11" ht="14.25">
      <c r="A11" s="140"/>
      <c r="B11" s="436" t="s">
        <v>347</v>
      </c>
      <c r="C11" s="436"/>
      <c r="D11" s="436"/>
      <c r="E11" s="436"/>
      <c r="F11" s="436"/>
      <c r="G11" s="436"/>
      <c r="H11" s="436"/>
      <c r="I11" s="436"/>
      <c r="J11" s="436"/>
      <c r="K11" s="436"/>
    </row>
    <row r="12" spans="1:11" ht="12.75">
      <c r="A12" s="140"/>
      <c r="B12" s="287"/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1" ht="13.5" thickBo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1" ht="39.75" thickBot="1" thickTop="1">
      <c r="A14" s="288" t="s">
        <v>324</v>
      </c>
      <c r="B14" s="289" t="s">
        <v>0</v>
      </c>
      <c r="C14" s="290" t="s">
        <v>342</v>
      </c>
      <c r="D14" s="140"/>
      <c r="E14" s="140"/>
      <c r="F14" s="140"/>
      <c r="G14" s="140"/>
      <c r="H14" s="140"/>
      <c r="I14" s="140"/>
      <c r="J14" s="140"/>
      <c r="K14" s="140"/>
    </row>
    <row r="15" spans="1:11" ht="13.5" thickTop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</row>
    <row r="16" spans="1:11" ht="12.7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</row>
    <row r="17" spans="1:11" ht="15">
      <c r="A17" s="140" t="s">
        <v>20</v>
      </c>
      <c r="B17" s="291" t="s">
        <v>371</v>
      </c>
      <c r="C17" s="292"/>
      <c r="D17" s="140"/>
      <c r="E17" s="293"/>
      <c r="F17" s="140"/>
      <c r="G17" s="140"/>
      <c r="H17" s="140"/>
      <c r="I17" s="140"/>
      <c r="J17" s="140"/>
      <c r="K17" s="140"/>
    </row>
    <row r="18" spans="1:11" ht="15">
      <c r="A18" s="140"/>
      <c r="B18" s="292"/>
      <c r="C18" s="292"/>
      <c r="D18" s="140"/>
      <c r="E18" s="140"/>
      <c r="F18" s="140"/>
      <c r="G18" s="140"/>
      <c r="H18" s="140"/>
      <c r="I18" s="140"/>
      <c r="J18" s="140"/>
      <c r="K18" s="140"/>
    </row>
    <row r="19" spans="1:11" ht="15.75" customHeight="1">
      <c r="A19" s="294" t="s">
        <v>377</v>
      </c>
      <c r="B19" s="292" t="s">
        <v>372</v>
      </c>
      <c r="C19" s="314">
        <v>15328764</v>
      </c>
      <c r="D19" s="140"/>
      <c r="E19" s="140"/>
      <c r="F19" s="140"/>
      <c r="G19" s="140"/>
      <c r="H19" s="140"/>
      <c r="I19" s="140"/>
      <c r="J19" s="140"/>
      <c r="K19" s="140"/>
    </row>
    <row r="20" spans="1:11" ht="21" customHeight="1">
      <c r="A20" s="295"/>
      <c r="B20" s="291" t="s">
        <v>2</v>
      </c>
      <c r="C20" s="301">
        <v>15328764</v>
      </c>
      <c r="D20" s="140"/>
      <c r="E20" s="140"/>
      <c r="F20" s="140"/>
      <c r="G20" s="140"/>
      <c r="H20" s="140"/>
      <c r="I20" s="140"/>
      <c r="J20" s="140"/>
      <c r="K20" s="140"/>
    </row>
    <row r="21" spans="1:11" ht="15.75" customHeight="1">
      <c r="A21" s="295"/>
      <c r="B21" s="309"/>
      <c r="C21" s="297"/>
      <c r="D21" s="140"/>
      <c r="E21" s="140"/>
      <c r="F21" s="140"/>
      <c r="G21" s="140"/>
      <c r="H21" s="140"/>
      <c r="I21" s="140"/>
      <c r="J21" s="140"/>
      <c r="K21" s="140"/>
    </row>
    <row r="22" spans="1:11" ht="34.5" customHeight="1">
      <c r="A22" s="310" t="s">
        <v>14</v>
      </c>
      <c r="B22" s="311" t="s">
        <v>383</v>
      </c>
      <c r="C22" s="297"/>
      <c r="D22" s="140"/>
      <c r="E22" s="140"/>
      <c r="F22" s="140"/>
      <c r="G22" s="140"/>
      <c r="H22" s="140"/>
      <c r="I22" s="140"/>
      <c r="J22" s="140"/>
      <c r="K22" s="140"/>
    </row>
    <row r="23" spans="1:11" ht="21.75" customHeight="1">
      <c r="A23" s="294" t="s">
        <v>385</v>
      </c>
      <c r="B23" s="296" t="s">
        <v>382</v>
      </c>
      <c r="C23" s="297">
        <v>8640</v>
      </c>
      <c r="D23" s="140"/>
      <c r="E23" s="140"/>
      <c r="F23" s="140"/>
      <c r="G23" s="140"/>
      <c r="H23" s="140"/>
      <c r="I23" s="140"/>
      <c r="J23" s="140"/>
      <c r="K23" s="140"/>
    </row>
    <row r="24" spans="1:11" ht="21.75" customHeight="1">
      <c r="A24" s="140"/>
      <c r="B24" s="292" t="s">
        <v>374</v>
      </c>
      <c r="C24" s="314">
        <v>2333</v>
      </c>
      <c r="D24" s="140"/>
      <c r="E24" s="140"/>
      <c r="F24" s="140"/>
      <c r="G24" s="140"/>
      <c r="H24" s="140"/>
      <c r="I24" s="140"/>
      <c r="J24" s="140"/>
      <c r="K24" s="140"/>
    </row>
    <row r="25" spans="1:11" ht="21.75" customHeight="1">
      <c r="A25" s="140"/>
      <c r="B25" s="300" t="s">
        <v>375</v>
      </c>
      <c r="C25" s="301">
        <f>C23+C24</f>
        <v>10973</v>
      </c>
      <c r="D25" s="140"/>
      <c r="E25" s="140"/>
      <c r="F25" s="140"/>
      <c r="G25" s="140"/>
      <c r="H25" s="140"/>
      <c r="I25" s="140"/>
      <c r="J25" s="140"/>
      <c r="K25" s="140"/>
    </row>
    <row r="26" spans="1:11" ht="21.75" customHeight="1">
      <c r="A26" s="140"/>
      <c r="B26" s="315"/>
      <c r="C26" s="301"/>
      <c r="D26" s="140"/>
      <c r="E26" s="140"/>
      <c r="F26" s="140"/>
      <c r="G26" s="140"/>
      <c r="H26" s="140"/>
      <c r="I26" s="140"/>
      <c r="J26" s="140"/>
      <c r="K26" s="140"/>
    </row>
    <row r="27" spans="1:11" ht="21.75" customHeight="1">
      <c r="A27" s="140" t="s">
        <v>21</v>
      </c>
      <c r="B27" s="316" t="s">
        <v>387</v>
      </c>
      <c r="C27" s="301"/>
      <c r="D27" s="140"/>
      <c r="E27" s="140"/>
      <c r="F27" s="140"/>
      <c r="G27" s="140"/>
      <c r="H27" s="140"/>
      <c r="I27" s="140"/>
      <c r="J27" s="140"/>
      <c r="K27" s="140"/>
    </row>
    <row r="28" spans="1:11" ht="21.75" customHeight="1">
      <c r="A28" s="310" t="s">
        <v>386</v>
      </c>
      <c r="B28" s="292" t="s">
        <v>390</v>
      </c>
      <c r="C28" s="297">
        <v>81850</v>
      </c>
      <c r="D28" s="140"/>
      <c r="E28" s="140"/>
      <c r="F28" s="140"/>
      <c r="G28" s="140"/>
      <c r="H28" s="140"/>
      <c r="I28" s="140"/>
      <c r="J28" s="140"/>
      <c r="K28" s="140"/>
    </row>
    <row r="29" spans="1:12" ht="21.75" customHeight="1">
      <c r="A29" s="140"/>
      <c r="B29" s="292" t="s">
        <v>374</v>
      </c>
      <c r="C29" s="314">
        <v>22100</v>
      </c>
      <c r="D29" s="140"/>
      <c r="E29" s="140"/>
      <c r="F29" s="140"/>
      <c r="G29" s="140"/>
      <c r="H29" s="140"/>
      <c r="I29" s="140"/>
      <c r="J29" s="140"/>
      <c r="K29" s="140"/>
      <c r="L29" s="317"/>
    </row>
    <row r="30" spans="1:11" ht="21.75" customHeight="1">
      <c r="A30" s="140"/>
      <c r="B30" s="300" t="s">
        <v>375</v>
      </c>
      <c r="C30" s="301">
        <f>C28+C29</f>
        <v>103950</v>
      </c>
      <c r="D30" s="140"/>
      <c r="E30" s="140"/>
      <c r="F30" s="140"/>
      <c r="G30" s="140"/>
      <c r="H30" s="140"/>
      <c r="I30" s="140"/>
      <c r="J30" s="140"/>
      <c r="K30" s="140"/>
    </row>
    <row r="31" spans="1:11" ht="21.75" customHeight="1">
      <c r="A31" s="140"/>
      <c r="B31" s="312"/>
      <c r="C31" s="297"/>
      <c r="D31" s="140"/>
      <c r="E31" s="140"/>
      <c r="F31" s="140"/>
      <c r="G31" s="140"/>
      <c r="H31" s="140"/>
      <c r="I31" s="140"/>
      <c r="J31" s="140"/>
      <c r="K31" s="140"/>
    </row>
    <row r="32" spans="1:11" ht="21.75" customHeight="1">
      <c r="A32" s="282" t="s">
        <v>59</v>
      </c>
      <c r="B32" s="313" t="s">
        <v>384</v>
      </c>
      <c r="C32" s="297"/>
      <c r="D32" s="140"/>
      <c r="E32" s="140"/>
      <c r="F32" s="140"/>
      <c r="G32" s="140"/>
      <c r="H32" s="140"/>
      <c r="I32" s="140"/>
      <c r="J32" s="140"/>
      <c r="K32" s="140"/>
    </row>
    <row r="33" spans="1:11" ht="21.75" customHeight="1">
      <c r="A33" s="282" t="s">
        <v>388</v>
      </c>
      <c r="B33" s="296" t="s">
        <v>382</v>
      </c>
      <c r="C33" s="297">
        <v>4394</v>
      </c>
      <c r="D33" s="140"/>
      <c r="E33" s="140"/>
      <c r="F33" s="140"/>
      <c r="G33" s="140"/>
      <c r="H33" s="140"/>
      <c r="I33" s="140"/>
      <c r="J33" s="140"/>
      <c r="K33" s="140"/>
    </row>
    <row r="34" spans="1:11" ht="21.75" customHeight="1">
      <c r="A34" s="310"/>
      <c r="B34" s="292" t="s">
        <v>374</v>
      </c>
      <c r="C34" s="314">
        <v>1186</v>
      </c>
      <c r="D34" s="140"/>
      <c r="E34" s="140"/>
      <c r="F34" s="140"/>
      <c r="G34" s="140"/>
      <c r="H34" s="140"/>
      <c r="I34" s="140"/>
      <c r="J34" s="140"/>
      <c r="K34" s="140"/>
    </row>
    <row r="35" spans="1:11" ht="21.75" customHeight="1">
      <c r="A35" s="310"/>
      <c r="B35" s="300" t="s">
        <v>375</v>
      </c>
      <c r="C35" s="301">
        <f>C33+C34</f>
        <v>5580</v>
      </c>
      <c r="D35" s="140"/>
      <c r="E35" s="140"/>
      <c r="F35" s="140"/>
      <c r="G35" s="140"/>
      <c r="H35" s="140"/>
      <c r="I35" s="140"/>
      <c r="J35" s="140"/>
      <c r="K35" s="140"/>
    </row>
    <row r="36" spans="1:11" ht="18.75" customHeight="1">
      <c r="A36" s="298"/>
      <c r="B36" s="299"/>
      <c r="C36" s="297"/>
      <c r="D36" s="140"/>
      <c r="E36" s="140"/>
      <c r="F36" s="140"/>
      <c r="G36" s="140"/>
      <c r="H36" s="140"/>
      <c r="I36" s="140"/>
      <c r="J36" s="140"/>
      <c r="K36" s="140"/>
    </row>
    <row r="37" spans="1:11" ht="29.25" customHeight="1">
      <c r="A37" s="298" t="s">
        <v>60</v>
      </c>
      <c r="B37" s="308" t="s">
        <v>381</v>
      </c>
      <c r="C37" s="297"/>
      <c r="D37" s="140"/>
      <c r="E37" s="140"/>
      <c r="F37" s="140"/>
      <c r="G37" s="140"/>
      <c r="H37" s="140"/>
      <c r="I37" s="140"/>
      <c r="J37" s="140"/>
      <c r="K37" s="140"/>
    </row>
    <row r="38" spans="1:11" ht="23.25" customHeight="1">
      <c r="A38" s="310" t="s">
        <v>389</v>
      </c>
      <c r="B38" s="292" t="s">
        <v>373</v>
      </c>
      <c r="C38" s="307">
        <f>300000-8640-4394</f>
        <v>286966</v>
      </c>
      <c r="D38" s="140"/>
      <c r="E38" s="140"/>
      <c r="F38" s="140"/>
      <c r="G38" s="140"/>
      <c r="H38" s="140"/>
      <c r="I38" s="140"/>
      <c r="J38" s="140"/>
      <c r="K38" s="140"/>
    </row>
    <row r="39" spans="2:11" ht="24.75" customHeight="1">
      <c r="B39" s="292" t="s">
        <v>374</v>
      </c>
      <c r="C39" s="314">
        <f>81000-2333-1186</f>
        <v>77481</v>
      </c>
      <c r="D39" s="140"/>
      <c r="E39" s="140"/>
      <c r="F39" s="140"/>
      <c r="G39" s="140"/>
      <c r="H39" s="140"/>
      <c r="I39" s="140"/>
      <c r="J39" s="140"/>
      <c r="K39" s="140"/>
    </row>
    <row r="40" spans="1:11" ht="14.25">
      <c r="A40" s="140"/>
      <c r="B40" s="300" t="s">
        <v>375</v>
      </c>
      <c r="C40" s="301">
        <f>C38+C39</f>
        <v>364447</v>
      </c>
      <c r="D40" s="140"/>
      <c r="E40" s="140"/>
      <c r="F40" s="140"/>
      <c r="G40" s="140"/>
      <c r="H40" s="140"/>
      <c r="I40" s="140"/>
      <c r="J40" s="140"/>
      <c r="K40" s="140"/>
    </row>
    <row r="41" spans="1:11" ht="15">
      <c r="A41" s="140"/>
      <c r="B41" s="292"/>
      <c r="C41" s="292"/>
      <c r="D41" s="140"/>
      <c r="E41" s="140"/>
      <c r="F41" s="140"/>
      <c r="G41" s="140"/>
      <c r="H41" s="140"/>
      <c r="I41" s="140"/>
      <c r="J41" s="140"/>
      <c r="K41" s="140"/>
    </row>
    <row r="42" spans="1:11" ht="15">
      <c r="A42" s="140"/>
      <c r="B42" s="292"/>
      <c r="C42" s="292"/>
      <c r="D42" s="140"/>
      <c r="E42" s="140"/>
      <c r="F42" s="140"/>
      <c r="G42" s="140"/>
      <c r="H42" s="140"/>
      <c r="I42" s="140"/>
      <c r="J42" s="140"/>
      <c r="K42" s="140"/>
    </row>
    <row r="43" spans="1:11" ht="14.25">
      <c r="A43" s="140"/>
      <c r="B43" s="300" t="s">
        <v>376</v>
      </c>
      <c r="C43" s="301">
        <f>C20+C25+C35+C40+C30</f>
        <v>15813714</v>
      </c>
      <c r="D43" s="140"/>
      <c r="E43" s="140"/>
      <c r="F43" s="140"/>
      <c r="G43" s="140"/>
      <c r="H43" s="140"/>
      <c r="I43" s="140"/>
      <c r="J43" s="140"/>
      <c r="K43" s="140"/>
    </row>
  </sheetData>
  <sheetProtection/>
  <mergeCells count="6">
    <mergeCell ref="B9:K9"/>
    <mergeCell ref="B10:K10"/>
    <mergeCell ref="B11:K11"/>
    <mergeCell ref="A7:C7"/>
    <mergeCell ref="A4:B4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F6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94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s="87" customFormat="1" ht="15.75">
      <c r="A1" s="321" t="s">
        <v>398</v>
      </c>
      <c r="B1" s="327"/>
      <c r="C1" s="327"/>
    </row>
    <row r="2" spans="1:3" ht="15.75">
      <c r="A2" s="150"/>
      <c r="B2" s="150"/>
      <c r="C2" s="45"/>
    </row>
    <row r="3" spans="1:3" s="87" customFormat="1" ht="15.75">
      <c r="A3" s="150" t="s">
        <v>379</v>
      </c>
      <c r="C3" s="93"/>
    </row>
    <row r="5" spans="1:3" s="80" customFormat="1" ht="15">
      <c r="A5" s="439"/>
      <c r="B5" s="439"/>
      <c r="C5" s="439"/>
    </row>
    <row r="6" spans="1:3" s="80" customFormat="1" ht="15.75">
      <c r="A6" s="88"/>
      <c r="B6" s="38"/>
      <c r="C6" s="38"/>
    </row>
    <row r="7" spans="1:3" ht="15.75">
      <c r="A7" s="440" t="s">
        <v>251</v>
      </c>
      <c r="B7" s="440"/>
      <c r="C7" s="440"/>
    </row>
    <row r="8" spans="1:3" ht="15.75">
      <c r="A8" s="342" t="s">
        <v>259</v>
      </c>
      <c r="B8" s="342"/>
      <c r="C8" s="342"/>
    </row>
    <row r="9" spans="1:4" ht="15.75">
      <c r="A9" s="342" t="s">
        <v>136</v>
      </c>
      <c r="B9" s="342"/>
      <c r="C9" s="342"/>
      <c r="D9" s="95"/>
    </row>
    <row r="10" spans="1:3" ht="15.75">
      <c r="A10" s="342" t="s">
        <v>347</v>
      </c>
      <c r="B10" s="342"/>
      <c r="C10" s="342"/>
    </row>
    <row r="11" ht="16.5" thickBot="1">
      <c r="C11" s="110" t="s">
        <v>286</v>
      </c>
    </row>
    <row r="12" spans="1:3" ht="15.75">
      <c r="A12" s="96" t="s">
        <v>18</v>
      </c>
      <c r="B12" s="89"/>
      <c r="C12" s="97" t="s">
        <v>9</v>
      </c>
    </row>
    <row r="13" spans="1:3" ht="15.75">
      <c r="A13" s="90"/>
      <c r="B13" s="91" t="s">
        <v>0</v>
      </c>
      <c r="C13" s="98"/>
    </row>
    <row r="14" spans="1:3" ht="34.5" customHeight="1" thickBot="1">
      <c r="A14" s="92" t="s">
        <v>19</v>
      </c>
      <c r="B14" s="99"/>
      <c r="C14" s="100" t="s">
        <v>5</v>
      </c>
    </row>
    <row r="15" spans="1:3" ht="20.25" customHeight="1">
      <c r="A15" s="445" t="s">
        <v>137</v>
      </c>
      <c r="B15" s="445"/>
      <c r="C15" s="445"/>
    </row>
    <row r="16" spans="1:3" ht="20.25" customHeight="1">
      <c r="A16" s="101" t="s">
        <v>20</v>
      </c>
      <c r="B16" s="102" t="s">
        <v>138</v>
      </c>
      <c r="C16" s="103"/>
    </row>
    <row r="17" spans="1:3" ht="20.25" customHeight="1">
      <c r="A17" s="101"/>
      <c r="B17" s="15" t="s">
        <v>139</v>
      </c>
      <c r="C17" s="103">
        <f>'2.mell - bevétel'!H56</f>
        <v>19949284</v>
      </c>
    </row>
    <row r="18" spans="1:5" ht="20.25" customHeight="1">
      <c r="A18" s="101"/>
      <c r="B18" s="51" t="s">
        <v>140</v>
      </c>
      <c r="C18" s="103">
        <f>'2.mell - bevétel'!H63</f>
        <v>686179</v>
      </c>
      <c r="D18" s="48"/>
      <c r="E18" s="48"/>
    </row>
    <row r="19" spans="1:3" ht="20.25" customHeight="1">
      <c r="A19" s="101" t="s">
        <v>14</v>
      </c>
      <c r="B19" s="102" t="s">
        <v>141</v>
      </c>
      <c r="C19" s="103">
        <f>'2.mell - bevétel'!H83</f>
        <v>1495000</v>
      </c>
    </row>
    <row r="20" spans="1:3" ht="20.25" customHeight="1">
      <c r="A20" s="101" t="s">
        <v>21</v>
      </c>
      <c r="B20" s="102" t="s">
        <v>142</v>
      </c>
      <c r="C20" s="103">
        <f>'2.mell - bevétel'!H96</f>
        <v>5073117</v>
      </c>
    </row>
    <row r="21" spans="1:3" ht="20.25" customHeight="1">
      <c r="A21" s="101" t="s">
        <v>59</v>
      </c>
      <c r="B21" s="104" t="s">
        <v>143</v>
      </c>
      <c r="C21" s="103"/>
    </row>
    <row r="22" spans="1:5" ht="36" customHeight="1">
      <c r="A22" s="101"/>
      <c r="B22" s="51" t="s">
        <v>144</v>
      </c>
      <c r="C22" s="103"/>
      <c r="D22" s="51"/>
      <c r="E22" s="51"/>
    </row>
    <row r="23" spans="1:3" ht="20.25" customHeight="1">
      <c r="A23" s="101"/>
      <c r="B23" s="15" t="s">
        <v>145</v>
      </c>
      <c r="C23" s="103"/>
    </row>
    <row r="24" spans="1:3" ht="36" customHeight="1">
      <c r="A24" s="105"/>
      <c r="B24" s="106" t="s">
        <v>146</v>
      </c>
      <c r="C24" s="107">
        <f>SUM(C17:C23)</f>
        <v>27203580</v>
      </c>
    </row>
    <row r="25" spans="1:3" ht="21" customHeight="1">
      <c r="A25" s="95" t="s">
        <v>60</v>
      </c>
      <c r="B25" s="102" t="s">
        <v>147</v>
      </c>
      <c r="C25" s="16">
        <f>'4.mell. - kiadás'!E34</f>
        <v>9025504</v>
      </c>
    </row>
    <row r="26" spans="1:3" ht="21" customHeight="1">
      <c r="A26" s="95" t="s">
        <v>65</v>
      </c>
      <c r="B26" s="102" t="s">
        <v>148</v>
      </c>
      <c r="C26" s="16">
        <f>'4.mell. - kiadás'!F34</f>
        <v>1991095</v>
      </c>
    </row>
    <row r="27" spans="1:3" ht="21" customHeight="1">
      <c r="A27" s="95" t="s">
        <v>149</v>
      </c>
      <c r="B27" s="108" t="s">
        <v>150</v>
      </c>
      <c r="C27" s="16">
        <f>'4.mell. - kiadás'!G34</f>
        <v>14953533</v>
      </c>
    </row>
    <row r="28" spans="1:3" ht="21" customHeight="1">
      <c r="A28" s="95" t="s">
        <v>151</v>
      </c>
      <c r="B28" s="108" t="s">
        <v>152</v>
      </c>
      <c r="C28" s="16">
        <f>'4.mell. - kiadás'!H34</f>
        <v>1459000</v>
      </c>
    </row>
    <row r="29" spans="1:3" ht="21" customHeight="1">
      <c r="A29" s="95" t="s">
        <v>153</v>
      </c>
      <c r="B29" s="108" t="s">
        <v>154</v>
      </c>
      <c r="C29" s="16"/>
    </row>
    <row r="30" spans="1:3" ht="15.75">
      <c r="A30" s="95"/>
      <c r="B30" s="109" t="s">
        <v>155</v>
      </c>
      <c r="C30" s="110">
        <f>'4.mell. - kiadás'!I34</f>
        <v>459540</v>
      </c>
    </row>
    <row r="31" spans="1:5" ht="15.75">
      <c r="A31" s="95"/>
      <c r="B31" s="109" t="s">
        <v>156</v>
      </c>
      <c r="C31" s="94">
        <f>'4.mell. - kiadás'!J16</f>
        <v>9513747</v>
      </c>
      <c r="E31" s="53"/>
    </row>
    <row r="32" spans="1:6" ht="33.75" customHeight="1">
      <c r="A32" s="105"/>
      <c r="B32" s="106" t="s">
        <v>157</v>
      </c>
      <c r="C32" s="107">
        <f>SUM(C25:C31)</f>
        <v>37402419</v>
      </c>
      <c r="E32" s="53"/>
      <c r="F32" s="53"/>
    </row>
    <row r="33" spans="1:6" ht="21.75" customHeight="1">
      <c r="A33" s="101"/>
      <c r="B33" s="102"/>
      <c r="C33" s="103"/>
      <c r="E33" s="53"/>
      <c r="F33" s="53"/>
    </row>
    <row r="34" spans="1:6" ht="22.5" customHeight="1">
      <c r="A34" s="101"/>
      <c r="B34" s="102"/>
      <c r="C34" s="103"/>
      <c r="E34" s="53"/>
      <c r="F34" s="53"/>
    </row>
    <row r="35" spans="1:6" ht="22.5" customHeight="1">
      <c r="A35" s="101"/>
      <c r="B35" s="102"/>
      <c r="C35" s="103"/>
      <c r="E35" s="53"/>
      <c r="F35" s="53"/>
    </row>
    <row r="36" spans="1:3" ht="19.5" customHeight="1" thickBot="1">
      <c r="A36" s="446"/>
      <c r="B36" s="446"/>
      <c r="C36" s="446"/>
    </row>
    <row r="37" spans="1:3" ht="15.75">
      <c r="A37" s="96" t="s">
        <v>18</v>
      </c>
      <c r="B37" s="89"/>
      <c r="C37" s="97" t="s">
        <v>9</v>
      </c>
    </row>
    <row r="38" spans="1:3" ht="15.75">
      <c r="A38" s="90"/>
      <c r="B38" s="91" t="s">
        <v>0</v>
      </c>
      <c r="C38" s="98"/>
    </row>
    <row r="39" spans="1:3" ht="15.75" customHeight="1" thickBot="1">
      <c r="A39" s="92" t="s">
        <v>19</v>
      </c>
      <c r="B39" s="99"/>
      <c r="C39" s="100" t="s">
        <v>5</v>
      </c>
    </row>
    <row r="40" spans="1:3" ht="21" customHeight="1">
      <c r="A40" s="438" t="s">
        <v>158</v>
      </c>
      <c r="B40" s="438"/>
      <c r="C40" s="438"/>
    </row>
    <row r="41" spans="1:3" ht="21" customHeight="1">
      <c r="A41" s="95" t="s">
        <v>159</v>
      </c>
      <c r="B41" s="30" t="s">
        <v>160</v>
      </c>
      <c r="C41" s="94">
        <f>'2.mell - bevétel'!H71</f>
        <v>15122940</v>
      </c>
    </row>
    <row r="42" spans="1:2" ht="21" customHeight="1">
      <c r="A42" s="95" t="s">
        <v>161</v>
      </c>
      <c r="B42" s="30" t="s">
        <v>162</v>
      </c>
    </row>
    <row r="43" spans="1:2" ht="21" customHeight="1">
      <c r="A43" s="95" t="s">
        <v>163</v>
      </c>
      <c r="B43" s="104" t="s">
        <v>164</v>
      </c>
    </row>
    <row r="44" spans="1:2" ht="31.5" customHeight="1">
      <c r="A44" s="95"/>
      <c r="B44" s="72" t="s">
        <v>165</v>
      </c>
    </row>
    <row r="45" spans="1:2" ht="21" customHeight="1">
      <c r="A45" s="95"/>
      <c r="B45" s="21" t="s">
        <v>166</v>
      </c>
    </row>
    <row r="46" spans="1:5" ht="32.25" customHeight="1">
      <c r="A46" s="105"/>
      <c r="B46" s="106" t="s">
        <v>167</v>
      </c>
      <c r="C46" s="107">
        <f>SUM(C41:C45)</f>
        <v>15122940</v>
      </c>
      <c r="E46" s="53"/>
    </row>
    <row r="47" spans="1:3" ht="21" customHeight="1">
      <c r="A47" s="95" t="s">
        <v>168</v>
      </c>
      <c r="B47" s="30" t="s">
        <v>169</v>
      </c>
      <c r="C47" s="94">
        <f>'4.mell. - kiadás'!L34</f>
        <v>15813714</v>
      </c>
    </row>
    <row r="48" spans="1:3" ht="21" customHeight="1">
      <c r="A48" s="95" t="s">
        <v>170</v>
      </c>
      <c r="B48" s="30" t="s">
        <v>171</v>
      </c>
      <c r="C48" s="94">
        <f>'4.mell. - kiadás'!M34</f>
        <v>0</v>
      </c>
    </row>
    <row r="49" spans="1:2" ht="18.75" customHeight="1">
      <c r="A49" s="95" t="s">
        <v>172</v>
      </c>
      <c r="B49" s="104" t="s">
        <v>173</v>
      </c>
    </row>
    <row r="50" spans="1:2" ht="33" customHeight="1">
      <c r="A50" s="95"/>
      <c r="B50" s="72" t="s">
        <v>174</v>
      </c>
    </row>
    <row r="51" spans="1:2" ht="18" customHeight="1">
      <c r="A51" s="95"/>
      <c r="B51" s="109" t="s">
        <v>175</v>
      </c>
    </row>
    <row r="52" spans="1:2" ht="18" customHeight="1">
      <c r="A52" s="95"/>
      <c r="B52" s="109" t="s">
        <v>156</v>
      </c>
    </row>
    <row r="53" spans="1:6" s="9" customFormat="1" ht="27" customHeight="1" thickBot="1">
      <c r="A53" s="105"/>
      <c r="B53" s="106" t="s">
        <v>176</v>
      </c>
      <c r="C53" s="107">
        <f>SUM(C47:C52)</f>
        <v>15813714</v>
      </c>
      <c r="F53" s="111"/>
    </row>
    <row r="54" spans="1:3" s="9" customFormat="1" ht="27" customHeight="1" thickBot="1">
      <c r="A54" s="112"/>
      <c r="B54" s="113" t="s">
        <v>177</v>
      </c>
      <c r="C54" s="114">
        <f>C24+C46</f>
        <v>42326520</v>
      </c>
    </row>
    <row r="55" spans="1:6" s="9" customFormat="1" ht="27" customHeight="1" thickBot="1">
      <c r="A55" s="112"/>
      <c r="B55" s="113" t="s">
        <v>178</v>
      </c>
      <c r="C55" s="114">
        <f>C32+C53</f>
        <v>53216133</v>
      </c>
      <c r="F55" s="111"/>
    </row>
    <row r="56" spans="1:3" s="116" customFormat="1" ht="16.5" thickBot="1">
      <c r="A56" s="115"/>
      <c r="B56" s="125"/>
      <c r="C56" s="126"/>
    </row>
    <row r="57" spans="1:3" s="116" customFormat="1" ht="19.5" customHeight="1">
      <c r="A57" s="96" t="s">
        <v>18</v>
      </c>
      <c r="B57" s="441" t="s">
        <v>0</v>
      </c>
      <c r="C57" s="97" t="s">
        <v>9</v>
      </c>
    </row>
    <row r="58" spans="1:3" s="116" customFormat="1" ht="15.75">
      <c r="A58" s="90"/>
      <c r="B58" s="442"/>
      <c r="C58" s="98"/>
    </row>
    <row r="59" spans="1:3" s="116" customFormat="1" ht="12" customHeight="1" thickBot="1">
      <c r="A59" s="92" t="s">
        <v>19</v>
      </c>
      <c r="B59" s="443"/>
      <c r="C59" s="100" t="s">
        <v>5</v>
      </c>
    </row>
    <row r="60" spans="1:3" s="116" customFormat="1" ht="15.75">
      <c r="A60" s="115"/>
      <c r="B60" s="125"/>
      <c r="C60" s="126"/>
    </row>
    <row r="61" spans="1:3" ht="15" customHeight="1">
      <c r="A61" s="444" t="s">
        <v>179</v>
      </c>
      <c r="B61" s="444"/>
      <c r="C61" s="444"/>
    </row>
    <row r="62" spans="1:3" ht="15" customHeight="1">
      <c r="A62" s="117"/>
      <c r="B62" s="117"/>
      <c r="C62" s="117"/>
    </row>
    <row r="63" spans="1:3" ht="20.25" customHeight="1">
      <c r="A63" s="105" t="s">
        <v>180</v>
      </c>
      <c r="B63" s="118" t="s">
        <v>181</v>
      </c>
      <c r="C63" s="107">
        <f>'2.mell - bevétel'!H108</f>
        <v>11685062</v>
      </c>
    </row>
    <row r="64" spans="1:3" ht="21" customHeight="1">
      <c r="A64" s="105"/>
      <c r="B64" s="207" t="s">
        <v>182</v>
      </c>
      <c r="C64" s="119">
        <f>SUM(C63:C63)</f>
        <v>11685062</v>
      </c>
    </row>
    <row r="65" spans="1:3" ht="15.75">
      <c r="A65" s="101" t="s">
        <v>183</v>
      </c>
      <c r="B65" s="118" t="s">
        <v>274</v>
      </c>
      <c r="C65" s="107">
        <f>'4.mell. - kiadás'!P34</f>
        <v>795449</v>
      </c>
    </row>
    <row r="66" spans="1:3" ht="15.75">
      <c r="A66" s="95" t="s">
        <v>184</v>
      </c>
      <c r="B66" s="118" t="s">
        <v>185</v>
      </c>
      <c r="C66" s="107"/>
    </row>
    <row r="67" spans="1:3" s="120" customFormat="1" ht="27" customHeight="1" thickBot="1">
      <c r="A67" s="105"/>
      <c r="B67" s="207" t="s">
        <v>186</v>
      </c>
      <c r="C67" s="119">
        <f>SUM(C65:C66)</f>
        <v>795449</v>
      </c>
    </row>
    <row r="68" spans="1:5" s="120" customFormat="1" ht="27" customHeight="1" thickBot="1">
      <c r="A68" s="121"/>
      <c r="B68" s="122" t="s">
        <v>187</v>
      </c>
      <c r="C68" s="123">
        <f>C54+C64</f>
        <v>54011582</v>
      </c>
      <c r="E68" s="124"/>
    </row>
    <row r="69" spans="1:5" ht="27" customHeight="1" thickBot="1">
      <c r="A69" s="121"/>
      <c r="B69" s="122" t="s">
        <v>188</v>
      </c>
      <c r="C69" s="123">
        <f>C55+C67</f>
        <v>54011582</v>
      </c>
      <c r="E69" s="124"/>
    </row>
  </sheetData>
  <sheetProtection/>
  <mergeCells count="11">
    <mergeCell ref="A36:C36"/>
    <mergeCell ref="A40:C40"/>
    <mergeCell ref="A1:C1"/>
    <mergeCell ref="A5:C5"/>
    <mergeCell ref="A7:C7"/>
    <mergeCell ref="B57:B59"/>
    <mergeCell ref="A61:C61"/>
    <mergeCell ref="A8:C8"/>
    <mergeCell ref="A9:C9"/>
    <mergeCell ref="A10:C10"/>
    <mergeCell ref="A15:C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2019-05-17T10:48:59Z</cp:lastPrinted>
  <dcterms:created xsi:type="dcterms:W3CDTF">2002-11-26T17:22:50Z</dcterms:created>
  <dcterms:modified xsi:type="dcterms:W3CDTF">2019-06-25T06:07:03Z</dcterms:modified>
  <cp:category/>
  <cp:version/>
  <cp:contentType/>
  <cp:contentStatus/>
</cp:coreProperties>
</file>