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cuments\KÉPVISELŐ-TESTÜLET\ELŐTERJESZTÉS\2018-as ülésekhez\0626\"/>
    </mc:Choice>
  </mc:AlternateContent>
  <bookViews>
    <workbookView xWindow="0" yWindow="0" windowWidth="15360" windowHeight="8736" activeTab="20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mell Int.összesen" sheetId="58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3" r:id="rId26"/>
    <sheet name="12.b Tételes mód PH" sheetId="54" r:id="rId27"/>
    <sheet name="12.c Tételes mód Óvoda" sheetId="55" r:id="rId28"/>
    <sheet name="12.d Tételes mód BBK" sheetId="56" r:id="rId29"/>
    <sheet name="12.e Konszolidált módosítás" sheetId="57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5" hidden="1">'12.a Tételes mód ÖNK'!$A$4:$AN$4</definedName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>#REF!</definedName>
    <definedName name="nev" localSheetId="7">[1]kod!$CD$8:$CD$3150</definedName>
    <definedName name="nev">[2]kod!$CD$8:$CD$3150</definedName>
    <definedName name="_xlnm.Print_Titles" localSheetId="25">'12.a Tételes mód ÖNK'!$A:$C</definedName>
    <definedName name="_xlnm.Print_Titles" localSheetId="29">'12.e Konszolidált módosítás'!$A:$B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9">'12.e Konszolidált módosítás'!$A$1:$AI$12</definedName>
    <definedName name="onev" localSheetId="7">[3]kod!$BT$34:$BT$3184</definedName>
    <definedName name="onev">[4]kod!$BT$34:$BT$3184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7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AF73" i="7" l="1"/>
  <c r="H20" i="18" l="1"/>
  <c r="I20" i="18"/>
  <c r="H23" i="18"/>
  <c r="I23" i="18"/>
  <c r="H22" i="18"/>
  <c r="I22" i="18"/>
  <c r="H21" i="18"/>
  <c r="I21" i="18"/>
  <c r="G21" i="18"/>
  <c r="H11" i="18"/>
  <c r="H12" i="18"/>
  <c r="H13" i="18"/>
  <c r="H14" i="18"/>
  <c r="H15" i="18"/>
  <c r="H7" i="18"/>
  <c r="I7" i="18"/>
  <c r="H8" i="18"/>
  <c r="I8" i="18"/>
  <c r="D10" i="18"/>
  <c r="E10" i="18"/>
  <c r="D7" i="18"/>
  <c r="E7" i="18"/>
  <c r="D27" i="18"/>
  <c r="E27" i="18"/>
  <c r="D26" i="18"/>
  <c r="E26" i="18"/>
  <c r="D25" i="18"/>
  <c r="E25" i="18"/>
  <c r="E24" i="18"/>
  <c r="D23" i="18"/>
  <c r="E23" i="18"/>
  <c r="E20" i="18" s="1"/>
  <c r="D22" i="18"/>
  <c r="E22" i="18"/>
  <c r="D21" i="18"/>
  <c r="E21" i="18"/>
  <c r="D11" i="18"/>
  <c r="E11" i="18"/>
  <c r="C11" i="18"/>
  <c r="D3" i="18"/>
  <c r="E3" i="18"/>
  <c r="E16" i="18" s="1"/>
  <c r="E28" i="18" s="1"/>
  <c r="D6" i="18"/>
  <c r="E6" i="18"/>
  <c r="C6" i="18"/>
  <c r="D5" i="18"/>
  <c r="E5" i="18"/>
  <c r="D4" i="18"/>
  <c r="E4" i="18"/>
  <c r="C4" i="18"/>
  <c r="W7" i="5"/>
  <c r="X7" i="5"/>
  <c r="W65" i="5"/>
  <c r="AE98" i="7"/>
  <c r="AC98" i="7"/>
  <c r="AB98" i="7"/>
  <c r="D16" i="18" l="1"/>
  <c r="D28" i="18" s="1"/>
  <c r="D24" i="18"/>
  <c r="D20" i="18"/>
  <c r="AH9" i="57"/>
  <c r="Y9" i="57"/>
  <c r="X9" i="57"/>
  <c r="AH7" i="57"/>
  <c r="Z7" i="57"/>
  <c r="Y7" i="57"/>
  <c r="X7" i="57"/>
  <c r="I9" i="57"/>
  <c r="G9" i="57"/>
  <c r="E9" i="57"/>
  <c r="D9" i="57"/>
  <c r="F9" i="57"/>
  <c r="H9" i="57"/>
  <c r="C9" i="57"/>
  <c r="G7" i="57"/>
  <c r="E7" i="57"/>
  <c r="D7" i="57"/>
  <c r="C7" i="57"/>
  <c r="B34" i="30"/>
  <c r="B33" i="30"/>
  <c r="B29" i="30"/>
  <c r="B20" i="30"/>
  <c r="B19" i="30"/>
  <c r="B18" i="30"/>
  <c r="B14" i="30"/>
  <c r="B12" i="30"/>
  <c r="B11" i="30"/>
  <c r="B9" i="30"/>
  <c r="B8" i="30"/>
  <c r="B7" i="30"/>
  <c r="B5" i="30"/>
  <c r="B4" i="30"/>
  <c r="D32" i="20"/>
  <c r="E32" i="20"/>
  <c r="C32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18" i="20"/>
  <c r="E13" i="20"/>
  <c r="D13" i="20"/>
  <c r="E11" i="20"/>
  <c r="D11" i="20"/>
  <c r="E10" i="20"/>
  <c r="E70" i="19"/>
  <c r="C70" i="19"/>
  <c r="C58" i="19"/>
  <c r="D58" i="19"/>
  <c r="D70" i="19" s="1"/>
  <c r="D71" i="19" s="1"/>
  <c r="E55" i="19"/>
  <c r="E56" i="19"/>
  <c r="E57" i="19"/>
  <c r="E59" i="19"/>
  <c r="E60" i="19"/>
  <c r="E61" i="19"/>
  <c r="E62" i="19"/>
  <c r="E63" i="19"/>
  <c r="E64" i="19"/>
  <c r="E65" i="19"/>
  <c r="E66" i="19"/>
  <c r="E67" i="19"/>
  <c r="E68" i="19"/>
  <c r="E69" i="19"/>
  <c r="E54" i="19"/>
  <c r="D56" i="19"/>
  <c r="D54" i="19"/>
  <c r="E46" i="19"/>
  <c r="E47" i="19"/>
  <c r="E48" i="19"/>
  <c r="E45" i="19"/>
  <c r="E44" i="19" s="1"/>
  <c r="D44" i="19"/>
  <c r="D42" i="19"/>
  <c r="D37" i="19"/>
  <c r="D31" i="19"/>
  <c r="D26" i="19"/>
  <c r="E23" i="19"/>
  <c r="E24" i="19"/>
  <c r="E25" i="19"/>
  <c r="E27" i="19"/>
  <c r="E26" i="19" s="1"/>
  <c r="E28" i="19"/>
  <c r="E29" i="19"/>
  <c r="E30" i="19"/>
  <c r="E32" i="19"/>
  <c r="E33" i="19"/>
  <c r="E34" i="19"/>
  <c r="E35" i="19"/>
  <c r="E36" i="19"/>
  <c r="E38" i="19"/>
  <c r="E39" i="19"/>
  <c r="E40" i="19"/>
  <c r="E41" i="19"/>
  <c r="E22" i="19"/>
  <c r="D21" i="19"/>
  <c r="D13" i="19"/>
  <c r="E13" i="19"/>
  <c r="D11" i="19"/>
  <c r="E11" i="19"/>
  <c r="E7" i="19"/>
  <c r="E8" i="19"/>
  <c r="E9" i="19"/>
  <c r="E10" i="19"/>
  <c r="E6" i="19"/>
  <c r="F46" i="52"/>
  <c r="E46" i="52"/>
  <c r="J44" i="52"/>
  <c r="I44" i="52"/>
  <c r="H44" i="52"/>
  <c r="H45" i="52"/>
  <c r="C46" i="52"/>
  <c r="I46" i="52" s="1"/>
  <c r="B46" i="52"/>
  <c r="D44" i="52"/>
  <c r="H4" i="52"/>
  <c r="I4" i="52"/>
  <c r="J4" i="52"/>
  <c r="H5" i="52"/>
  <c r="I5" i="52"/>
  <c r="J5" i="52"/>
  <c r="H6" i="52"/>
  <c r="I6" i="52"/>
  <c r="J6" i="52"/>
  <c r="H7" i="52"/>
  <c r="I7" i="52"/>
  <c r="J7" i="52"/>
  <c r="H8" i="52"/>
  <c r="I8" i="52"/>
  <c r="J8" i="52"/>
  <c r="H9" i="52"/>
  <c r="I9" i="52"/>
  <c r="J9" i="52"/>
  <c r="H10" i="52"/>
  <c r="I10" i="52"/>
  <c r="J10" i="52"/>
  <c r="H11" i="52"/>
  <c r="I11" i="52"/>
  <c r="J11" i="52"/>
  <c r="H12" i="52"/>
  <c r="I12" i="52"/>
  <c r="J12" i="52"/>
  <c r="H13" i="52"/>
  <c r="I13" i="52"/>
  <c r="J13" i="52"/>
  <c r="H14" i="52"/>
  <c r="I14" i="52"/>
  <c r="J14" i="52"/>
  <c r="H15" i="52"/>
  <c r="I15" i="52"/>
  <c r="J15" i="52"/>
  <c r="H16" i="52"/>
  <c r="I16" i="52"/>
  <c r="J16" i="52"/>
  <c r="H17" i="52"/>
  <c r="I17" i="52"/>
  <c r="J17" i="52"/>
  <c r="H18" i="52"/>
  <c r="I18" i="52"/>
  <c r="J18" i="52"/>
  <c r="H19" i="52"/>
  <c r="I19" i="52"/>
  <c r="J19" i="52"/>
  <c r="H20" i="52"/>
  <c r="I20" i="52"/>
  <c r="J20" i="52"/>
  <c r="H21" i="52"/>
  <c r="I21" i="52"/>
  <c r="J21" i="52"/>
  <c r="H22" i="52"/>
  <c r="I22" i="52"/>
  <c r="J22" i="52"/>
  <c r="H23" i="52"/>
  <c r="I23" i="52"/>
  <c r="J23" i="52"/>
  <c r="H24" i="52"/>
  <c r="I24" i="52"/>
  <c r="J24" i="52"/>
  <c r="H25" i="52"/>
  <c r="I25" i="52"/>
  <c r="J25" i="52"/>
  <c r="H26" i="52"/>
  <c r="I26" i="52"/>
  <c r="J26" i="52"/>
  <c r="H27" i="52"/>
  <c r="I27" i="52"/>
  <c r="J27" i="52"/>
  <c r="H28" i="52"/>
  <c r="I28" i="52"/>
  <c r="J28" i="52"/>
  <c r="H29" i="52"/>
  <c r="I29" i="52"/>
  <c r="J29" i="52"/>
  <c r="H30" i="52"/>
  <c r="I30" i="52"/>
  <c r="J30" i="52"/>
  <c r="H31" i="52"/>
  <c r="I31" i="52"/>
  <c r="J31" i="52"/>
  <c r="H32" i="52"/>
  <c r="I32" i="52"/>
  <c r="J32" i="52"/>
  <c r="H33" i="52"/>
  <c r="I33" i="52"/>
  <c r="J33" i="52"/>
  <c r="H34" i="52"/>
  <c r="I34" i="52"/>
  <c r="J34" i="52"/>
  <c r="H35" i="52"/>
  <c r="I35" i="52"/>
  <c r="J35" i="52"/>
  <c r="H36" i="52"/>
  <c r="I36" i="52"/>
  <c r="J36" i="52"/>
  <c r="H37" i="52"/>
  <c r="I37" i="52"/>
  <c r="J37" i="52"/>
  <c r="H38" i="52"/>
  <c r="I38" i="52"/>
  <c r="J38" i="52"/>
  <c r="H39" i="52"/>
  <c r="I39" i="52"/>
  <c r="J39" i="52"/>
  <c r="H40" i="52"/>
  <c r="I40" i="52"/>
  <c r="J40" i="52"/>
  <c r="H41" i="52"/>
  <c r="I41" i="52"/>
  <c r="J41" i="52"/>
  <c r="H42" i="52"/>
  <c r="I42" i="52"/>
  <c r="J42" i="52"/>
  <c r="H43" i="52"/>
  <c r="I43" i="52"/>
  <c r="J43" i="52"/>
  <c r="I45" i="52"/>
  <c r="I3" i="52"/>
  <c r="J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0" i="52"/>
  <c r="G41" i="52"/>
  <c r="G42" i="52"/>
  <c r="G43" i="52"/>
  <c r="G45" i="52"/>
  <c r="G46" i="52" s="1"/>
  <c r="G3" i="52"/>
  <c r="D4" i="52"/>
  <c r="D5" i="52"/>
  <c r="D6" i="52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35" i="52"/>
  <c r="D36" i="52"/>
  <c r="D37" i="52"/>
  <c r="D38" i="52"/>
  <c r="D39" i="52"/>
  <c r="D40" i="52"/>
  <c r="D41" i="52"/>
  <c r="D42" i="52"/>
  <c r="D43" i="52"/>
  <c r="D45" i="52"/>
  <c r="D46" i="52" s="1"/>
  <c r="D3" i="52"/>
  <c r="E37" i="52"/>
  <c r="E33" i="52"/>
  <c r="E38" i="52" s="1"/>
  <c r="E28" i="52"/>
  <c r="E25" i="52"/>
  <c r="E22" i="52"/>
  <c r="E17" i="52"/>
  <c r="E14" i="52"/>
  <c r="B28" i="52"/>
  <c r="B29" i="52" s="1"/>
  <c r="B25" i="52"/>
  <c r="B22" i="52"/>
  <c r="B17" i="52"/>
  <c r="B14" i="52"/>
  <c r="C32" i="43"/>
  <c r="D32" i="43"/>
  <c r="B32" i="43"/>
  <c r="D31" i="43"/>
  <c r="D21" i="43"/>
  <c r="D22" i="43"/>
  <c r="D30" i="43"/>
  <c r="D29" i="43"/>
  <c r="D20" i="43"/>
  <c r="D19" i="43"/>
  <c r="D6" i="43"/>
  <c r="D7" i="43"/>
  <c r="D8" i="43"/>
  <c r="D9" i="43"/>
  <c r="D10" i="43"/>
  <c r="D5" i="43"/>
  <c r="D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3" i="45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3" i="44"/>
  <c r="O43" i="58"/>
  <c r="E65" i="58"/>
  <c r="F65" i="58"/>
  <c r="D65" i="58"/>
  <c r="D40" i="17"/>
  <c r="E40" i="17"/>
  <c r="C40" i="17"/>
  <c r="D38" i="17"/>
  <c r="E38" i="17"/>
  <c r="C38" i="17"/>
  <c r="D24" i="17"/>
  <c r="E24" i="17"/>
  <c r="C24" i="17"/>
  <c r="D23" i="17"/>
  <c r="C23" i="17"/>
  <c r="C16" i="17"/>
  <c r="D14" i="17"/>
  <c r="E14" i="17"/>
  <c r="C14" i="17"/>
  <c r="D13" i="17"/>
  <c r="E13" i="17"/>
  <c r="C13" i="17"/>
  <c r="D5" i="17"/>
  <c r="E5" i="17"/>
  <c r="C6" i="17"/>
  <c r="E58" i="19" l="1"/>
  <c r="E37" i="19"/>
  <c r="E31" i="19"/>
  <c r="E21" i="19"/>
  <c r="E42" i="19" s="1"/>
  <c r="H46" i="52"/>
  <c r="J45" i="52"/>
  <c r="J46" i="52"/>
  <c r="E29" i="52"/>
  <c r="F77" i="58" l="1"/>
  <c r="E77" i="58"/>
  <c r="D77" i="58"/>
  <c r="O73" i="58"/>
  <c r="N73" i="58"/>
  <c r="M73" i="58"/>
  <c r="L73" i="58"/>
  <c r="K73" i="58"/>
  <c r="E73" i="58" s="1"/>
  <c r="J73" i="58"/>
  <c r="I73" i="58"/>
  <c r="F73" i="58" s="1"/>
  <c r="H73" i="58"/>
  <c r="G73" i="58"/>
  <c r="D73" i="58" s="1"/>
  <c r="O71" i="58"/>
  <c r="F71" i="58" s="1"/>
  <c r="N71" i="58"/>
  <c r="M71" i="58"/>
  <c r="L71" i="58"/>
  <c r="K71" i="58"/>
  <c r="E71" i="58" s="1"/>
  <c r="J71" i="58"/>
  <c r="I71" i="58"/>
  <c r="H71" i="58"/>
  <c r="G71" i="58"/>
  <c r="D71" i="58" s="1"/>
  <c r="O69" i="58"/>
  <c r="F69" i="58" s="1"/>
  <c r="N69" i="58"/>
  <c r="M69" i="58"/>
  <c r="L69" i="58"/>
  <c r="K69" i="58"/>
  <c r="E69" i="58" s="1"/>
  <c r="J69" i="58"/>
  <c r="I69" i="58"/>
  <c r="H69" i="58"/>
  <c r="G69" i="58"/>
  <c r="D69" i="58" s="1"/>
  <c r="O66" i="58"/>
  <c r="F66" i="58" s="1"/>
  <c r="N66" i="58"/>
  <c r="N67" i="58" s="1"/>
  <c r="M66" i="58"/>
  <c r="M67" i="58" s="1"/>
  <c r="L66" i="58"/>
  <c r="L67" i="58" s="1"/>
  <c r="K66" i="58"/>
  <c r="E66" i="58" s="1"/>
  <c r="J66" i="58"/>
  <c r="J67" i="58" s="1"/>
  <c r="I66" i="58"/>
  <c r="I67" i="58" s="1"/>
  <c r="H66" i="58"/>
  <c r="H67" i="58" s="1"/>
  <c r="G66" i="58"/>
  <c r="G67" i="58" s="1"/>
  <c r="O65" i="58"/>
  <c r="N65" i="58"/>
  <c r="M65" i="58"/>
  <c r="L65" i="58"/>
  <c r="K65" i="58"/>
  <c r="J65" i="58"/>
  <c r="I65" i="58"/>
  <c r="H65" i="58"/>
  <c r="G65" i="58"/>
  <c r="O62" i="58"/>
  <c r="N62" i="58"/>
  <c r="M62" i="58"/>
  <c r="L62" i="58"/>
  <c r="F62" i="58" s="1"/>
  <c r="K62" i="58"/>
  <c r="J62" i="58"/>
  <c r="I62" i="58"/>
  <c r="H62" i="58"/>
  <c r="E62" i="58" s="1"/>
  <c r="G62" i="58"/>
  <c r="D62" i="58"/>
  <c r="O61" i="58"/>
  <c r="N61" i="58"/>
  <c r="M61" i="58"/>
  <c r="L61" i="58"/>
  <c r="F61" i="58" s="1"/>
  <c r="K61" i="58"/>
  <c r="J61" i="58"/>
  <c r="I61" i="58"/>
  <c r="H61" i="58"/>
  <c r="E61" i="58" s="1"/>
  <c r="G61" i="58"/>
  <c r="D61" i="58"/>
  <c r="O60" i="58"/>
  <c r="N60" i="58"/>
  <c r="M60" i="58"/>
  <c r="L60" i="58"/>
  <c r="F60" i="58" s="1"/>
  <c r="K60" i="58"/>
  <c r="J60" i="58"/>
  <c r="I60" i="58"/>
  <c r="H60" i="58"/>
  <c r="E60" i="58" s="1"/>
  <c r="G60" i="58"/>
  <c r="D60" i="58"/>
  <c r="O59" i="58"/>
  <c r="N59" i="58"/>
  <c r="M59" i="58"/>
  <c r="L59" i="58"/>
  <c r="F59" i="58" s="1"/>
  <c r="K59" i="58"/>
  <c r="J59" i="58"/>
  <c r="I59" i="58"/>
  <c r="H59" i="58"/>
  <c r="E59" i="58" s="1"/>
  <c r="G59" i="58"/>
  <c r="D59" i="58"/>
  <c r="O58" i="58"/>
  <c r="O63" i="58" s="1"/>
  <c r="N58" i="58"/>
  <c r="N63" i="58" s="1"/>
  <c r="M58" i="58"/>
  <c r="M63" i="58" s="1"/>
  <c r="L58" i="58"/>
  <c r="F58" i="58" s="1"/>
  <c r="K58" i="58"/>
  <c r="K63" i="58" s="1"/>
  <c r="J58" i="58"/>
  <c r="J63" i="58" s="1"/>
  <c r="I58" i="58"/>
  <c r="I63" i="58" s="1"/>
  <c r="H58" i="58"/>
  <c r="H63" i="58" s="1"/>
  <c r="E63" i="58" s="1"/>
  <c r="G58" i="58"/>
  <c r="G63" i="58" s="1"/>
  <c r="D58" i="58"/>
  <c r="O56" i="58"/>
  <c r="N56" i="58"/>
  <c r="M56" i="58"/>
  <c r="L56" i="58"/>
  <c r="F56" i="58" s="1"/>
  <c r="K56" i="58"/>
  <c r="J56" i="58"/>
  <c r="I56" i="58"/>
  <c r="H56" i="58"/>
  <c r="E56" i="58" s="1"/>
  <c r="G56" i="58"/>
  <c r="D56" i="58"/>
  <c r="O54" i="58"/>
  <c r="O55" i="58" s="1"/>
  <c r="N54" i="58"/>
  <c r="N55" i="58" s="1"/>
  <c r="M54" i="58"/>
  <c r="M55" i="58" s="1"/>
  <c r="L54" i="58"/>
  <c r="L55" i="58" s="1"/>
  <c r="K54" i="58"/>
  <c r="K55" i="58" s="1"/>
  <c r="J54" i="58"/>
  <c r="J55" i="58" s="1"/>
  <c r="I54" i="58"/>
  <c r="H54" i="58"/>
  <c r="E54" i="58" s="1"/>
  <c r="G54" i="58"/>
  <c r="D54" i="58"/>
  <c r="O53" i="58"/>
  <c r="N53" i="58"/>
  <c r="M53" i="58"/>
  <c r="L53" i="58"/>
  <c r="F53" i="58" s="1"/>
  <c r="K53" i="58"/>
  <c r="J53" i="58"/>
  <c r="I53" i="58"/>
  <c r="I55" i="58" s="1"/>
  <c r="H53" i="58"/>
  <c r="E53" i="58" s="1"/>
  <c r="G53" i="58"/>
  <c r="G55" i="58" s="1"/>
  <c r="D53" i="58"/>
  <c r="H48" i="58"/>
  <c r="G48" i="58"/>
  <c r="O47" i="58"/>
  <c r="L47" i="58"/>
  <c r="I47" i="58"/>
  <c r="F47" i="58"/>
  <c r="E47" i="58"/>
  <c r="D47" i="58"/>
  <c r="N46" i="58"/>
  <c r="N48" i="58" s="1"/>
  <c r="K46" i="58"/>
  <c r="K48" i="58" s="1"/>
  <c r="H46" i="58"/>
  <c r="E46" i="58" s="1"/>
  <c r="L45" i="58"/>
  <c r="I45" i="58"/>
  <c r="E45" i="58"/>
  <c r="D45" i="58"/>
  <c r="L44" i="58"/>
  <c r="F44" i="58" s="1"/>
  <c r="I44" i="58"/>
  <c r="E44" i="58"/>
  <c r="D44" i="58"/>
  <c r="O46" i="58"/>
  <c r="M43" i="58"/>
  <c r="M46" i="58" s="1"/>
  <c r="M48" i="58" s="1"/>
  <c r="J43" i="58"/>
  <c r="L43" i="58" s="1"/>
  <c r="G43" i="58"/>
  <c r="I43" i="58" s="1"/>
  <c r="E43" i="58"/>
  <c r="M41" i="58"/>
  <c r="O41" i="58" s="1"/>
  <c r="L41" i="58"/>
  <c r="J41" i="58"/>
  <c r="G41" i="58"/>
  <c r="G42" i="58" s="1"/>
  <c r="E41" i="58"/>
  <c r="O40" i="58"/>
  <c r="L40" i="58"/>
  <c r="I40" i="58"/>
  <c r="F40" i="58" s="1"/>
  <c r="E40" i="58"/>
  <c r="D40" i="58"/>
  <c r="O39" i="58"/>
  <c r="M39" i="58"/>
  <c r="J39" i="58"/>
  <c r="D39" i="58" s="1"/>
  <c r="I39" i="58"/>
  <c r="G39" i="58"/>
  <c r="E39" i="58"/>
  <c r="C39" i="58"/>
  <c r="O38" i="58"/>
  <c r="L38" i="58"/>
  <c r="I38" i="58"/>
  <c r="F38" i="58" s="1"/>
  <c r="E38" i="58"/>
  <c r="D38" i="58"/>
  <c r="L37" i="58"/>
  <c r="I37" i="58"/>
  <c r="F37" i="58"/>
  <c r="E37" i="58"/>
  <c r="D37" i="58"/>
  <c r="N36" i="58"/>
  <c r="N42" i="58" s="1"/>
  <c r="K36" i="58"/>
  <c r="K42" i="58" s="1"/>
  <c r="J36" i="58"/>
  <c r="H36" i="58"/>
  <c r="H42" i="58" s="1"/>
  <c r="G36" i="58"/>
  <c r="E36" i="58"/>
  <c r="O35" i="58"/>
  <c r="L35" i="58"/>
  <c r="I35" i="58"/>
  <c r="F35" i="58" s="1"/>
  <c r="E35" i="58"/>
  <c r="D35" i="58"/>
  <c r="O34" i="58"/>
  <c r="F34" i="58" s="1"/>
  <c r="L34" i="58"/>
  <c r="I34" i="58"/>
  <c r="E34" i="58"/>
  <c r="D34" i="58"/>
  <c r="O33" i="58"/>
  <c r="L33" i="58"/>
  <c r="I33" i="58"/>
  <c r="F33" i="58" s="1"/>
  <c r="E33" i="58"/>
  <c r="D33" i="58"/>
  <c r="O32" i="58"/>
  <c r="F32" i="58" s="1"/>
  <c r="M32" i="58"/>
  <c r="L32" i="58"/>
  <c r="I32" i="58"/>
  <c r="E32" i="58"/>
  <c r="D32" i="58"/>
  <c r="O31" i="58"/>
  <c r="L31" i="58"/>
  <c r="I31" i="58"/>
  <c r="F31" i="58" s="1"/>
  <c r="E31" i="58"/>
  <c r="D31" i="58"/>
  <c r="O30" i="58"/>
  <c r="L30" i="58"/>
  <c r="I30" i="58"/>
  <c r="F30" i="58"/>
  <c r="E30" i="58"/>
  <c r="D30" i="58"/>
  <c r="M29" i="58"/>
  <c r="D29" i="58" s="1"/>
  <c r="L29" i="58"/>
  <c r="L36" i="58" s="1"/>
  <c r="I29" i="58"/>
  <c r="E29" i="58"/>
  <c r="O28" i="58"/>
  <c r="L28" i="58"/>
  <c r="I28" i="58"/>
  <c r="F28" i="58" s="1"/>
  <c r="E28" i="58"/>
  <c r="D28" i="58"/>
  <c r="I27" i="58"/>
  <c r="E27" i="58"/>
  <c r="O26" i="58"/>
  <c r="L26" i="58"/>
  <c r="I26" i="58"/>
  <c r="F26" i="58" s="1"/>
  <c r="E26" i="58"/>
  <c r="D26" i="58"/>
  <c r="O25" i="58"/>
  <c r="L25" i="58"/>
  <c r="I25" i="58"/>
  <c r="F25" i="58" s="1"/>
  <c r="E25" i="58"/>
  <c r="D25" i="58"/>
  <c r="O24" i="58"/>
  <c r="L24" i="58"/>
  <c r="I24" i="58"/>
  <c r="E24" i="58"/>
  <c r="D24" i="58"/>
  <c r="O23" i="58"/>
  <c r="L23" i="58"/>
  <c r="I23" i="58"/>
  <c r="E23" i="58"/>
  <c r="D23" i="58"/>
  <c r="O22" i="58"/>
  <c r="L22" i="58"/>
  <c r="I22" i="58"/>
  <c r="F22" i="58" s="1"/>
  <c r="E22" i="58"/>
  <c r="D22" i="58"/>
  <c r="O21" i="58"/>
  <c r="L21" i="58"/>
  <c r="I21" i="58"/>
  <c r="F21" i="58" s="1"/>
  <c r="E21" i="58"/>
  <c r="D21" i="58"/>
  <c r="O20" i="58"/>
  <c r="L20" i="58"/>
  <c r="I20" i="58"/>
  <c r="E20" i="58"/>
  <c r="D20" i="58"/>
  <c r="O19" i="58"/>
  <c r="L19" i="58"/>
  <c r="I19" i="58"/>
  <c r="E19" i="58"/>
  <c r="D19" i="58"/>
  <c r="O18" i="58"/>
  <c r="L18" i="58"/>
  <c r="I18" i="58"/>
  <c r="F18" i="58" s="1"/>
  <c r="E18" i="58"/>
  <c r="D18" i="58"/>
  <c r="O17" i="58"/>
  <c r="L17" i="58"/>
  <c r="I17" i="58"/>
  <c r="F17" i="58" s="1"/>
  <c r="E17" i="58"/>
  <c r="D17" i="58"/>
  <c r="M16" i="58"/>
  <c r="M27" i="58" s="1"/>
  <c r="O27" i="58" s="1"/>
  <c r="L16" i="58"/>
  <c r="J16" i="58"/>
  <c r="J27" i="58" s="1"/>
  <c r="I16" i="58"/>
  <c r="E16" i="58"/>
  <c r="H15" i="58"/>
  <c r="G15" i="58"/>
  <c r="E15" i="58"/>
  <c r="O14" i="58"/>
  <c r="L14" i="58"/>
  <c r="F14" i="58"/>
  <c r="E14" i="58"/>
  <c r="D14" i="58"/>
  <c r="O13" i="58"/>
  <c r="L13" i="58"/>
  <c r="F13" i="58" s="1"/>
  <c r="E13" i="58"/>
  <c r="D13" i="58"/>
  <c r="O12" i="58"/>
  <c r="L12" i="58"/>
  <c r="F12" i="58" s="1"/>
  <c r="E12" i="58"/>
  <c r="D12" i="58"/>
  <c r="O11" i="58"/>
  <c r="L11" i="58"/>
  <c r="F11" i="58" s="1"/>
  <c r="E11" i="58"/>
  <c r="D11" i="58"/>
  <c r="O10" i="58"/>
  <c r="L10" i="58"/>
  <c r="F10" i="58" s="1"/>
  <c r="E10" i="58"/>
  <c r="D10" i="58"/>
  <c r="O9" i="58"/>
  <c r="L9" i="58"/>
  <c r="E9" i="58"/>
  <c r="D9" i="58"/>
  <c r="O8" i="58"/>
  <c r="L8" i="58"/>
  <c r="E8" i="58"/>
  <c r="D8" i="58"/>
  <c r="O7" i="58"/>
  <c r="L7" i="58"/>
  <c r="E7" i="58"/>
  <c r="D7" i="58"/>
  <c r="O6" i="58"/>
  <c r="L6" i="58"/>
  <c r="F6" i="58" s="1"/>
  <c r="E6" i="58"/>
  <c r="D6" i="58"/>
  <c r="O5" i="58"/>
  <c r="L5" i="58"/>
  <c r="E5" i="58"/>
  <c r="D5" i="58"/>
  <c r="M4" i="58"/>
  <c r="M15" i="58" s="1"/>
  <c r="O15" i="58" s="1"/>
  <c r="J4" i="58"/>
  <c r="L4" i="58" s="1"/>
  <c r="I4" i="58"/>
  <c r="E4" i="58"/>
  <c r="AB11" i="56"/>
  <c r="AA11" i="56"/>
  <c r="Z11" i="56"/>
  <c r="Y11" i="56"/>
  <c r="X11" i="56"/>
  <c r="W11" i="56"/>
  <c r="V11" i="56"/>
  <c r="T11" i="56"/>
  <c r="S11" i="56"/>
  <c r="Q11" i="56"/>
  <c r="P11" i="56"/>
  <c r="O11" i="56"/>
  <c r="N11" i="56"/>
  <c r="M11" i="56"/>
  <c r="L11" i="56"/>
  <c r="K11" i="56"/>
  <c r="J11" i="56"/>
  <c r="I11" i="56"/>
  <c r="H11" i="56"/>
  <c r="G11" i="56"/>
  <c r="F11" i="56"/>
  <c r="AC9" i="56"/>
  <c r="R9" i="56"/>
  <c r="AC8" i="56"/>
  <c r="R8" i="56"/>
  <c r="AC7" i="56"/>
  <c r="R7" i="56"/>
  <c r="U6" i="56"/>
  <c r="U11" i="56" s="1"/>
  <c r="E6" i="56"/>
  <c r="E11" i="56" s="1"/>
  <c r="D6" i="56"/>
  <c r="AC5" i="56"/>
  <c r="R5" i="56"/>
  <c r="T23" i="55"/>
  <c r="AH8" i="57" s="1"/>
  <c r="S23" i="55"/>
  <c r="R23" i="55"/>
  <c r="Q23" i="55"/>
  <c r="P23" i="55"/>
  <c r="O23" i="55"/>
  <c r="N23" i="55"/>
  <c r="Y8" i="57" s="1"/>
  <c r="M23" i="55"/>
  <c r="X8" i="57" s="1"/>
  <c r="L23" i="55"/>
  <c r="U23" i="55" s="1"/>
  <c r="J23" i="55"/>
  <c r="I23" i="55"/>
  <c r="H23" i="55"/>
  <c r="I8" i="57" s="1"/>
  <c r="G23" i="55"/>
  <c r="H8" i="57" s="1"/>
  <c r="F23" i="55"/>
  <c r="G8" i="57" s="1"/>
  <c r="E23" i="55"/>
  <c r="E8" i="57" s="1"/>
  <c r="U22" i="55"/>
  <c r="K22" i="55"/>
  <c r="U21" i="55"/>
  <c r="K21" i="55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8" i="55"/>
  <c r="K8" i="55"/>
  <c r="U7" i="55"/>
  <c r="D7" i="55"/>
  <c r="D23" i="55" s="1"/>
  <c r="D8" i="57" s="1"/>
  <c r="C7" i="55"/>
  <c r="C23" i="55" s="1"/>
  <c r="C8" i="57" s="1"/>
  <c r="U6" i="55"/>
  <c r="K6" i="55"/>
  <c r="U5" i="55"/>
  <c r="K5" i="55"/>
  <c r="K7" i="55" l="1"/>
  <c r="R6" i="56"/>
  <c r="F45" i="58"/>
  <c r="D4" i="58"/>
  <c r="F5" i="58"/>
  <c r="O4" i="58"/>
  <c r="F7" i="58"/>
  <c r="F8" i="58"/>
  <c r="F9" i="58"/>
  <c r="F19" i="58"/>
  <c r="F23" i="58"/>
  <c r="O16" i="58"/>
  <c r="F16" i="58" s="1"/>
  <c r="F20" i="58"/>
  <c r="F24" i="58"/>
  <c r="E42" i="58"/>
  <c r="J42" i="58"/>
  <c r="I46" i="58"/>
  <c r="I48" i="58" s="1"/>
  <c r="F43" i="58"/>
  <c r="O48" i="58"/>
  <c r="D55" i="58"/>
  <c r="D67" i="58"/>
  <c r="L75" i="58"/>
  <c r="L79" i="58" s="1"/>
  <c r="F4" i="58"/>
  <c r="L27" i="58"/>
  <c r="F27" i="58" s="1"/>
  <c r="D27" i="58"/>
  <c r="K49" i="58"/>
  <c r="G49" i="58"/>
  <c r="E67" i="58"/>
  <c r="M75" i="58"/>
  <c r="M79" i="58" s="1"/>
  <c r="O42" i="58"/>
  <c r="N49" i="58"/>
  <c r="E48" i="58"/>
  <c r="F55" i="58"/>
  <c r="D63" i="58"/>
  <c r="J75" i="58"/>
  <c r="J79" i="58" s="1"/>
  <c r="N75" i="58"/>
  <c r="N79" i="58" s="1"/>
  <c r="J46" i="58"/>
  <c r="H49" i="58"/>
  <c r="E49" i="58" s="1"/>
  <c r="H55" i="58"/>
  <c r="E55" i="58" s="1"/>
  <c r="L63" i="58"/>
  <c r="F63" i="58" s="1"/>
  <c r="O67" i="58"/>
  <c r="O75" i="58" s="1"/>
  <c r="O79" i="58" s="1"/>
  <c r="G75" i="58"/>
  <c r="K75" i="58"/>
  <c r="K79" i="58" s="1"/>
  <c r="J15" i="58"/>
  <c r="D16" i="58"/>
  <c r="O29" i="58"/>
  <c r="O36" i="58" s="1"/>
  <c r="L39" i="58"/>
  <c r="F39" i="58" s="1"/>
  <c r="G46" i="58"/>
  <c r="E58" i="58"/>
  <c r="D66" i="58"/>
  <c r="M36" i="58"/>
  <c r="K67" i="58"/>
  <c r="D41" i="58"/>
  <c r="I41" i="58"/>
  <c r="F54" i="58"/>
  <c r="I75" i="58"/>
  <c r="I15" i="58"/>
  <c r="I36" i="58"/>
  <c r="F36" i="58" s="1"/>
  <c r="D43" i="58"/>
  <c r="AC11" i="56"/>
  <c r="AC6" i="56"/>
  <c r="D11" i="56"/>
  <c r="R11" i="56" s="1"/>
  <c r="K23" i="55"/>
  <c r="D46" i="58" l="1"/>
  <c r="F41" i="58"/>
  <c r="I42" i="58"/>
  <c r="G79" i="58"/>
  <c r="D79" i="58" s="1"/>
  <c r="D75" i="58"/>
  <c r="F67" i="58"/>
  <c r="I49" i="58"/>
  <c r="L42" i="58"/>
  <c r="H75" i="58"/>
  <c r="O49" i="58"/>
  <c r="D36" i="58"/>
  <c r="M42" i="58"/>
  <c r="M49" i="58" s="1"/>
  <c r="J48" i="58"/>
  <c r="L46" i="58"/>
  <c r="F29" i="58"/>
  <c r="F75" i="58"/>
  <c r="I79" i="58"/>
  <c r="F79" i="58" s="1"/>
  <c r="D15" i="58"/>
  <c r="L15" i="58"/>
  <c r="F15" i="58" s="1"/>
  <c r="F46" i="58"/>
  <c r="E23" i="17" s="1"/>
  <c r="E75" i="58" l="1"/>
  <c r="H79" i="58"/>
  <c r="E79" i="58" s="1"/>
  <c r="F42" i="58"/>
  <c r="J49" i="58"/>
  <c r="D48" i="58"/>
  <c r="L48" i="58"/>
  <c r="F48" i="58" s="1"/>
  <c r="D42" i="58"/>
  <c r="D49" i="58" l="1"/>
  <c r="L49" i="58"/>
  <c r="F49" i="58" s="1"/>
  <c r="AF107" i="7" l="1"/>
  <c r="AE107" i="7"/>
  <c r="E107" i="7"/>
  <c r="E73" i="7"/>
  <c r="D7" i="7"/>
  <c r="E7" i="7"/>
  <c r="D8" i="7"/>
  <c r="E8" i="7"/>
  <c r="D10" i="7"/>
  <c r="E10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D28" i="7"/>
  <c r="E28" i="7"/>
  <c r="D29" i="7"/>
  <c r="E29" i="7"/>
  <c r="D30" i="7"/>
  <c r="E30" i="7"/>
  <c r="D31" i="7"/>
  <c r="E31" i="7"/>
  <c r="D32" i="7"/>
  <c r="E32" i="7"/>
  <c r="D33" i="7"/>
  <c r="E33" i="7"/>
  <c r="D34" i="7"/>
  <c r="E34" i="7"/>
  <c r="D35" i="7"/>
  <c r="E35" i="7"/>
  <c r="D36" i="7"/>
  <c r="E36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3" i="7"/>
  <c r="D74" i="7"/>
  <c r="E74" i="7"/>
  <c r="D75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5" i="7"/>
  <c r="E85" i="7"/>
  <c r="D86" i="7"/>
  <c r="E86" i="7"/>
  <c r="D87" i="7"/>
  <c r="E87" i="7"/>
  <c r="D88" i="7"/>
  <c r="E88" i="7"/>
  <c r="D89" i="7"/>
  <c r="E89" i="7"/>
  <c r="D90" i="7"/>
  <c r="E90" i="7"/>
  <c r="D91" i="7"/>
  <c r="E91" i="7"/>
  <c r="D92" i="7"/>
  <c r="E92" i="7"/>
  <c r="D93" i="7"/>
  <c r="E93" i="7"/>
  <c r="D94" i="7"/>
  <c r="E94" i="7"/>
  <c r="D95" i="7"/>
  <c r="E95" i="7"/>
  <c r="D96" i="7"/>
  <c r="E96" i="7"/>
  <c r="D97" i="7"/>
  <c r="E97" i="7"/>
  <c r="D100" i="7"/>
  <c r="E100" i="7"/>
  <c r="D101" i="7"/>
  <c r="E101" i="7"/>
  <c r="D102" i="7"/>
  <c r="E102" i="7"/>
  <c r="D103" i="7"/>
  <c r="E103" i="7"/>
  <c r="D104" i="7"/>
  <c r="E104" i="7"/>
  <c r="D105" i="7"/>
  <c r="E105" i="7"/>
  <c r="D106" i="7"/>
  <c r="E106" i="7"/>
  <c r="D107" i="7"/>
  <c r="E6" i="7"/>
  <c r="F6" i="7"/>
  <c r="D6" i="7"/>
  <c r="AD98" i="7"/>
  <c r="D98" i="7" s="1"/>
  <c r="D12" i="9" l="1"/>
  <c r="D6" i="17" s="1"/>
  <c r="Q24" i="41"/>
  <c r="Z7" i="8"/>
  <c r="W8" i="7"/>
  <c r="Z4" i="8"/>
  <c r="Y4" i="8"/>
  <c r="Y5" i="8"/>
  <c r="Z3" i="8"/>
  <c r="AA3" i="8"/>
  <c r="Z29" i="8"/>
  <c r="AF106" i="7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1" i="12"/>
  <c r="D80" i="12"/>
  <c r="D79" i="12"/>
  <c r="D78" i="12"/>
  <c r="D82" i="12" s="1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F76" i="12" s="1"/>
  <c r="E68" i="12"/>
  <c r="E76" i="12" s="1"/>
  <c r="D68" i="12"/>
  <c r="D76" i="12" s="1"/>
  <c r="T65" i="12"/>
  <c r="S65" i="12"/>
  <c r="R65" i="12"/>
  <c r="Q65" i="12"/>
  <c r="P65" i="12"/>
  <c r="O65" i="12"/>
  <c r="N65" i="12"/>
  <c r="M65" i="12"/>
  <c r="K65" i="12"/>
  <c r="J65" i="12"/>
  <c r="H65" i="12"/>
  <c r="G65" i="12"/>
  <c r="E65" i="12"/>
  <c r="D65" i="12"/>
  <c r="U64" i="12"/>
  <c r="L64" i="12"/>
  <c r="I64" i="12"/>
  <c r="F64" i="12"/>
  <c r="E64" i="12"/>
  <c r="D64" i="12"/>
  <c r="U63" i="12"/>
  <c r="U65" i="12" s="1"/>
  <c r="L63" i="12"/>
  <c r="F63" i="12" s="1"/>
  <c r="F65" i="12" s="1"/>
  <c r="I63" i="12"/>
  <c r="I65" i="12" s="1"/>
  <c r="E63" i="12"/>
  <c r="D63" i="12"/>
  <c r="I62" i="12"/>
  <c r="F62" i="12"/>
  <c r="T60" i="12"/>
  <c r="P60" i="12"/>
  <c r="H60" i="12"/>
  <c r="T59" i="12"/>
  <c r="R59" i="12"/>
  <c r="R60" i="12" s="1"/>
  <c r="Q59" i="12"/>
  <c r="Q60" i="12" s="1"/>
  <c r="P59" i="12"/>
  <c r="N59" i="12"/>
  <c r="N60" i="12" s="1"/>
  <c r="K59" i="12"/>
  <c r="K60" i="12" s="1"/>
  <c r="H59" i="12"/>
  <c r="G59" i="12"/>
  <c r="G60" i="12" s="1"/>
  <c r="U58" i="12"/>
  <c r="O58" i="12"/>
  <c r="L58" i="12"/>
  <c r="I58" i="12"/>
  <c r="E58" i="12"/>
  <c r="D58" i="12"/>
  <c r="U57" i="12"/>
  <c r="O57" i="12"/>
  <c r="L57" i="12"/>
  <c r="F57" i="12" s="1"/>
  <c r="I57" i="12"/>
  <c r="E57" i="12"/>
  <c r="D57" i="12"/>
  <c r="U56" i="12"/>
  <c r="O56" i="12"/>
  <c r="L56" i="12"/>
  <c r="I56" i="12"/>
  <c r="E56" i="12"/>
  <c r="D56" i="12"/>
  <c r="U55" i="12"/>
  <c r="R55" i="12"/>
  <c r="O55" i="12"/>
  <c r="L55" i="12"/>
  <c r="I55" i="12"/>
  <c r="D55" i="12"/>
  <c r="I54" i="12"/>
  <c r="I59" i="12" s="1"/>
  <c r="E54" i="12"/>
  <c r="T53" i="12"/>
  <c r="S53" i="12"/>
  <c r="R53" i="12"/>
  <c r="Q53" i="12"/>
  <c r="P53" i="12"/>
  <c r="N53" i="12"/>
  <c r="M53" i="12"/>
  <c r="K53" i="12"/>
  <c r="J53" i="12"/>
  <c r="D53" i="12" s="1"/>
  <c r="H53" i="12"/>
  <c r="G53" i="12"/>
  <c r="U52" i="12"/>
  <c r="O52" i="12"/>
  <c r="L52" i="12"/>
  <c r="I52" i="12"/>
  <c r="F52" i="12" s="1"/>
  <c r="E52" i="12"/>
  <c r="E53" i="12" s="1"/>
  <c r="D52" i="12"/>
  <c r="U51" i="12"/>
  <c r="U53" i="12" s="1"/>
  <c r="O51" i="12"/>
  <c r="O53" i="12" s="1"/>
  <c r="L51" i="12"/>
  <c r="L53" i="12" s="1"/>
  <c r="I51" i="12"/>
  <c r="I53" i="12" s="1"/>
  <c r="E51" i="12"/>
  <c r="D51" i="12"/>
  <c r="T50" i="12"/>
  <c r="S50" i="12"/>
  <c r="R50" i="12"/>
  <c r="Q50" i="12"/>
  <c r="P50" i="12"/>
  <c r="N50" i="12"/>
  <c r="M50" i="12"/>
  <c r="M54" i="12" s="1"/>
  <c r="K50" i="12"/>
  <c r="J50" i="12"/>
  <c r="J54" i="12" s="1"/>
  <c r="H50" i="12"/>
  <c r="G50" i="12"/>
  <c r="U49" i="12"/>
  <c r="O49" i="12"/>
  <c r="L49" i="12"/>
  <c r="I49" i="12"/>
  <c r="E49" i="12"/>
  <c r="D49" i="12"/>
  <c r="U48" i="12"/>
  <c r="O48" i="12"/>
  <c r="L48" i="12"/>
  <c r="F48" i="12" s="1"/>
  <c r="I48" i="12"/>
  <c r="E48" i="12"/>
  <c r="D48" i="12"/>
  <c r="U47" i="12"/>
  <c r="O47" i="12"/>
  <c r="L47" i="12"/>
  <c r="I47" i="12"/>
  <c r="E47" i="12"/>
  <c r="D47" i="12"/>
  <c r="U46" i="12"/>
  <c r="O46" i="12"/>
  <c r="L46" i="12"/>
  <c r="I46" i="12"/>
  <c r="F46" i="12" s="1"/>
  <c r="E46" i="12"/>
  <c r="D46" i="12"/>
  <c r="U45" i="12"/>
  <c r="O45" i="12"/>
  <c r="L45" i="12"/>
  <c r="I45" i="12"/>
  <c r="F45" i="12" s="1"/>
  <c r="E45" i="12"/>
  <c r="D45" i="12"/>
  <c r="U44" i="12"/>
  <c r="O44" i="12"/>
  <c r="L44" i="12"/>
  <c r="I44" i="12"/>
  <c r="E44" i="12"/>
  <c r="D44" i="12"/>
  <c r="U43" i="12"/>
  <c r="O43" i="12"/>
  <c r="L43" i="12"/>
  <c r="I43" i="12"/>
  <c r="F43" i="12" s="1"/>
  <c r="E43" i="12"/>
  <c r="D43" i="12"/>
  <c r="U42" i="12"/>
  <c r="O42" i="12"/>
  <c r="L42" i="12"/>
  <c r="F42" i="12" s="1"/>
  <c r="I42" i="12"/>
  <c r="E42" i="12"/>
  <c r="D42" i="12"/>
  <c r="U41" i="12"/>
  <c r="O41" i="12"/>
  <c r="L41" i="12"/>
  <c r="L50" i="12" s="1"/>
  <c r="I41" i="12"/>
  <c r="E41" i="12"/>
  <c r="D41" i="12"/>
  <c r="T40" i="12"/>
  <c r="S40" i="12"/>
  <c r="S54" i="12" s="1"/>
  <c r="R40" i="12"/>
  <c r="Q40" i="12"/>
  <c r="P40" i="12"/>
  <c r="N40" i="12"/>
  <c r="M40" i="12"/>
  <c r="K40" i="12"/>
  <c r="J40" i="12"/>
  <c r="H40" i="12"/>
  <c r="G40" i="12"/>
  <c r="D40" i="12" s="1"/>
  <c r="U39" i="12"/>
  <c r="U40" i="12" s="1"/>
  <c r="O39" i="12"/>
  <c r="L39" i="12"/>
  <c r="I39" i="12"/>
  <c r="F39" i="12"/>
  <c r="E39" i="12"/>
  <c r="D39" i="12"/>
  <c r="U38" i="12"/>
  <c r="O38" i="12"/>
  <c r="O40" i="12" s="1"/>
  <c r="L38" i="12"/>
  <c r="L40" i="12" s="1"/>
  <c r="I38" i="12"/>
  <c r="I40" i="12" s="1"/>
  <c r="E38" i="12"/>
  <c r="D38" i="12"/>
  <c r="T37" i="12"/>
  <c r="S37" i="12"/>
  <c r="Q37" i="12"/>
  <c r="P37" i="12"/>
  <c r="N37" i="12"/>
  <c r="M37" i="12"/>
  <c r="K37" i="12"/>
  <c r="J37" i="12"/>
  <c r="H37" i="12"/>
  <c r="G37" i="12"/>
  <c r="D37" i="12" s="1"/>
  <c r="U36" i="12"/>
  <c r="O36" i="12"/>
  <c r="L36" i="12"/>
  <c r="I36" i="12"/>
  <c r="F36" i="12" s="1"/>
  <c r="E36" i="12"/>
  <c r="D36" i="12"/>
  <c r="U35" i="12"/>
  <c r="O35" i="12"/>
  <c r="L35" i="12"/>
  <c r="I35" i="12"/>
  <c r="F35" i="12" s="1"/>
  <c r="E35" i="12"/>
  <c r="E37" i="12" s="1"/>
  <c r="D35" i="12"/>
  <c r="U34" i="12"/>
  <c r="R34" i="12"/>
  <c r="R37" i="12" s="1"/>
  <c r="O34" i="12"/>
  <c r="O37" i="12" s="1"/>
  <c r="L34" i="12"/>
  <c r="I34" i="12"/>
  <c r="D34" i="12"/>
  <c r="U31" i="12"/>
  <c r="O31" i="12"/>
  <c r="L31" i="12"/>
  <c r="I31" i="12"/>
  <c r="F31" i="12" s="1"/>
  <c r="E31" i="12"/>
  <c r="D31" i="12"/>
  <c r="U30" i="12"/>
  <c r="O30" i="12"/>
  <c r="L30" i="12"/>
  <c r="I30" i="12"/>
  <c r="E30" i="12"/>
  <c r="D30" i="12"/>
  <c r="U29" i="12"/>
  <c r="O29" i="12"/>
  <c r="L29" i="12"/>
  <c r="I29" i="12"/>
  <c r="F29" i="12" s="1"/>
  <c r="E29" i="12"/>
  <c r="D29" i="12"/>
  <c r="U28" i="12"/>
  <c r="O28" i="12"/>
  <c r="L28" i="12"/>
  <c r="I28" i="12"/>
  <c r="E28" i="12"/>
  <c r="D28" i="12"/>
  <c r="T27" i="12"/>
  <c r="U27" i="12" s="1"/>
  <c r="U26" i="12" s="1"/>
  <c r="N27" i="12"/>
  <c r="O27" i="12" s="1"/>
  <c r="K27" i="12"/>
  <c r="L27" i="12" s="1"/>
  <c r="L26" i="12" s="1"/>
  <c r="H27" i="12"/>
  <c r="H26" i="12" s="1"/>
  <c r="D27" i="12"/>
  <c r="S26" i="12"/>
  <c r="R26" i="12"/>
  <c r="Q26" i="12"/>
  <c r="P26" i="12"/>
  <c r="M26" i="12"/>
  <c r="K26" i="12"/>
  <c r="J26" i="12"/>
  <c r="G26" i="12"/>
  <c r="D26" i="12" s="1"/>
  <c r="S24" i="12"/>
  <c r="G24" i="12"/>
  <c r="T23" i="12"/>
  <c r="T24" i="12" s="1"/>
  <c r="S23" i="12"/>
  <c r="R23" i="12"/>
  <c r="R24" i="12" s="1"/>
  <c r="Q23" i="12"/>
  <c r="Q24" i="12" s="1"/>
  <c r="P23" i="12"/>
  <c r="P24" i="12" s="1"/>
  <c r="N23" i="12"/>
  <c r="N24" i="12" s="1"/>
  <c r="M23" i="12"/>
  <c r="M24" i="12" s="1"/>
  <c r="K23" i="12"/>
  <c r="J23" i="12"/>
  <c r="J24" i="12" s="1"/>
  <c r="H23" i="12"/>
  <c r="H24" i="12" s="1"/>
  <c r="G23" i="12"/>
  <c r="E23" i="12"/>
  <c r="U22" i="12"/>
  <c r="O22" i="12"/>
  <c r="L22" i="12"/>
  <c r="I22" i="12"/>
  <c r="E22" i="12"/>
  <c r="D22" i="12"/>
  <c r="D23" i="12" s="1"/>
  <c r="U21" i="12"/>
  <c r="O21" i="12"/>
  <c r="L21" i="12"/>
  <c r="I21" i="12"/>
  <c r="E21" i="12"/>
  <c r="D21" i="12"/>
  <c r="U20" i="12"/>
  <c r="U23" i="12" s="1"/>
  <c r="O20" i="12"/>
  <c r="L20" i="12"/>
  <c r="I20" i="12"/>
  <c r="F20" i="12"/>
  <c r="E20" i="12"/>
  <c r="D20" i="12"/>
  <c r="T19" i="12"/>
  <c r="S19" i="12"/>
  <c r="R19" i="12"/>
  <c r="Q19" i="12"/>
  <c r="P19" i="12"/>
  <c r="N19" i="12"/>
  <c r="M19" i="12"/>
  <c r="J19" i="12"/>
  <c r="H19" i="12"/>
  <c r="G19" i="12"/>
  <c r="U18" i="12"/>
  <c r="O18" i="12"/>
  <c r="L18" i="12"/>
  <c r="I18" i="12"/>
  <c r="F18" i="12" s="1"/>
  <c r="E18" i="12"/>
  <c r="D18" i="12"/>
  <c r="U17" i="12"/>
  <c r="T17" i="12"/>
  <c r="O17" i="12"/>
  <c r="N17" i="12"/>
  <c r="L17" i="12"/>
  <c r="K17" i="12"/>
  <c r="K19" i="12" s="1"/>
  <c r="K24" i="12" s="1"/>
  <c r="I17" i="12"/>
  <c r="F17" i="12" s="1"/>
  <c r="H17" i="12"/>
  <c r="E17" i="12"/>
  <c r="D17" i="12"/>
  <c r="U16" i="12"/>
  <c r="O16" i="12"/>
  <c r="L16" i="12"/>
  <c r="I16" i="12"/>
  <c r="E16" i="12"/>
  <c r="D16" i="12"/>
  <c r="U15" i="12"/>
  <c r="O15" i="12"/>
  <c r="L15" i="12"/>
  <c r="H15" i="12"/>
  <c r="I15" i="12" s="1"/>
  <c r="E15" i="12"/>
  <c r="D15" i="12"/>
  <c r="U14" i="12"/>
  <c r="O14" i="12"/>
  <c r="L14" i="12"/>
  <c r="F14" i="12" s="1"/>
  <c r="I14" i="12"/>
  <c r="E14" i="12"/>
  <c r="D14" i="12"/>
  <c r="U13" i="12"/>
  <c r="O13" i="12"/>
  <c r="L13" i="12"/>
  <c r="I13" i="12"/>
  <c r="E13" i="12"/>
  <c r="D13" i="12"/>
  <c r="U12" i="12"/>
  <c r="O12" i="12"/>
  <c r="L12" i="12"/>
  <c r="I12" i="12"/>
  <c r="F12" i="12" s="1"/>
  <c r="E12" i="12"/>
  <c r="D12" i="12"/>
  <c r="U11" i="12"/>
  <c r="O11" i="12"/>
  <c r="L11" i="12"/>
  <c r="I11" i="12"/>
  <c r="F11" i="12" s="1"/>
  <c r="E11" i="12"/>
  <c r="D11" i="12"/>
  <c r="U10" i="12"/>
  <c r="O10" i="12"/>
  <c r="L10" i="12"/>
  <c r="I10" i="12"/>
  <c r="E10" i="12"/>
  <c r="D10" i="12"/>
  <c r="U9" i="12"/>
  <c r="O9" i="12"/>
  <c r="L9" i="12"/>
  <c r="I9" i="12"/>
  <c r="F9" i="12" s="1"/>
  <c r="E9" i="12"/>
  <c r="D9" i="12"/>
  <c r="U8" i="12"/>
  <c r="O8" i="12"/>
  <c r="L8" i="12"/>
  <c r="F8" i="12" s="1"/>
  <c r="I8" i="12"/>
  <c r="E8" i="12"/>
  <c r="D8" i="12"/>
  <c r="U7" i="12"/>
  <c r="O7" i="12"/>
  <c r="L7" i="12"/>
  <c r="I7" i="12"/>
  <c r="E7" i="12"/>
  <c r="D7" i="12"/>
  <c r="U6" i="12"/>
  <c r="O6" i="12"/>
  <c r="L6" i="12"/>
  <c r="I6" i="12"/>
  <c r="E6" i="12"/>
  <c r="D6" i="12"/>
  <c r="U5" i="12"/>
  <c r="O5" i="12"/>
  <c r="L5" i="12"/>
  <c r="I5" i="12"/>
  <c r="F5" i="12" s="1"/>
  <c r="H5" i="12"/>
  <c r="E5" i="12" s="1"/>
  <c r="D5" i="12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0" i="16"/>
  <c r="D79" i="16"/>
  <c r="D78" i="16"/>
  <c r="D77" i="16"/>
  <c r="D81" i="16" s="1"/>
  <c r="R75" i="16"/>
  <c r="Q75" i="16"/>
  <c r="P75" i="16"/>
  <c r="O75" i="16"/>
  <c r="N75" i="16"/>
  <c r="M75" i="16"/>
  <c r="L75" i="16"/>
  <c r="K75" i="16"/>
  <c r="J75" i="16"/>
  <c r="H75" i="16"/>
  <c r="G75" i="16"/>
  <c r="I74" i="16"/>
  <c r="F74" i="16"/>
  <c r="E74" i="16"/>
  <c r="D74" i="16"/>
  <c r="F73" i="16"/>
  <c r="E73" i="16"/>
  <c r="D73" i="16"/>
  <c r="F72" i="16"/>
  <c r="E72" i="16"/>
  <c r="D72" i="16"/>
  <c r="I71" i="16"/>
  <c r="F71" i="16" s="1"/>
  <c r="E71" i="16"/>
  <c r="D71" i="16"/>
  <c r="F70" i="16"/>
  <c r="E70" i="16"/>
  <c r="D70" i="16"/>
  <c r="F69" i="16"/>
  <c r="E69" i="16"/>
  <c r="E75" i="16" s="1"/>
  <c r="D69" i="16"/>
  <c r="F68" i="16"/>
  <c r="E68" i="16"/>
  <c r="D68" i="16"/>
  <c r="F67" i="16"/>
  <c r="E67" i="16"/>
  <c r="D67" i="16"/>
  <c r="D75" i="16" s="1"/>
  <c r="R64" i="16"/>
  <c r="Q64" i="16"/>
  <c r="O64" i="16"/>
  <c r="N64" i="16"/>
  <c r="M64" i="16"/>
  <c r="L64" i="16"/>
  <c r="K64" i="16"/>
  <c r="J64" i="16"/>
  <c r="I64" i="16"/>
  <c r="H64" i="16"/>
  <c r="G64" i="16"/>
  <c r="E64" i="16"/>
  <c r="I63" i="16"/>
  <c r="F63" i="16"/>
  <c r="E63" i="16"/>
  <c r="D63" i="16"/>
  <c r="I62" i="16"/>
  <c r="F62" i="16"/>
  <c r="F64" i="16" s="1"/>
  <c r="E62" i="16"/>
  <c r="D62" i="16"/>
  <c r="D64" i="16" s="1"/>
  <c r="I61" i="16"/>
  <c r="F61" i="16"/>
  <c r="E61" i="16"/>
  <c r="Q58" i="16"/>
  <c r="Q59" i="16" s="1"/>
  <c r="P58" i="16"/>
  <c r="N58" i="16"/>
  <c r="N59" i="16" s="1"/>
  <c r="M58" i="16"/>
  <c r="M59" i="16" s="1"/>
  <c r="K58" i="16"/>
  <c r="H58" i="16"/>
  <c r="R57" i="16"/>
  <c r="O57" i="16"/>
  <c r="L57" i="16"/>
  <c r="I57" i="16"/>
  <c r="E57" i="16"/>
  <c r="D57" i="16"/>
  <c r="R56" i="16"/>
  <c r="O56" i="16"/>
  <c r="L56" i="16"/>
  <c r="I56" i="16"/>
  <c r="E56" i="16"/>
  <c r="D56" i="16"/>
  <c r="R55" i="16"/>
  <c r="O55" i="16"/>
  <c r="L55" i="16"/>
  <c r="I55" i="16"/>
  <c r="E55" i="16"/>
  <c r="D55" i="16"/>
  <c r="R54" i="16"/>
  <c r="O54" i="16"/>
  <c r="L54" i="16"/>
  <c r="F54" i="16" s="1"/>
  <c r="I54" i="16"/>
  <c r="E54" i="16"/>
  <c r="D54" i="16"/>
  <c r="R53" i="16"/>
  <c r="O53" i="16"/>
  <c r="E53" i="16"/>
  <c r="R52" i="16"/>
  <c r="Q52" i="16"/>
  <c r="P52" i="16"/>
  <c r="N52" i="16"/>
  <c r="M52" i="16"/>
  <c r="K52" i="16"/>
  <c r="J52" i="16"/>
  <c r="H52" i="16"/>
  <c r="G52" i="16"/>
  <c r="R51" i="16"/>
  <c r="O51" i="16"/>
  <c r="O52" i="16" s="1"/>
  <c r="L51" i="16"/>
  <c r="L52" i="16" s="1"/>
  <c r="I51" i="16"/>
  <c r="I52" i="16" s="1"/>
  <c r="F51" i="16"/>
  <c r="E51" i="16"/>
  <c r="D51" i="16"/>
  <c r="R50" i="16"/>
  <c r="O50" i="16"/>
  <c r="L50" i="16"/>
  <c r="I50" i="16"/>
  <c r="F50" i="16" s="1"/>
  <c r="F52" i="16" s="1"/>
  <c r="E50" i="16"/>
  <c r="D50" i="16"/>
  <c r="D52" i="16" s="1"/>
  <c r="Q49" i="16"/>
  <c r="P49" i="16"/>
  <c r="P59" i="16" s="1"/>
  <c r="N49" i="16"/>
  <c r="M49" i="16"/>
  <c r="K49" i="16"/>
  <c r="K59" i="16" s="1"/>
  <c r="K85" i="16" s="1"/>
  <c r="J49" i="16"/>
  <c r="J53" i="16" s="1"/>
  <c r="G49" i="16"/>
  <c r="G53" i="16" s="1"/>
  <c r="R48" i="16"/>
  <c r="O48" i="16"/>
  <c r="L48" i="16"/>
  <c r="H48" i="16"/>
  <c r="E48" i="16" s="1"/>
  <c r="D48" i="16"/>
  <c r="R47" i="16"/>
  <c r="O47" i="16"/>
  <c r="L47" i="16"/>
  <c r="I47" i="16"/>
  <c r="F47" i="16" s="1"/>
  <c r="E47" i="16"/>
  <c r="D47" i="16"/>
  <c r="R46" i="16"/>
  <c r="O46" i="16"/>
  <c r="L46" i="16"/>
  <c r="I46" i="16"/>
  <c r="E46" i="16"/>
  <c r="D46" i="16"/>
  <c r="R45" i="16"/>
  <c r="O45" i="16"/>
  <c r="L45" i="16"/>
  <c r="I45" i="16"/>
  <c r="E45" i="16"/>
  <c r="D45" i="16"/>
  <c r="R44" i="16"/>
  <c r="O44" i="16"/>
  <c r="L44" i="16"/>
  <c r="I44" i="16"/>
  <c r="F44" i="16" s="1"/>
  <c r="E44" i="16"/>
  <c r="D44" i="16"/>
  <c r="R43" i="16"/>
  <c r="O43" i="16"/>
  <c r="L43" i="16"/>
  <c r="I43" i="16"/>
  <c r="E43" i="16"/>
  <c r="D43" i="16"/>
  <c r="R42" i="16"/>
  <c r="O42" i="16"/>
  <c r="L42" i="16"/>
  <c r="I42" i="16"/>
  <c r="E42" i="16"/>
  <c r="D42" i="16"/>
  <c r="R41" i="16"/>
  <c r="O41" i="16"/>
  <c r="L41" i="16"/>
  <c r="I41" i="16"/>
  <c r="E41" i="16"/>
  <c r="D41" i="16"/>
  <c r="R40" i="16"/>
  <c r="R49" i="16" s="1"/>
  <c r="O40" i="16"/>
  <c r="L40" i="16"/>
  <c r="I40" i="16"/>
  <c r="F40" i="16" s="1"/>
  <c r="E40" i="16"/>
  <c r="D40" i="16"/>
  <c r="R39" i="16"/>
  <c r="Q39" i="16"/>
  <c r="P39" i="16"/>
  <c r="N39" i="16"/>
  <c r="M39" i="16"/>
  <c r="K39" i="16"/>
  <c r="J39" i="16"/>
  <c r="H39" i="16"/>
  <c r="G39" i="16"/>
  <c r="R38" i="16"/>
  <c r="O38" i="16"/>
  <c r="O39" i="16" s="1"/>
  <c r="L38" i="16"/>
  <c r="L39" i="16" s="1"/>
  <c r="I38" i="16"/>
  <c r="I39" i="16" s="1"/>
  <c r="E38" i="16"/>
  <c r="D38" i="16"/>
  <c r="R37" i="16"/>
  <c r="O37" i="16"/>
  <c r="L37" i="16"/>
  <c r="I37" i="16"/>
  <c r="F37" i="16" s="1"/>
  <c r="E37" i="16"/>
  <c r="D37" i="16"/>
  <c r="D39" i="16" s="1"/>
  <c r="Q36" i="16"/>
  <c r="P36" i="16"/>
  <c r="N36" i="16"/>
  <c r="M36" i="16"/>
  <c r="K36" i="16"/>
  <c r="J36" i="16"/>
  <c r="H36" i="16"/>
  <c r="G36" i="16"/>
  <c r="R35" i="16"/>
  <c r="O35" i="16"/>
  <c r="L35" i="16"/>
  <c r="I35" i="16"/>
  <c r="F35" i="16"/>
  <c r="E35" i="16"/>
  <c r="D35" i="16"/>
  <c r="R34" i="16"/>
  <c r="O34" i="16"/>
  <c r="F34" i="16" s="1"/>
  <c r="L34" i="16"/>
  <c r="I34" i="16"/>
  <c r="E34" i="16"/>
  <c r="D34" i="16"/>
  <c r="R33" i="16"/>
  <c r="O33" i="16"/>
  <c r="L33" i="16"/>
  <c r="L36" i="16" s="1"/>
  <c r="I33" i="16"/>
  <c r="I36" i="16" s="1"/>
  <c r="E33" i="16"/>
  <c r="E36" i="16" s="1"/>
  <c r="D33" i="16"/>
  <c r="R31" i="16"/>
  <c r="O31" i="16"/>
  <c r="L31" i="16"/>
  <c r="I31" i="16"/>
  <c r="E31" i="16"/>
  <c r="D31" i="16"/>
  <c r="R30" i="16"/>
  <c r="O30" i="16"/>
  <c r="L30" i="16"/>
  <c r="I30" i="16"/>
  <c r="F30" i="16" s="1"/>
  <c r="E30" i="16"/>
  <c r="D30" i="16"/>
  <c r="R29" i="16"/>
  <c r="O29" i="16"/>
  <c r="L29" i="16"/>
  <c r="I29" i="16"/>
  <c r="E29" i="16"/>
  <c r="D29" i="16"/>
  <c r="R28" i="16"/>
  <c r="O28" i="16"/>
  <c r="O26" i="16" s="1"/>
  <c r="L28" i="16"/>
  <c r="I28" i="16"/>
  <c r="E28" i="16"/>
  <c r="D28" i="16"/>
  <c r="R27" i="16"/>
  <c r="O27" i="16"/>
  <c r="L27" i="16"/>
  <c r="I27" i="16"/>
  <c r="F27" i="16" s="1"/>
  <c r="H27" i="16"/>
  <c r="E27" i="16"/>
  <c r="D27" i="16"/>
  <c r="Q26" i="16"/>
  <c r="P26" i="16"/>
  <c r="N26" i="16"/>
  <c r="M26" i="16"/>
  <c r="K26" i="16"/>
  <c r="J26" i="16"/>
  <c r="H26" i="16"/>
  <c r="G26" i="16"/>
  <c r="N24" i="16"/>
  <c r="K24" i="16"/>
  <c r="J24" i="16"/>
  <c r="G24" i="16"/>
  <c r="Q23" i="16"/>
  <c r="Q24" i="16" s="1"/>
  <c r="P23" i="16"/>
  <c r="P24" i="16" s="1"/>
  <c r="N23" i="16"/>
  <c r="K23" i="16"/>
  <c r="J23" i="16"/>
  <c r="H23" i="16"/>
  <c r="G23" i="16"/>
  <c r="D23" i="16"/>
  <c r="R22" i="16"/>
  <c r="O22" i="16"/>
  <c r="L22" i="16"/>
  <c r="L23" i="16" s="1"/>
  <c r="L24" i="16" s="1"/>
  <c r="I22" i="16"/>
  <c r="E22" i="16"/>
  <c r="D22" i="16"/>
  <c r="R21" i="16"/>
  <c r="F21" i="16" s="1"/>
  <c r="O21" i="16"/>
  <c r="L21" i="16"/>
  <c r="I21" i="16"/>
  <c r="E21" i="16"/>
  <c r="D21" i="16"/>
  <c r="R20" i="16"/>
  <c r="O20" i="16"/>
  <c r="O23" i="16" s="1"/>
  <c r="L20" i="16"/>
  <c r="I20" i="16"/>
  <c r="E20" i="16"/>
  <c r="D20" i="16"/>
  <c r="Q19" i="16"/>
  <c r="P19" i="16"/>
  <c r="R19" i="16" s="1"/>
  <c r="N19" i="16"/>
  <c r="M19" i="16"/>
  <c r="M24" i="16" s="1"/>
  <c r="L19" i="16"/>
  <c r="K19" i="16"/>
  <c r="J19" i="16"/>
  <c r="G19" i="16"/>
  <c r="R18" i="16"/>
  <c r="O18" i="16"/>
  <c r="L18" i="16"/>
  <c r="I18" i="16"/>
  <c r="F18" i="16" s="1"/>
  <c r="E18" i="16"/>
  <c r="D18" i="16"/>
  <c r="R17" i="16"/>
  <c r="O17" i="16"/>
  <c r="L17" i="16"/>
  <c r="H17" i="16"/>
  <c r="E17" i="16" s="1"/>
  <c r="D17" i="16"/>
  <c r="R16" i="16"/>
  <c r="O16" i="16"/>
  <c r="L16" i="16"/>
  <c r="I16" i="16"/>
  <c r="F16" i="16"/>
  <c r="E16" i="16"/>
  <c r="D16" i="16"/>
  <c r="R15" i="16"/>
  <c r="O15" i="16"/>
  <c r="F15" i="16" s="1"/>
  <c r="L15" i="16"/>
  <c r="I15" i="16"/>
  <c r="E15" i="16"/>
  <c r="D15" i="16"/>
  <c r="R14" i="16"/>
  <c r="O14" i="16"/>
  <c r="L14" i="16"/>
  <c r="I14" i="16"/>
  <c r="F14" i="16" s="1"/>
  <c r="E14" i="16"/>
  <c r="D14" i="16"/>
  <c r="R13" i="16"/>
  <c r="O13" i="16"/>
  <c r="L13" i="16"/>
  <c r="I13" i="16"/>
  <c r="E13" i="16"/>
  <c r="D13" i="16"/>
  <c r="R12" i="16"/>
  <c r="O12" i="16"/>
  <c r="L12" i="16"/>
  <c r="I12" i="16"/>
  <c r="F12" i="16" s="1"/>
  <c r="E12" i="16"/>
  <c r="D12" i="16"/>
  <c r="R11" i="16"/>
  <c r="O11" i="16"/>
  <c r="L11" i="16"/>
  <c r="I11" i="16"/>
  <c r="E11" i="16"/>
  <c r="D11" i="16"/>
  <c r="R10" i="16"/>
  <c r="O10" i="16"/>
  <c r="L10" i="16"/>
  <c r="I10" i="16"/>
  <c r="E10" i="16"/>
  <c r="D10" i="16"/>
  <c r="R9" i="16"/>
  <c r="O9" i="16"/>
  <c r="L9" i="16"/>
  <c r="I9" i="16"/>
  <c r="E9" i="16"/>
  <c r="D9" i="16"/>
  <c r="R8" i="16"/>
  <c r="O8" i="16"/>
  <c r="L8" i="16"/>
  <c r="I8" i="16"/>
  <c r="F8" i="16" s="1"/>
  <c r="E8" i="16"/>
  <c r="D8" i="16"/>
  <c r="R7" i="16"/>
  <c r="O7" i="16"/>
  <c r="L7" i="16"/>
  <c r="I7" i="16"/>
  <c r="E7" i="16"/>
  <c r="D7" i="16"/>
  <c r="R6" i="16"/>
  <c r="O6" i="16"/>
  <c r="L6" i="16"/>
  <c r="I6" i="16"/>
  <c r="E6" i="16"/>
  <c r="D6" i="16"/>
  <c r="R5" i="16"/>
  <c r="O5" i="16"/>
  <c r="L5" i="16"/>
  <c r="I5" i="16"/>
  <c r="F5" i="16" s="1"/>
  <c r="H5" i="16"/>
  <c r="E5" i="16"/>
  <c r="D5" i="16"/>
  <c r="D19" i="12" l="1"/>
  <c r="O19" i="12"/>
  <c r="F13" i="12"/>
  <c r="F15" i="12"/>
  <c r="O23" i="12"/>
  <c r="F30" i="12"/>
  <c r="I37" i="12"/>
  <c r="U37" i="12"/>
  <c r="O50" i="12"/>
  <c r="F47" i="12"/>
  <c r="F49" i="12"/>
  <c r="F56" i="12"/>
  <c r="F58" i="12"/>
  <c r="E19" i="12"/>
  <c r="U19" i="12"/>
  <c r="F6" i="12"/>
  <c r="F19" i="12" s="1"/>
  <c r="L23" i="12"/>
  <c r="F22" i="12"/>
  <c r="O26" i="12"/>
  <c r="L37" i="12"/>
  <c r="E40" i="12"/>
  <c r="E50" i="12"/>
  <c r="U50" i="12"/>
  <c r="F55" i="12"/>
  <c r="F7" i="12"/>
  <c r="F10" i="12"/>
  <c r="F16" i="12"/>
  <c r="F21" i="12"/>
  <c r="D24" i="12"/>
  <c r="F28" i="12"/>
  <c r="I50" i="12"/>
  <c r="I60" i="12" s="1"/>
  <c r="F44" i="12"/>
  <c r="E59" i="12"/>
  <c r="F10" i="16"/>
  <c r="F11" i="16"/>
  <c r="F22" i="16"/>
  <c r="D24" i="16"/>
  <c r="L26" i="16"/>
  <c r="R26" i="16"/>
  <c r="L49" i="16"/>
  <c r="F43" i="16"/>
  <c r="E58" i="16"/>
  <c r="F55" i="16"/>
  <c r="D19" i="16"/>
  <c r="F9" i="16"/>
  <c r="E23" i="16"/>
  <c r="R23" i="16"/>
  <c r="R24" i="16" s="1"/>
  <c r="D26" i="16"/>
  <c r="F31" i="16"/>
  <c r="D36" i="16"/>
  <c r="E39" i="16"/>
  <c r="D49" i="16"/>
  <c r="F41" i="16"/>
  <c r="O49" i="16"/>
  <c r="F45" i="16"/>
  <c r="F46" i="16"/>
  <c r="E52" i="16"/>
  <c r="R58" i="16"/>
  <c r="E19" i="16"/>
  <c r="F6" i="16"/>
  <c r="F7" i="16"/>
  <c r="F13" i="16"/>
  <c r="E26" i="16"/>
  <c r="F28" i="16"/>
  <c r="F29" i="16"/>
  <c r="F26" i="16" s="1"/>
  <c r="R36" i="16"/>
  <c r="F56" i="16"/>
  <c r="F57" i="16"/>
  <c r="S59" i="12"/>
  <c r="S60" i="12" s="1"/>
  <c r="U54" i="12"/>
  <c r="U59" i="12" s="1"/>
  <c r="E60" i="12"/>
  <c r="F23" i="12"/>
  <c r="U24" i="12"/>
  <c r="G86" i="12"/>
  <c r="K86" i="12"/>
  <c r="S86" i="12"/>
  <c r="O24" i="12"/>
  <c r="E24" i="12"/>
  <c r="M59" i="12"/>
  <c r="M60" i="12" s="1"/>
  <c r="O54" i="12"/>
  <c r="O59" i="12" s="1"/>
  <c r="O60" i="12" s="1"/>
  <c r="H86" i="12"/>
  <c r="P86" i="12"/>
  <c r="J59" i="12"/>
  <c r="D54" i="12"/>
  <c r="L54" i="12"/>
  <c r="R86" i="12"/>
  <c r="M86" i="12"/>
  <c r="Q86" i="12"/>
  <c r="L19" i="12"/>
  <c r="L24" i="12" s="1"/>
  <c r="L65" i="12"/>
  <c r="I19" i="12"/>
  <c r="N26" i="12"/>
  <c r="E26" i="12" s="1"/>
  <c r="I27" i="12"/>
  <c r="F34" i="12"/>
  <c r="F37" i="12" s="1"/>
  <c r="F38" i="12"/>
  <c r="F40" i="12" s="1"/>
  <c r="F41" i="12"/>
  <c r="F50" i="12" s="1"/>
  <c r="I23" i="12"/>
  <c r="I24" i="12" s="1"/>
  <c r="E27" i="12"/>
  <c r="D50" i="12"/>
  <c r="F51" i="12"/>
  <c r="F53" i="12" s="1"/>
  <c r="T26" i="12"/>
  <c r="T86" i="12" s="1"/>
  <c r="G58" i="16"/>
  <c r="G59" i="16" s="1"/>
  <c r="G85" i="16" s="1"/>
  <c r="I53" i="16"/>
  <c r="D53" i="16"/>
  <c r="D58" i="16" s="1"/>
  <c r="D59" i="16" s="1"/>
  <c r="L53" i="16"/>
  <c r="L58" i="16" s="1"/>
  <c r="L59" i="16" s="1"/>
  <c r="L85" i="16" s="1"/>
  <c r="J58" i="16"/>
  <c r="J59" i="16" s="1"/>
  <c r="P85" i="16"/>
  <c r="R59" i="16"/>
  <c r="R85" i="16" s="1"/>
  <c r="F75" i="16"/>
  <c r="M85" i="16"/>
  <c r="Q85" i="16"/>
  <c r="F39" i="16"/>
  <c r="E49" i="16"/>
  <c r="J85" i="16"/>
  <c r="N85" i="16"/>
  <c r="H19" i="16"/>
  <c r="I19" i="16" s="1"/>
  <c r="O36" i="16"/>
  <c r="I17" i="16"/>
  <c r="F17" i="16" s="1"/>
  <c r="F19" i="16" s="1"/>
  <c r="F20" i="16"/>
  <c r="F23" i="16" s="1"/>
  <c r="I23" i="16"/>
  <c r="F38" i="16"/>
  <c r="F42" i="16"/>
  <c r="F49" i="16" s="1"/>
  <c r="I48" i="16"/>
  <c r="F48" i="16" s="1"/>
  <c r="H49" i="16"/>
  <c r="H59" i="16" s="1"/>
  <c r="O58" i="16"/>
  <c r="O59" i="16" s="1"/>
  <c r="I75" i="16"/>
  <c r="I26" i="16"/>
  <c r="F33" i="16"/>
  <c r="F36" i="16" s="1"/>
  <c r="I49" i="16"/>
  <c r="O19" i="16"/>
  <c r="O24" i="16" s="1"/>
  <c r="E86" i="12" l="1"/>
  <c r="O86" i="12"/>
  <c r="U60" i="12"/>
  <c r="U86" i="12" s="1"/>
  <c r="F24" i="12"/>
  <c r="E59" i="16"/>
  <c r="E85" i="16" s="1"/>
  <c r="D85" i="16"/>
  <c r="E24" i="16"/>
  <c r="F27" i="12"/>
  <c r="I26" i="12"/>
  <c r="N86" i="12"/>
  <c r="J60" i="12"/>
  <c r="D59" i="12"/>
  <c r="L59" i="12"/>
  <c r="L60" i="12" s="1"/>
  <c r="L86" i="12" s="1"/>
  <c r="F54" i="12"/>
  <c r="F59" i="12" s="1"/>
  <c r="F60" i="12" s="1"/>
  <c r="O85" i="16"/>
  <c r="H24" i="16"/>
  <c r="I24" i="16" s="1"/>
  <c r="I58" i="16"/>
  <c r="I59" i="16" s="1"/>
  <c r="F53" i="16"/>
  <c r="F58" i="16" s="1"/>
  <c r="F59" i="16" s="1"/>
  <c r="F24" i="16"/>
  <c r="I85" i="16" l="1"/>
  <c r="F26" i="12"/>
  <c r="F86" i="12" s="1"/>
  <c r="I86" i="12"/>
  <c r="D60" i="12"/>
  <c r="D86" i="12" s="1"/>
  <c r="J86" i="12"/>
  <c r="H85" i="16"/>
  <c r="F85" i="16"/>
  <c r="E4" i="8" l="1"/>
  <c r="E7" i="8"/>
  <c r="D32" i="17" s="1"/>
  <c r="H5" i="18" s="1"/>
  <c r="E16" i="8"/>
  <c r="F16" i="8"/>
  <c r="E21" i="8"/>
  <c r="F21" i="8"/>
  <c r="E23" i="8"/>
  <c r="F23" i="8"/>
  <c r="E39" i="17" s="1"/>
  <c r="E25" i="8"/>
  <c r="F25" i="8"/>
  <c r="E29" i="8"/>
  <c r="F3" i="8"/>
  <c r="K23" i="8"/>
  <c r="L23" i="8"/>
  <c r="K21" i="8"/>
  <c r="L21" i="8"/>
  <c r="K13" i="8"/>
  <c r="L13" i="8"/>
  <c r="K12" i="8"/>
  <c r="L12" i="8"/>
  <c r="L10" i="8"/>
  <c r="K10" i="8"/>
  <c r="L9" i="8"/>
  <c r="K9" i="8"/>
  <c r="J10" i="8"/>
  <c r="J11" i="8"/>
  <c r="J12" i="8"/>
  <c r="J13" i="8"/>
  <c r="D42" i="17"/>
  <c r="C42" i="17"/>
  <c r="G25" i="18" s="1"/>
  <c r="D39" i="17"/>
  <c r="D34" i="17"/>
  <c r="E34" i="17"/>
  <c r="D22" i="17"/>
  <c r="D21" i="17"/>
  <c r="E21" i="17"/>
  <c r="D18" i="17"/>
  <c r="E18" i="17"/>
  <c r="E17" i="17"/>
  <c r="D17" i="17"/>
  <c r="D12" i="17"/>
  <c r="E12" i="17"/>
  <c r="D11" i="17"/>
  <c r="E11" i="17"/>
  <c r="E8" i="17" s="1"/>
  <c r="D10" i="17"/>
  <c r="E10" i="17"/>
  <c r="D9" i="17"/>
  <c r="E9" i="17"/>
  <c r="D7" i="17"/>
  <c r="D11" i="9"/>
  <c r="D23" i="9" s="1"/>
  <c r="E11" i="9"/>
  <c r="D43" i="9"/>
  <c r="D52" i="9"/>
  <c r="D69" i="9"/>
  <c r="E69" i="9"/>
  <c r="D65" i="9"/>
  <c r="E65" i="9"/>
  <c r="AG7" i="7"/>
  <c r="AG8" i="7"/>
  <c r="AG10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I15" i="18" s="1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95" i="7"/>
  <c r="AG96" i="7"/>
  <c r="AG97" i="7"/>
  <c r="AG100" i="7"/>
  <c r="AG101" i="7"/>
  <c r="AG102" i="7"/>
  <c r="AG103" i="7"/>
  <c r="AG104" i="7"/>
  <c r="AG105" i="7"/>
  <c r="AG106" i="7"/>
  <c r="AG6" i="7"/>
  <c r="AD7" i="7"/>
  <c r="AD8" i="7"/>
  <c r="AD10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5" i="7"/>
  <c r="AD86" i="7"/>
  <c r="AD87" i="7"/>
  <c r="AD88" i="7"/>
  <c r="AD89" i="7"/>
  <c r="AD90" i="7"/>
  <c r="AD91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8" i="7"/>
  <c r="AA10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5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100" i="7"/>
  <c r="AA101" i="7"/>
  <c r="AA102" i="7"/>
  <c r="AA103" i="7"/>
  <c r="AA104" i="7"/>
  <c r="AA105" i="7"/>
  <c r="AA106" i="7"/>
  <c r="AA107" i="7"/>
  <c r="AA6" i="7"/>
  <c r="X7" i="7"/>
  <c r="X8" i="7"/>
  <c r="X10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5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100" i="7"/>
  <c r="X101" i="7"/>
  <c r="X102" i="7"/>
  <c r="X103" i="7"/>
  <c r="X104" i="7"/>
  <c r="X105" i="7"/>
  <c r="X106" i="7"/>
  <c r="X107" i="7"/>
  <c r="X6" i="7"/>
  <c r="O7" i="7"/>
  <c r="O8" i="7"/>
  <c r="O10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100" i="7"/>
  <c r="O101" i="7"/>
  <c r="O102" i="7"/>
  <c r="O103" i="7"/>
  <c r="O104" i="7"/>
  <c r="O105" i="7"/>
  <c r="O106" i="7"/>
  <c r="O107" i="7"/>
  <c r="O6" i="7"/>
  <c r="L7" i="7"/>
  <c r="L8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100" i="7"/>
  <c r="L101" i="7"/>
  <c r="L102" i="7"/>
  <c r="L103" i="7"/>
  <c r="L104" i="7"/>
  <c r="L105" i="7"/>
  <c r="L106" i="7"/>
  <c r="L107" i="7"/>
  <c r="L6" i="7"/>
  <c r="I7" i="7"/>
  <c r="I8" i="7"/>
  <c r="F8" i="7" s="1"/>
  <c r="I10" i="7"/>
  <c r="I12" i="7"/>
  <c r="I13" i="7"/>
  <c r="I14" i="7"/>
  <c r="F14" i="7" s="1"/>
  <c r="I15" i="7"/>
  <c r="I16" i="7"/>
  <c r="I17" i="7"/>
  <c r="I18" i="7"/>
  <c r="F18" i="7" s="1"/>
  <c r="I19" i="7"/>
  <c r="I20" i="7"/>
  <c r="I21" i="7"/>
  <c r="I22" i="7"/>
  <c r="F22" i="7" s="1"/>
  <c r="I23" i="7"/>
  <c r="I24" i="7"/>
  <c r="I25" i="7"/>
  <c r="I26" i="7"/>
  <c r="F26" i="7" s="1"/>
  <c r="I27" i="7"/>
  <c r="I28" i="7"/>
  <c r="I29" i="7"/>
  <c r="I30" i="7"/>
  <c r="F30" i="7" s="1"/>
  <c r="I31" i="7"/>
  <c r="I32" i="7"/>
  <c r="I33" i="7"/>
  <c r="I34" i="7"/>
  <c r="F34" i="7" s="1"/>
  <c r="I35" i="7"/>
  <c r="I36" i="7"/>
  <c r="I38" i="7"/>
  <c r="I39" i="7"/>
  <c r="F39" i="7" s="1"/>
  <c r="I40" i="7"/>
  <c r="I41" i="7"/>
  <c r="I42" i="7"/>
  <c r="I43" i="7"/>
  <c r="F43" i="7" s="1"/>
  <c r="I44" i="7"/>
  <c r="I45" i="7"/>
  <c r="I46" i="7"/>
  <c r="I47" i="7"/>
  <c r="F47" i="7" s="1"/>
  <c r="I48" i="7"/>
  <c r="I49" i="7"/>
  <c r="I50" i="7"/>
  <c r="I51" i="7"/>
  <c r="F51" i="7" s="1"/>
  <c r="I52" i="7"/>
  <c r="I53" i="7"/>
  <c r="I54" i="7"/>
  <c r="I55" i="7"/>
  <c r="F55" i="7" s="1"/>
  <c r="I56" i="7"/>
  <c r="I57" i="7"/>
  <c r="I58" i="7"/>
  <c r="I59" i="7"/>
  <c r="F59" i="7" s="1"/>
  <c r="I60" i="7"/>
  <c r="I61" i="7"/>
  <c r="I62" i="7"/>
  <c r="I63" i="7"/>
  <c r="I64" i="7"/>
  <c r="I65" i="7"/>
  <c r="I66" i="7"/>
  <c r="I67" i="7"/>
  <c r="F67" i="7" s="1"/>
  <c r="I68" i="7"/>
  <c r="I69" i="7"/>
  <c r="I70" i="7"/>
  <c r="I71" i="7"/>
  <c r="F71" i="7" s="1"/>
  <c r="I73" i="7"/>
  <c r="I74" i="7"/>
  <c r="I75" i="7"/>
  <c r="I77" i="7"/>
  <c r="F77" i="7" s="1"/>
  <c r="I78" i="7"/>
  <c r="I79" i="7"/>
  <c r="I80" i="7"/>
  <c r="I81" i="7"/>
  <c r="F81" i="7" s="1"/>
  <c r="I82" i="7"/>
  <c r="I83" i="7"/>
  <c r="I84" i="7"/>
  <c r="I85" i="7"/>
  <c r="F85" i="7" s="1"/>
  <c r="I86" i="7"/>
  <c r="I87" i="7"/>
  <c r="I88" i="7"/>
  <c r="I89" i="7"/>
  <c r="F89" i="7" s="1"/>
  <c r="I90" i="7"/>
  <c r="I91" i="7"/>
  <c r="I92" i="7"/>
  <c r="I93" i="7"/>
  <c r="F93" i="7" s="1"/>
  <c r="I94" i="7"/>
  <c r="I95" i="7"/>
  <c r="I96" i="7"/>
  <c r="I97" i="7"/>
  <c r="F97" i="7" s="1"/>
  <c r="I98" i="7"/>
  <c r="I100" i="7"/>
  <c r="I101" i="7"/>
  <c r="I102" i="7"/>
  <c r="F102" i="7" s="1"/>
  <c r="I103" i="7"/>
  <c r="I104" i="7"/>
  <c r="I105" i="7"/>
  <c r="I106" i="7"/>
  <c r="F106" i="7" s="1"/>
  <c r="I107" i="7"/>
  <c r="I6" i="7"/>
  <c r="G39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4" i="40"/>
  <c r="H39" i="40" s="1"/>
  <c r="D9" i="40"/>
  <c r="D39" i="40" s="1"/>
  <c r="E9" i="40"/>
  <c r="E39" i="40"/>
  <c r="E18" i="37"/>
  <c r="E12" i="37"/>
  <c r="E13" i="37"/>
  <c r="E14" i="37"/>
  <c r="E15" i="37"/>
  <c r="E16" i="37"/>
  <c r="E17" i="37"/>
  <c r="E11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F41" i="6" s="1"/>
  <c r="L42" i="6"/>
  <c r="L43" i="6"/>
  <c r="L44" i="6"/>
  <c r="L37" i="6"/>
  <c r="L30" i="6"/>
  <c r="L31" i="6"/>
  <c r="L32" i="6"/>
  <c r="F32" i="6" s="1"/>
  <c r="L33" i="6"/>
  <c r="L29" i="6"/>
  <c r="L27" i="6"/>
  <c r="L26" i="6"/>
  <c r="L19" i="6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I31" i="6"/>
  <c r="I32" i="6"/>
  <c r="I33" i="6"/>
  <c r="I29" i="6"/>
  <c r="I27" i="6"/>
  <c r="I26" i="6"/>
  <c r="I19" i="6"/>
  <c r="I20" i="6"/>
  <c r="I21" i="6"/>
  <c r="I22" i="6"/>
  <c r="I23" i="6"/>
  <c r="I24" i="6"/>
  <c r="I18" i="6"/>
  <c r="I16" i="6"/>
  <c r="I15" i="6"/>
  <c r="I12" i="6"/>
  <c r="I13" i="6"/>
  <c r="I11" i="6"/>
  <c r="O9" i="6"/>
  <c r="L9" i="6"/>
  <c r="I9" i="6"/>
  <c r="N7" i="6"/>
  <c r="O7" i="6"/>
  <c r="O6" i="6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E34" i="6"/>
  <c r="D30" i="6"/>
  <c r="E30" i="6"/>
  <c r="F30" i="6"/>
  <c r="D31" i="6"/>
  <c r="E31" i="6"/>
  <c r="F31" i="6"/>
  <c r="D32" i="6"/>
  <c r="E32" i="6"/>
  <c r="D33" i="6"/>
  <c r="E33" i="6"/>
  <c r="E29" i="6"/>
  <c r="E28" i="6"/>
  <c r="D27" i="6"/>
  <c r="E27" i="6"/>
  <c r="E26" i="6"/>
  <c r="F26" i="6"/>
  <c r="D19" i="6"/>
  <c r="E19" i="6"/>
  <c r="F19" i="6"/>
  <c r="D20" i="6"/>
  <c r="E20" i="6"/>
  <c r="F20" i="6"/>
  <c r="D21" i="6"/>
  <c r="E21" i="6"/>
  <c r="F21" i="6"/>
  <c r="D22" i="6"/>
  <c r="E22" i="6"/>
  <c r="D23" i="6"/>
  <c r="E23" i="6"/>
  <c r="F23" i="6"/>
  <c r="D24" i="6"/>
  <c r="E24" i="6"/>
  <c r="F24" i="6"/>
  <c r="E18" i="6"/>
  <c r="F18" i="6"/>
  <c r="D16" i="6"/>
  <c r="E16" i="6"/>
  <c r="F16" i="6"/>
  <c r="E15" i="6"/>
  <c r="F15" i="6"/>
  <c r="D12" i="6"/>
  <c r="E12" i="6"/>
  <c r="F12" i="6"/>
  <c r="D13" i="6"/>
  <c r="E13" i="6"/>
  <c r="F13" i="6"/>
  <c r="E11" i="6"/>
  <c r="F11" i="6"/>
  <c r="AG6" i="5"/>
  <c r="AG7" i="5"/>
  <c r="AG9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4" i="5"/>
  <c r="AG55" i="5"/>
  <c r="AG56" i="5"/>
  <c r="AG57" i="5"/>
  <c r="AG58" i="5"/>
  <c r="AG59" i="5"/>
  <c r="AG60" i="5"/>
  <c r="AG61" i="5"/>
  <c r="AG62" i="5"/>
  <c r="AG63" i="5"/>
  <c r="AG65" i="5"/>
  <c r="AG5" i="5"/>
  <c r="AD6" i="5"/>
  <c r="AD7" i="5"/>
  <c r="AD9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4" i="5"/>
  <c r="AD55" i="5"/>
  <c r="AD56" i="5"/>
  <c r="AD57" i="5"/>
  <c r="AD58" i="5"/>
  <c r="AD59" i="5"/>
  <c r="AD60" i="5"/>
  <c r="AD61" i="5"/>
  <c r="AD62" i="5"/>
  <c r="AD63" i="5"/>
  <c r="AD65" i="5"/>
  <c r="AD5" i="5"/>
  <c r="AA6" i="5"/>
  <c r="AA7" i="5"/>
  <c r="AA9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F52" i="5" s="1"/>
  <c r="AA54" i="5"/>
  <c r="AA55" i="5"/>
  <c r="AA56" i="5"/>
  <c r="AA57" i="5"/>
  <c r="AA58" i="5"/>
  <c r="AA59" i="5"/>
  <c r="AA60" i="5"/>
  <c r="AA61" i="5"/>
  <c r="AA62" i="5"/>
  <c r="AA63" i="5"/>
  <c r="AA65" i="5"/>
  <c r="AA5" i="5"/>
  <c r="X6" i="5"/>
  <c r="F6" i="5" s="1"/>
  <c r="X9" i="5"/>
  <c r="X11" i="5"/>
  <c r="X12" i="5"/>
  <c r="X13" i="5"/>
  <c r="X14" i="5"/>
  <c r="X15" i="5"/>
  <c r="F15" i="5" s="1"/>
  <c r="X16" i="5"/>
  <c r="X17" i="5"/>
  <c r="X18" i="5"/>
  <c r="X19" i="5"/>
  <c r="X20" i="5"/>
  <c r="X21" i="5"/>
  <c r="X22" i="5"/>
  <c r="X23" i="5"/>
  <c r="X24" i="5"/>
  <c r="X25" i="5"/>
  <c r="X26" i="5"/>
  <c r="X27" i="5"/>
  <c r="F27" i="5" s="1"/>
  <c r="X28" i="5"/>
  <c r="X29" i="5"/>
  <c r="X30" i="5"/>
  <c r="X31" i="5"/>
  <c r="X32" i="5"/>
  <c r="X33" i="5"/>
  <c r="X34" i="5"/>
  <c r="F34" i="5" s="1"/>
  <c r="X35" i="5"/>
  <c r="X37" i="5"/>
  <c r="X38" i="5"/>
  <c r="X39" i="5"/>
  <c r="F39" i="5" s="1"/>
  <c r="X40" i="5"/>
  <c r="X41" i="5"/>
  <c r="X42" i="5"/>
  <c r="F42" i="5" s="1"/>
  <c r="X43" i="5"/>
  <c r="X44" i="5"/>
  <c r="X45" i="5"/>
  <c r="X46" i="5"/>
  <c r="F46" i="5" s="1"/>
  <c r="X47" i="5"/>
  <c r="X48" i="5"/>
  <c r="X49" i="5"/>
  <c r="X50" i="5"/>
  <c r="X51" i="5"/>
  <c r="X52" i="5"/>
  <c r="X54" i="5"/>
  <c r="X55" i="5"/>
  <c r="X56" i="5"/>
  <c r="X57" i="5"/>
  <c r="X58" i="5"/>
  <c r="F58" i="5" s="1"/>
  <c r="X59" i="5"/>
  <c r="X60" i="5"/>
  <c r="X61" i="5"/>
  <c r="X62" i="5"/>
  <c r="X63" i="5"/>
  <c r="F63" i="5" s="1"/>
  <c r="X65" i="5"/>
  <c r="X5" i="5"/>
  <c r="U6" i="5"/>
  <c r="U7" i="5"/>
  <c r="U9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4" i="5"/>
  <c r="U55" i="5"/>
  <c r="U56" i="5"/>
  <c r="U57" i="5"/>
  <c r="U58" i="5"/>
  <c r="U59" i="5"/>
  <c r="U60" i="5"/>
  <c r="U61" i="5"/>
  <c r="U62" i="5"/>
  <c r="U63" i="5"/>
  <c r="U65" i="5"/>
  <c r="U5" i="5"/>
  <c r="R6" i="5"/>
  <c r="R7" i="5"/>
  <c r="R9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4" i="5"/>
  <c r="R55" i="5"/>
  <c r="R56" i="5"/>
  <c r="R57" i="5"/>
  <c r="R58" i="5"/>
  <c r="R59" i="5"/>
  <c r="R60" i="5"/>
  <c r="R61" i="5"/>
  <c r="R62" i="5"/>
  <c r="R63" i="5"/>
  <c r="R65" i="5"/>
  <c r="R5" i="5"/>
  <c r="O6" i="5"/>
  <c r="O7" i="5"/>
  <c r="O9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4" i="5"/>
  <c r="O55" i="5"/>
  <c r="O56" i="5"/>
  <c r="O57" i="5"/>
  <c r="O58" i="5"/>
  <c r="O59" i="5"/>
  <c r="O60" i="5"/>
  <c r="O61" i="5"/>
  <c r="O62" i="5"/>
  <c r="O63" i="5"/>
  <c r="O65" i="5"/>
  <c r="O5" i="5"/>
  <c r="L6" i="5"/>
  <c r="L7" i="5"/>
  <c r="F7" i="5" s="1"/>
  <c r="L9" i="5"/>
  <c r="L11" i="5"/>
  <c r="L12" i="5"/>
  <c r="L13" i="5"/>
  <c r="L14" i="5"/>
  <c r="F14" i="5" s="1"/>
  <c r="L15" i="5"/>
  <c r="L16" i="5"/>
  <c r="L17" i="5"/>
  <c r="L18" i="5"/>
  <c r="L19" i="5"/>
  <c r="L20" i="5"/>
  <c r="L21" i="5"/>
  <c r="L22" i="5"/>
  <c r="L23" i="5"/>
  <c r="F23" i="5" s="1"/>
  <c r="L24" i="5"/>
  <c r="L25" i="5"/>
  <c r="L26" i="5"/>
  <c r="L27" i="5"/>
  <c r="L28" i="5"/>
  <c r="L29" i="5"/>
  <c r="L30" i="5"/>
  <c r="F30" i="5" s="1"/>
  <c r="L31" i="5"/>
  <c r="L32" i="5"/>
  <c r="L33" i="5"/>
  <c r="L34" i="5"/>
  <c r="L35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4" i="5"/>
  <c r="L55" i="5"/>
  <c r="L56" i="5"/>
  <c r="L57" i="5"/>
  <c r="L58" i="5"/>
  <c r="L59" i="5"/>
  <c r="L60" i="5"/>
  <c r="L61" i="5"/>
  <c r="L62" i="5"/>
  <c r="L63" i="5"/>
  <c r="L65" i="5"/>
  <c r="L5" i="5"/>
  <c r="I6" i="5"/>
  <c r="I7" i="5"/>
  <c r="I9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4" i="5"/>
  <c r="I55" i="5"/>
  <c r="I56" i="5"/>
  <c r="I57" i="5"/>
  <c r="I58" i="5"/>
  <c r="I59" i="5"/>
  <c r="I60" i="5"/>
  <c r="I61" i="5"/>
  <c r="I62" i="5"/>
  <c r="I63" i="5"/>
  <c r="I65" i="5"/>
  <c r="I5" i="5"/>
  <c r="S65" i="5"/>
  <c r="T65" i="5"/>
  <c r="V65" i="5"/>
  <c r="S63" i="5"/>
  <c r="T63" i="5"/>
  <c r="V63" i="5"/>
  <c r="H58" i="5"/>
  <c r="E58" i="5" s="1"/>
  <c r="J58" i="5"/>
  <c r="K58" i="5"/>
  <c r="M58" i="5"/>
  <c r="N58" i="5"/>
  <c r="P58" i="5"/>
  <c r="Q58" i="5"/>
  <c r="S58" i="5"/>
  <c r="T58" i="5"/>
  <c r="V58" i="5"/>
  <c r="W58" i="5"/>
  <c r="Y58" i="5"/>
  <c r="Z58" i="5"/>
  <c r="AB58" i="5"/>
  <c r="D58" i="5" s="1"/>
  <c r="AC58" i="5"/>
  <c r="AE58" i="5"/>
  <c r="AF58" i="5"/>
  <c r="G58" i="5"/>
  <c r="S52" i="5"/>
  <c r="T52" i="5"/>
  <c r="V52" i="5"/>
  <c r="D52" i="5" s="1"/>
  <c r="W52" i="5"/>
  <c r="S34" i="5"/>
  <c r="T34" i="5"/>
  <c r="T35" i="5" s="1"/>
  <c r="S35" i="5"/>
  <c r="S28" i="5"/>
  <c r="T28" i="5"/>
  <c r="V28" i="5"/>
  <c r="D28" i="5" s="1"/>
  <c r="W28" i="5"/>
  <c r="S25" i="5"/>
  <c r="T25" i="5"/>
  <c r="V25" i="5"/>
  <c r="D25" i="5" s="1"/>
  <c r="W25" i="5"/>
  <c r="S17" i="5"/>
  <c r="T17" i="5"/>
  <c r="V17" i="5"/>
  <c r="D17" i="5" s="1"/>
  <c r="S14" i="5"/>
  <c r="D14" i="5" s="1"/>
  <c r="T14" i="5"/>
  <c r="V14" i="5"/>
  <c r="X6" i="41"/>
  <c r="X7" i="41"/>
  <c r="X9" i="41"/>
  <c r="F9" i="41" s="1"/>
  <c r="X11" i="41"/>
  <c r="X12" i="41"/>
  <c r="X13" i="41"/>
  <c r="F13" i="41" s="1"/>
  <c r="X14" i="41"/>
  <c r="X15" i="41"/>
  <c r="X16" i="41"/>
  <c r="X17" i="41"/>
  <c r="F17" i="41" s="1"/>
  <c r="X18" i="41"/>
  <c r="X19" i="41"/>
  <c r="X20" i="41"/>
  <c r="X21" i="41"/>
  <c r="F21" i="41" s="1"/>
  <c r="X22" i="41"/>
  <c r="X23" i="41"/>
  <c r="X24" i="41"/>
  <c r="X25" i="41"/>
  <c r="X26" i="41"/>
  <c r="X27" i="41"/>
  <c r="X28" i="41"/>
  <c r="X29" i="41"/>
  <c r="F29" i="41" s="1"/>
  <c r="X30" i="41"/>
  <c r="X31" i="41"/>
  <c r="X32" i="41"/>
  <c r="X33" i="41"/>
  <c r="F33" i="41" s="1"/>
  <c r="X34" i="41"/>
  <c r="X35" i="41"/>
  <c r="X38" i="41"/>
  <c r="X39" i="41"/>
  <c r="X40" i="41"/>
  <c r="X41" i="41"/>
  <c r="F41" i="41" s="1"/>
  <c r="X42" i="41"/>
  <c r="X43" i="41"/>
  <c r="X44" i="41"/>
  <c r="X46" i="41"/>
  <c r="X47" i="41"/>
  <c r="X48" i="41"/>
  <c r="X49" i="41"/>
  <c r="F49" i="41" s="1"/>
  <c r="X50" i="41"/>
  <c r="X51" i="41"/>
  <c r="X52" i="41"/>
  <c r="X53" i="41"/>
  <c r="F53" i="41" s="1"/>
  <c r="X55" i="41"/>
  <c r="X56" i="41"/>
  <c r="X57" i="41"/>
  <c r="F57" i="41" s="1"/>
  <c r="X58" i="41"/>
  <c r="X59" i="41"/>
  <c r="X61" i="41"/>
  <c r="F61" i="41" s="1"/>
  <c r="X62" i="41"/>
  <c r="X63" i="41"/>
  <c r="X64" i="41"/>
  <c r="X66" i="41"/>
  <c r="X68" i="41"/>
  <c r="X5" i="41"/>
  <c r="F5" i="41" s="1"/>
  <c r="D6" i="41"/>
  <c r="E6" i="41"/>
  <c r="F6" i="41"/>
  <c r="D7" i="41"/>
  <c r="E7" i="41"/>
  <c r="D9" i="41"/>
  <c r="E9" i="41"/>
  <c r="D11" i="41"/>
  <c r="E11" i="41"/>
  <c r="F11" i="41"/>
  <c r="D12" i="41"/>
  <c r="E12" i="41"/>
  <c r="F12" i="41"/>
  <c r="D13" i="41"/>
  <c r="E13" i="41"/>
  <c r="D14" i="41"/>
  <c r="E14" i="41"/>
  <c r="F14" i="41"/>
  <c r="D15" i="41"/>
  <c r="E15" i="41"/>
  <c r="F15" i="41"/>
  <c r="D16" i="41"/>
  <c r="E16" i="41"/>
  <c r="F16" i="41"/>
  <c r="D17" i="41"/>
  <c r="E17" i="41"/>
  <c r="D18" i="41"/>
  <c r="E18" i="41"/>
  <c r="F18" i="41"/>
  <c r="D19" i="41"/>
  <c r="E19" i="41"/>
  <c r="F19" i="41"/>
  <c r="D20" i="41"/>
  <c r="E20" i="41"/>
  <c r="F20" i="41"/>
  <c r="D21" i="41"/>
  <c r="E21" i="41"/>
  <c r="D22" i="41"/>
  <c r="E22" i="41"/>
  <c r="F22" i="41"/>
  <c r="D23" i="41"/>
  <c r="E23" i="41"/>
  <c r="F23" i="41"/>
  <c r="D24" i="41"/>
  <c r="E24" i="41"/>
  <c r="D25" i="41"/>
  <c r="D26" i="41"/>
  <c r="E26" i="41"/>
  <c r="F26" i="41"/>
  <c r="D27" i="41"/>
  <c r="E27" i="41"/>
  <c r="F27" i="41"/>
  <c r="D28" i="41"/>
  <c r="E28" i="41"/>
  <c r="F28" i="41"/>
  <c r="D29" i="41"/>
  <c r="E29" i="41"/>
  <c r="D30" i="41"/>
  <c r="E30" i="41"/>
  <c r="F30" i="41"/>
  <c r="D31" i="41"/>
  <c r="E31" i="41"/>
  <c r="F31" i="41"/>
  <c r="D32" i="41"/>
  <c r="E32" i="41"/>
  <c r="F32" i="41"/>
  <c r="D33" i="41"/>
  <c r="E33" i="41"/>
  <c r="D34" i="41"/>
  <c r="E34" i="41"/>
  <c r="F34" i="41"/>
  <c r="D35" i="41"/>
  <c r="D38" i="41"/>
  <c r="E38" i="41"/>
  <c r="F38" i="41"/>
  <c r="D39" i="41"/>
  <c r="E39" i="41"/>
  <c r="F39" i="41"/>
  <c r="D40" i="41"/>
  <c r="E40" i="41"/>
  <c r="F40" i="41"/>
  <c r="D41" i="41"/>
  <c r="E41" i="41"/>
  <c r="D42" i="41"/>
  <c r="E42" i="41"/>
  <c r="F42" i="41"/>
  <c r="D43" i="41"/>
  <c r="E43" i="41"/>
  <c r="F43" i="41"/>
  <c r="D44" i="41"/>
  <c r="E44" i="41"/>
  <c r="F44" i="41"/>
  <c r="D46" i="41"/>
  <c r="E46" i="41"/>
  <c r="F46" i="41"/>
  <c r="D47" i="41"/>
  <c r="E47" i="41"/>
  <c r="F47" i="41"/>
  <c r="D48" i="41"/>
  <c r="E48" i="41"/>
  <c r="F48" i="41"/>
  <c r="D49" i="41"/>
  <c r="E49" i="41"/>
  <c r="D50" i="41"/>
  <c r="E50" i="41"/>
  <c r="F50" i="41"/>
  <c r="D51" i="41"/>
  <c r="E51" i="41"/>
  <c r="F51" i="41"/>
  <c r="D52" i="41"/>
  <c r="E52" i="41"/>
  <c r="F52" i="41"/>
  <c r="D53" i="41"/>
  <c r="E53" i="41"/>
  <c r="D55" i="41"/>
  <c r="E55" i="41"/>
  <c r="F55" i="41"/>
  <c r="D56" i="41"/>
  <c r="E56" i="41"/>
  <c r="F56" i="41"/>
  <c r="D57" i="41"/>
  <c r="E57" i="41"/>
  <c r="D58" i="41"/>
  <c r="E58" i="41"/>
  <c r="F58" i="41"/>
  <c r="D59" i="41"/>
  <c r="E59" i="41"/>
  <c r="F59" i="41"/>
  <c r="D61" i="41"/>
  <c r="E61" i="41"/>
  <c r="D62" i="41"/>
  <c r="E62" i="41"/>
  <c r="F62" i="41"/>
  <c r="D63" i="41"/>
  <c r="E63" i="41"/>
  <c r="F63" i="41"/>
  <c r="D64" i="41"/>
  <c r="E64" i="41"/>
  <c r="F64" i="41"/>
  <c r="D66" i="41"/>
  <c r="D68" i="41"/>
  <c r="E68" i="41"/>
  <c r="F68" i="41"/>
  <c r="E5" i="41"/>
  <c r="D5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F24" i="41" s="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R5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I13" i="41"/>
  <c r="I15" i="41"/>
  <c r="I16" i="41"/>
  <c r="I18" i="41"/>
  <c r="I19" i="41"/>
  <c r="I20" i="41"/>
  <c r="I21" i="41"/>
  <c r="I22" i="41"/>
  <c r="I23" i="4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I48" i="41"/>
  <c r="I49" i="41"/>
  <c r="I50" i="41"/>
  <c r="I51" i="41"/>
  <c r="I52" i="41"/>
  <c r="I55" i="41"/>
  <c r="I56" i="41"/>
  <c r="I57" i="41"/>
  <c r="I58" i="41"/>
  <c r="I59" i="41"/>
  <c r="I5" i="41"/>
  <c r="D6" i="5"/>
  <c r="E6" i="5"/>
  <c r="D7" i="5"/>
  <c r="E7" i="5"/>
  <c r="D9" i="5"/>
  <c r="E9" i="5"/>
  <c r="D11" i="5"/>
  <c r="E11" i="5"/>
  <c r="F11" i="5"/>
  <c r="D12" i="5"/>
  <c r="E12" i="5"/>
  <c r="F12" i="5"/>
  <c r="D13" i="5"/>
  <c r="E13" i="5"/>
  <c r="E14" i="5"/>
  <c r="D15" i="5"/>
  <c r="E15" i="5"/>
  <c r="D16" i="5"/>
  <c r="E16" i="5"/>
  <c r="F16" i="5"/>
  <c r="E17" i="5"/>
  <c r="D18" i="5"/>
  <c r="E18" i="5"/>
  <c r="F18" i="5"/>
  <c r="D19" i="5"/>
  <c r="E19" i="5"/>
  <c r="F19" i="5"/>
  <c r="D20" i="5"/>
  <c r="E20" i="5"/>
  <c r="D21" i="5"/>
  <c r="E21" i="5"/>
  <c r="D22" i="5"/>
  <c r="E22" i="5"/>
  <c r="F22" i="5"/>
  <c r="D23" i="5"/>
  <c r="E23" i="5"/>
  <c r="D24" i="5"/>
  <c r="E24" i="5"/>
  <c r="E25" i="5"/>
  <c r="D26" i="5"/>
  <c r="E26" i="5"/>
  <c r="F26" i="5"/>
  <c r="D27" i="5"/>
  <c r="E27" i="5"/>
  <c r="E28" i="5"/>
  <c r="F28" i="5"/>
  <c r="D29" i="5"/>
  <c r="E29" i="5"/>
  <c r="D30" i="5"/>
  <c r="E30" i="5"/>
  <c r="D31" i="5"/>
  <c r="E31" i="5"/>
  <c r="F31" i="5"/>
  <c r="D32" i="5"/>
  <c r="E32" i="5"/>
  <c r="F32" i="5"/>
  <c r="D33" i="5"/>
  <c r="E33" i="5"/>
  <c r="D34" i="5"/>
  <c r="D37" i="5"/>
  <c r="E37" i="5"/>
  <c r="D38" i="5"/>
  <c r="E38" i="5"/>
  <c r="F38" i="5"/>
  <c r="D39" i="5"/>
  <c r="E39" i="5"/>
  <c r="D40" i="5"/>
  <c r="E40" i="5"/>
  <c r="F40" i="5"/>
  <c r="D41" i="5"/>
  <c r="E41" i="5"/>
  <c r="D42" i="5"/>
  <c r="E42" i="5"/>
  <c r="D43" i="5"/>
  <c r="E43" i="5"/>
  <c r="F43" i="5"/>
  <c r="D45" i="5"/>
  <c r="E45" i="5"/>
  <c r="D46" i="5"/>
  <c r="E46" i="5"/>
  <c r="D47" i="5"/>
  <c r="E47" i="5"/>
  <c r="F47" i="5"/>
  <c r="D48" i="5"/>
  <c r="E48" i="5"/>
  <c r="D49" i="5"/>
  <c r="E49" i="5"/>
  <c r="D50" i="5"/>
  <c r="E50" i="5"/>
  <c r="F50" i="5"/>
  <c r="D51" i="5"/>
  <c r="E51" i="5"/>
  <c r="F51" i="5"/>
  <c r="E52" i="5"/>
  <c r="D54" i="5"/>
  <c r="E54" i="5"/>
  <c r="F54" i="5"/>
  <c r="D55" i="5"/>
  <c r="E55" i="5"/>
  <c r="F55" i="5"/>
  <c r="D56" i="5"/>
  <c r="E56" i="5"/>
  <c r="D57" i="5"/>
  <c r="E57" i="5"/>
  <c r="D60" i="5"/>
  <c r="E60" i="5"/>
  <c r="F60" i="5"/>
  <c r="D61" i="5"/>
  <c r="E61" i="5"/>
  <c r="D62" i="5"/>
  <c r="E62" i="5"/>
  <c r="F62" i="5"/>
  <c r="D63" i="5"/>
  <c r="E63" i="5"/>
  <c r="E5" i="5"/>
  <c r="D5" i="5"/>
  <c r="W63" i="5"/>
  <c r="Y63" i="5"/>
  <c r="Z63" i="5"/>
  <c r="AB63" i="5"/>
  <c r="AC63" i="5"/>
  <c r="AE63" i="5"/>
  <c r="P63" i="5"/>
  <c r="Q63" i="5"/>
  <c r="P52" i="5"/>
  <c r="Q52" i="5"/>
  <c r="P34" i="5"/>
  <c r="Q34" i="5"/>
  <c r="V34" i="5"/>
  <c r="Q35" i="5"/>
  <c r="P28" i="5"/>
  <c r="Q28" i="5"/>
  <c r="P25" i="5"/>
  <c r="Q25" i="5"/>
  <c r="P17" i="5"/>
  <c r="P35" i="5" s="1"/>
  <c r="Q17" i="5"/>
  <c r="F35" i="5"/>
  <c r="P14" i="5"/>
  <c r="Q14" i="5"/>
  <c r="K6" i="6"/>
  <c r="K7" i="6"/>
  <c r="J7" i="6"/>
  <c r="K5" i="6"/>
  <c r="Q29" i="41"/>
  <c r="S64" i="41"/>
  <c r="T64" i="41"/>
  <c r="S53" i="41"/>
  <c r="T53" i="41"/>
  <c r="S34" i="41"/>
  <c r="T34" i="41"/>
  <c r="S28" i="41"/>
  <c r="T28" i="41"/>
  <c r="S25" i="41"/>
  <c r="T25" i="41"/>
  <c r="S14" i="41"/>
  <c r="T14" i="41"/>
  <c r="S17" i="41"/>
  <c r="T17" i="41"/>
  <c r="U17" i="41"/>
  <c r="S7" i="41"/>
  <c r="T7" i="41"/>
  <c r="U6" i="41"/>
  <c r="U9" i="41"/>
  <c r="U11" i="41"/>
  <c r="U12" i="41"/>
  <c r="U13" i="41"/>
  <c r="U18" i="41"/>
  <c r="U19" i="41"/>
  <c r="U20" i="41"/>
  <c r="U21" i="41"/>
  <c r="U22" i="41"/>
  <c r="U23" i="41"/>
  <c r="U24" i="41"/>
  <c r="U26" i="41"/>
  <c r="U27" i="41"/>
  <c r="U29" i="41"/>
  <c r="U30" i="41"/>
  <c r="U31" i="41"/>
  <c r="U32" i="41"/>
  <c r="U33" i="41"/>
  <c r="U38" i="41"/>
  <c r="U39" i="41"/>
  <c r="U40" i="41"/>
  <c r="U41" i="41"/>
  <c r="U42" i="41"/>
  <c r="U43" i="41"/>
  <c r="U44" i="41"/>
  <c r="U46" i="41"/>
  <c r="U47" i="41"/>
  <c r="U48" i="41"/>
  <c r="U49" i="41"/>
  <c r="U50" i="41"/>
  <c r="U51" i="41"/>
  <c r="U52" i="41"/>
  <c r="U55" i="41"/>
  <c r="U56" i="41"/>
  <c r="U57" i="41"/>
  <c r="U58" i="41"/>
  <c r="U59" i="41"/>
  <c r="U61" i="41"/>
  <c r="U62" i="41"/>
  <c r="U63" i="41"/>
  <c r="U68" i="41"/>
  <c r="U5" i="41"/>
  <c r="U7" i="41" s="1"/>
  <c r="H47" i="41"/>
  <c r="F101" i="7" l="1"/>
  <c r="F92" i="7"/>
  <c r="F84" i="7"/>
  <c r="F80" i="7"/>
  <c r="F70" i="7"/>
  <c r="F62" i="7"/>
  <c r="F54" i="7"/>
  <c r="F50" i="7"/>
  <c r="F42" i="7"/>
  <c r="F33" i="7"/>
  <c r="F21" i="7"/>
  <c r="F7" i="7"/>
  <c r="AA4" i="8" s="1"/>
  <c r="F4" i="8" s="1"/>
  <c r="D53" i="17"/>
  <c r="H25" i="18"/>
  <c r="H27" i="18" s="1"/>
  <c r="F104" i="7"/>
  <c r="F100" i="7"/>
  <c r="F95" i="7"/>
  <c r="F91" i="7"/>
  <c r="F87" i="7"/>
  <c r="F83" i="7"/>
  <c r="F79" i="7"/>
  <c r="F74" i="7"/>
  <c r="F69" i="7"/>
  <c r="F65" i="7"/>
  <c r="F61" i="7"/>
  <c r="F57" i="7"/>
  <c r="F53" i="7"/>
  <c r="F49" i="7"/>
  <c r="F45" i="7"/>
  <c r="F41" i="7"/>
  <c r="F36" i="7"/>
  <c r="F32" i="7"/>
  <c r="F28" i="7"/>
  <c r="F24" i="7"/>
  <c r="F20" i="7"/>
  <c r="F16" i="7"/>
  <c r="F12" i="7"/>
  <c r="F73" i="7"/>
  <c r="I14" i="18"/>
  <c r="F64" i="7"/>
  <c r="I11" i="18"/>
  <c r="F105" i="7"/>
  <c r="F96" i="7"/>
  <c r="F88" i="7"/>
  <c r="F66" i="7"/>
  <c r="F58" i="7"/>
  <c r="F46" i="7"/>
  <c r="F38" i="7"/>
  <c r="F29" i="7"/>
  <c r="F25" i="7"/>
  <c r="F17" i="7"/>
  <c r="F13" i="7"/>
  <c r="AG107" i="7"/>
  <c r="F103" i="7"/>
  <c r="F94" i="7"/>
  <c r="F90" i="7"/>
  <c r="F86" i="7"/>
  <c r="F82" i="7"/>
  <c r="F78" i="7"/>
  <c r="F68" i="7"/>
  <c r="F60" i="7"/>
  <c r="F56" i="7"/>
  <c r="F52" i="7"/>
  <c r="F48" i="7"/>
  <c r="F44" i="7"/>
  <c r="F40" i="7"/>
  <c r="F35" i="7"/>
  <c r="F31" i="7"/>
  <c r="F27" i="7"/>
  <c r="F23" i="7"/>
  <c r="F19" i="7"/>
  <c r="F15" i="7"/>
  <c r="F10" i="7"/>
  <c r="AA7" i="8" s="1"/>
  <c r="F7" i="8" s="1"/>
  <c r="E32" i="17" s="1"/>
  <c r="D20" i="17"/>
  <c r="D52" i="17" s="1"/>
  <c r="D51" i="17" s="1"/>
  <c r="D8" i="17"/>
  <c r="D4" i="17" s="1"/>
  <c r="D54" i="9"/>
  <c r="F33" i="6"/>
  <c r="F29" i="6"/>
  <c r="F27" i="6"/>
  <c r="F22" i="6"/>
  <c r="F17" i="5"/>
  <c r="F56" i="5"/>
  <c r="F48" i="5"/>
  <c r="F24" i="5"/>
  <c r="F20" i="5"/>
  <c r="F5" i="5"/>
  <c r="F57" i="5"/>
  <c r="F49" i="5"/>
  <c r="F21" i="5"/>
  <c r="F61" i="5"/>
  <c r="F41" i="5"/>
  <c r="F37" i="5"/>
  <c r="F33" i="5"/>
  <c r="F29" i="5"/>
  <c r="F25" i="5"/>
  <c r="F13" i="5"/>
  <c r="F9" i="5"/>
  <c r="F45" i="5"/>
  <c r="E34" i="5"/>
  <c r="S35" i="41"/>
  <c r="U28" i="41"/>
  <c r="U25" i="41"/>
  <c r="U64" i="41"/>
  <c r="U34" i="41"/>
  <c r="U14" i="41"/>
  <c r="T35" i="41"/>
  <c r="T66" i="41" s="1"/>
  <c r="S66" i="41"/>
  <c r="U53" i="41"/>
  <c r="P65" i="5"/>
  <c r="V35" i="5"/>
  <c r="D35" i="5" s="1"/>
  <c r="Q65" i="5"/>
  <c r="AF63" i="7"/>
  <c r="E42" i="17" l="1"/>
  <c r="I5" i="18"/>
  <c r="B27" i="30"/>
  <c r="AF75" i="7"/>
  <c r="E63" i="7"/>
  <c r="Z19" i="8" s="1"/>
  <c r="E19" i="8" s="1"/>
  <c r="AG63" i="7"/>
  <c r="F63" i="7" s="1"/>
  <c r="AA19" i="8" s="1"/>
  <c r="F19" i="8" s="1"/>
  <c r="U35" i="41"/>
  <c r="U66" i="41" s="1"/>
  <c r="E36" i="17" l="1"/>
  <c r="B31" i="30" s="1"/>
  <c r="I10" i="18"/>
  <c r="D36" i="17"/>
  <c r="H10" i="18"/>
  <c r="E53" i="17"/>
  <c r="I25" i="18"/>
  <c r="I27" i="18" s="1"/>
  <c r="B37" i="30"/>
  <c r="E75" i="7"/>
  <c r="AG75" i="7"/>
  <c r="F75" i="7" s="1"/>
  <c r="D19" i="40"/>
  <c r="L6" i="6"/>
  <c r="L7" i="6" s="1"/>
  <c r="L5" i="6"/>
  <c r="E7" i="1"/>
  <c r="F7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1" i="1"/>
  <c r="F9" i="1"/>
  <c r="F6" i="1"/>
  <c r="F5" i="1"/>
  <c r="D9" i="9"/>
  <c r="D8" i="9"/>
  <c r="D26" i="9"/>
  <c r="D37" i="9" s="1"/>
  <c r="D75" i="9"/>
  <c r="D78" i="9" s="1"/>
  <c r="D79" i="9" s="1"/>
  <c r="D16" i="17" l="1"/>
  <c r="D15" i="17" s="1"/>
  <c r="D72" i="9"/>
  <c r="Y52" i="5"/>
  <c r="Z52" i="5"/>
  <c r="M17" i="5"/>
  <c r="N17" i="5"/>
  <c r="W17" i="5"/>
  <c r="Y17" i="5"/>
  <c r="Z17" i="5"/>
  <c r="AB17" i="5"/>
  <c r="AC17" i="5"/>
  <c r="M14" i="5"/>
  <c r="N14" i="5"/>
  <c r="W14" i="5"/>
  <c r="Y14" i="5"/>
  <c r="Z14" i="5"/>
  <c r="AB14" i="5"/>
  <c r="AC14" i="5"/>
  <c r="Y34" i="5"/>
  <c r="Z34" i="5"/>
  <c r="Y35" i="5"/>
  <c r="Y65" i="5" s="1"/>
  <c r="Y28" i="5"/>
  <c r="Z28" i="5"/>
  <c r="AB28" i="5"/>
  <c r="Y25" i="5"/>
  <c r="Z25" i="5"/>
  <c r="AB25" i="5"/>
  <c r="E5" i="40"/>
  <c r="E6" i="40"/>
  <c r="E7" i="40"/>
  <c r="E8" i="40"/>
  <c r="E10" i="40"/>
  <c r="E11" i="40"/>
  <c r="E12" i="40"/>
  <c r="E13" i="40"/>
  <c r="E14" i="40"/>
  <c r="E15" i="40"/>
  <c r="E16" i="40"/>
  <c r="E17" i="40"/>
  <c r="E18" i="40"/>
  <c r="E19" i="40"/>
  <c r="E4" i="40"/>
  <c r="D19" i="17" l="1"/>
  <c r="D25" i="17"/>
  <c r="Z35" i="5"/>
  <c r="Z65" i="5" s="1"/>
  <c r="N7" i="53"/>
  <c r="H7" i="53"/>
  <c r="N5" i="53"/>
  <c r="D12" i="53" l="1"/>
  <c r="E17" i="14"/>
  <c r="E5" i="14"/>
  <c r="E8" i="14"/>
  <c r="E64" i="14"/>
  <c r="F64" i="14"/>
  <c r="D64" i="14"/>
  <c r="F61" i="14"/>
  <c r="AI11" i="57" l="1"/>
  <c r="V11" i="57"/>
  <c r="AG10" i="57"/>
  <c r="AF10" i="57"/>
  <c r="AF12" i="57" s="1"/>
  <c r="AD10" i="57"/>
  <c r="AC10" i="57"/>
  <c r="Z10" i="57"/>
  <c r="W10" i="57"/>
  <c r="U10" i="57"/>
  <c r="S10" i="57"/>
  <c r="O10" i="57"/>
  <c r="N10" i="57"/>
  <c r="M10" i="57"/>
  <c r="K10" i="57"/>
  <c r="F10" i="57"/>
  <c r="AI9" i="57"/>
  <c r="V9" i="57"/>
  <c r="Y10" i="57"/>
  <c r="AI8" i="57"/>
  <c r="D10" i="57"/>
  <c r="V8" i="57"/>
  <c r="AH10" i="57"/>
  <c r="AB10" i="57"/>
  <c r="AA10" i="57"/>
  <c r="AI7" i="57"/>
  <c r="J10" i="57"/>
  <c r="I10" i="57"/>
  <c r="H10" i="57"/>
  <c r="G10" i="57"/>
  <c r="E10" i="57"/>
  <c r="V6" i="57"/>
  <c r="AG12" i="57"/>
  <c r="AD12" i="57"/>
  <c r="S12" i="57"/>
  <c r="AC19" i="54"/>
  <c r="AB19" i="54"/>
  <c r="AA19" i="54"/>
  <c r="Z19" i="54"/>
  <c r="Y19" i="54"/>
  <c r="X19" i="54"/>
  <c r="W19" i="54"/>
  <c r="V19" i="54"/>
  <c r="U19" i="54"/>
  <c r="T19" i="54"/>
  <c r="R19" i="54"/>
  <c r="Q19" i="54"/>
  <c r="P19" i="54"/>
  <c r="O19" i="54"/>
  <c r="N19" i="54"/>
  <c r="M19" i="54"/>
  <c r="L19" i="54"/>
  <c r="K19" i="54"/>
  <c r="J19" i="54"/>
  <c r="I19" i="54"/>
  <c r="H19" i="54"/>
  <c r="G19" i="54"/>
  <c r="F19" i="54"/>
  <c r="E19" i="54"/>
  <c r="AD18" i="54"/>
  <c r="S18" i="54"/>
  <c r="AD17" i="54"/>
  <c r="S17" i="54"/>
  <c r="AD16" i="54"/>
  <c r="S16" i="54"/>
  <c r="AD15" i="54"/>
  <c r="S15" i="54"/>
  <c r="AD14" i="54"/>
  <c r="S14" i="54"/>
  <c r="AD13" i="54"/>
  <c r="S13" i="54"/>
  <c r="AD12" i="54"/>
  <c r="S12" i="54"/>
  <c r="AD11" i="54"/>
  <c r="S11" i="54"/>
  <c r="AD10" i="54"/>
  <c r="S10" i="54"/>
  <c r="AD9" i="54"/>
  <c r="S9" i="54"/>
  <c r="AD8" i="54"/>
  <c r="S8" i="54"/>
  <c r="AD7" i="54"/>
  <c r="S7" i="54"/>
  <c r="AD6" i="54"/>
  <c r="S6" i="54"/>
  <c r="AD5" i="54"/>
  <c r="S5" i="54"/>
  <c r="AH50" i="53"/>
  <c r="AH5" i="57" s="1"/>
  <c r="AG50" i="53"/>
  <c r="AG5" i="57" s="1"/>
  <c r="AF50" i="53"/>
  <c r="AE50" i="53"/>
  <c r="AE5" i="57" s="1"/>
  <c r="AE12" i="57" s="1"/>
  <c r="AD50" i="53"/>
  <c r="AC5" i="57" s="1"/>
  <c r="AC12" i="57" s="1"/>
  <c r="AC50" i="53"/>
  <c r="AB50" i="53"/>
  <c r="AB5" i="57" s="1"/>
  <c r="AB12" i="57" s="1"/>
  <c r="AA50" i="53"/>
  <c r="AA5" i="57" s="1"/>
  <c r="Y50" i="53"/>
  <c r="X5" i="57" s="1"/>
  <c r="X50" i="53"/>
  <c r="W5" i="57" s="1"/>
  <c r="W12" i="57" s="1"/>
  <c r="V50" i="53"/>
  <c r="U5" i="57" s="1"/>
  <c r="U12" i="57" s="1"/>
  <c r="U50" i="53"/>
  <c r="T5" i="57" s="1"/>
  <c r="T12" i="57" s="1"/>
  <c r="S50" i="53"/>
  <c r="R5" i="57" s="1"/>
  <c r="R12" i="57" s="1"/>
  <c r="R50" i="53"/>
  <c r="Q5" i="57" s="1"/>
  <c r="Q12" i="57" s="1"/>
  <c r="Q50" i="53"/>
  <c r="P5" i="57" s="1"/>
  <c r="P12" i="57" s="1"/>
  <c r="O50" i="53"/>
  <c r="N5" i="57" s="1"/>
  <c r="N12" i="57" s="1"/>
  <c r="M50" i="53"/>
  <c r="L5" i="57" s="1"/>
  <c r="L12" i="57" s="1"/>
  <c r="L50" i="53"/>
  <c r="K5" i="57" s="1"/>
  <c r="K12" i="57" s="1"/>
  <c r="K50" i="53"/>
  <c r="J5" i="57" s="1"/>
  <c r="J12" i="57" s="1"/>
  <c r="I50" i="53"/>
  <c r="H5" i="57" s="1"/>
  <c r="AI49" i="53"/>
  <c r="W49" i="53"/>
  <c r="AI48" i="53"/>
  <c r="W48" i="53"/>
  <c r="AI47" i="53"/>
  <c r="W47" i="53"/>
  <c r="AI46" i="53"/>
  <c r="W46" i="53"/>
  <c r="AI45" i="53"/>
  <c r="E50" i="53"/>
  <c r="D5" i="57" s="1"/>
  <c r="W45" i="53"/>
  <c r="AI44" i="53"/>
  <c r="W44" i="53"/>
  <c r="AI43" i="53"/>
  <c r="W43" i="53"/>
  <c r="AI42" i="53"/>
  <c r="W42" i="53"/>
  <c r="AI41" i="53"/>
  <c r="G50" i="53"/>
  <c r="F5" i="57" s="1"/>
  <c r="F12" i="57" s="1"/>
  <c r="W41" i="53"/>
  <c r="AI40" i="53"/>
  <c r="W40" i="53"/>
  <c r="AI39" i="53"/>
  <c r="W39" i="53"/>
  <c r="AI38" i="53"/>
  <c r="W38" i="53"/>
  <c r="AI37" i="53"/>
  <c r="W37" i="53"/>
  <c r="AI36" i="53"/>
  <c r="W36" i="53"/>
  <c r="AI35" i="53"/>
  <c r="W35" i="53"/>
  <c r="AI34" i="53"/>
  <c r="W34" i="53"/>
  <c r="AI33" i="53"/>
  <c r="W33" i="53"/>
  <c r="AI32" i="53"/>
  <c r="W32" i="53"/>
  <c r="AI31" i="53"/>
  <c r="W31" i="53"/>
  <c r="AI30" i="53"/>
  <c r="W30" i="53"/>
  <c r="AI29" i="53"/>
  <c r="W29" i="53"/>
  <c r="AI28" i="53"/>
  <c r="J50" i="53"/>
  <c r="I5" i="57" s="1"/>
  <c r="AI27" i="53"/>
  <c r="W27" i="53"/>
  <c r="AI26" i="53"/>
  <c r="W26" i="53"/>
  <c r="AI25" i="53"/>
  <c r="W25" i="53"/>
  <c r="AI24" i="53"/>
  <c r="W24" i="53"/>
  <c r="AI23" i="53"/>
  <c r="W23" i="53"/>
  <c r="AI22" i="53"/>
  <c r="W22" i="53"/>
  <c r="AI21" i="53"/>
  <c r="W21" i="53"/>
  <c r="AI20" i="53"/>
  <c r="W20" i="53"/>
  <c r="AI19" i="53"/>
  <c r="W19" i="53"/>
  <c r="AI18" i="53"/>
  <c r="W18" i="53"/>
  <c r="AI17" i="53"/>
  <c r="W17" i="53"/>
  <c r="AI16" i="53"/>
  <c r="W16" i="53"/>
  <c r="AI15" i="53"/>
  <c r="W15" i="53"/>
  <c r="AI14" i="53"/>
  <c r="W14" i="53"/>
  <c r="AI13" i="53"/>
  <c r="W13" i="53"/>
  <c r="T50" i="53"/>
  <c r="S5" i="57" s="1"/>
  <c r="AI12" i="53"/>
  <c r="W12" i="53"/>
  <c r="AI11" i="53"/>
  <c r="W11" i="53"/>
  <c r="P50" i="53"/>
  <c r="O5" i="57" s="1"/>
  <c r="O12" i="57" s="1"/>
  <c r="AI10" i="53"/>
  <c r="N50" i="53"/>
  <c r="M5" i="57" s="1"/>
  <c r="AI9" i="53"/>
  <c r="W9" i="53"/>
  <c r="H50" i="53"/>
  <c r="G5" i="57" s="1"/>
  <c r="AI8" i="53"/>
  <c r="W8" i="53"/>
  <c r="AI7" i="53"/>
  <c r="F50" i="53"/>
  <c r="E5" i="57" s="1"/>
  <c r="AI6" i="53"/>
  <c r="W6" i="53"/>
  <c r="AI5" i="53"/>
  <c r="W5" i="53"/>
  <c r="I12" i="57" l="1"/>
  <c r="E12" i="57"/>
  <c r="AH12" i="57"/>
  <c r="G12" i="57"/>
  <c r="AD19" i="54"/>
  <c r="S19" i="54"/>
  <c r="D12" i="57"/>
  <c r="H12" i="57"/>
  <c r="AA12" i="57"/>
  <c r="AI10" i="57"/>
  <c r="V7" i="57"/>
  <c r="V10" i="57" s="1"/>
  <c r="C10" i="57"/>
  <c r="X10" i="57"/>
  <c r="X12" i="57" s="1"/>
  <c r="W7" i="53"/>
  <c r="W10" i="53"/>
  <c r="D50" i="53"/>
  <c r="W28" i="53"/>
  <c r="Z50" i="53"/>
  <c r="F67" i="14"/>
  <c r="F68" i="14"/>
  <c r="F69" i="14"/>
  <c r="F70" i="14"/>
  <c r="F71" i="14"/>
  <c r="F72" i="14"/>
  <c r="F73" i="14"/>
  <c r="F66" i="14"/>
  <c r="F63" i="14"/>
  <c r="F62" i="14"/>
  <c r="E58" i="14"/>
  <c r="F54" i="14"/>
  <c r="F55" i="14"/>
  <c r="F56" i="14"/>
  <c r="F57" i="14"/>
  <c r="F53" i="14"/>
  <c r="E52" i="14"/>
  <c r="F51" i="14"/>
  <c r="F50" i="14"/>
  <c r="F52" i="14" s="1"/>
  <c r="E49" i="14"/>
  <c r="F41" i="14"/>
  <c r="F42" i="14"/>
  <c r="F43" i="14"/>
  <c r="F44" i="14"/>
  <c r="F45" i="14"/>
  <c r="F46" i="14"/>
  <c r="F47" i="14"/>
  <c r="F48" i="14"/>
  <c r="F49" i="14" s="1"/>
  <c r="F40" i="14"/>
  <c r="E39" i="14"/>
  <c r="F39" i="14"/>
  <c r="F38" i="14"/>
  <c r="F37" i="14"/>
  <c r="E36" i="14"/>
  <c r="F34" i="14"/>
  <c r="F36" i="14" s="1"/>
  <c r="F35" i="14"/>
  <c r="F33" i="14"/>
  <c r="F28" i="14"/>
  <c r="F29" i="14"/>
  <c r="F30" i="14"/>
  <c r="F31" i="14"/>
  <c r="F27" i="14"/>
  <c r="F21" i="14"/>
  <c r="F22" i="14"/>
  <c r="F20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5" i="14"/>
  <c r="AI50" i="53" l="1"/>
  <c r="Z5" i="57"/>
  <c r="W50" i="53"/>
  <c r="C5" i="57"/>
  <c r="V5" i="57" s="1"/>
  <c r="F58" i="14"/>
  <c r="E59" i="14"/>
  <c r="D37" i="17"/>
  <c r="E6" i="9"/>
  <c r="E7" i="9"/>
  <c r="E8" i="9"/>
  <c r="E9" i="9"/>
  <c r="E10" i="9"/>
  <c r="E13" i="9"/>
  <c r="E14" i="9"/>
  <c r="E15" i="9"/>
  <c r="E16" i="9"/>
  <c r="E17" i="9"/>
  <c r="E18" i="9"/>
  <c r="E19" i="9"/>
  <c r="E20" i="9"/>
  <c r="E21" i="9"/>
  <c r="E22" i="9"/>
  <c r="E24" i="9"/>
  <c r="E25" i="9"/>
  <c r="E26" i="9"/>
  <c r="E37" i="9" s="1"/>
  <c r="E16" i="17" s="1"/>
  <c r="E15" i="17" s="1"/>
  <c r="E27" i="9"/>
  <c r="E28" i="9"/>
  <c r="E29" i="9"/>
  <c r="E30" i="9"/>
  <c r="E31" i="9"/>
  <c r="E32" i="9"/>
  <c r="E33" i="9"/>
  <c r="E34" i="9"/>
  <c r="E35" i="9"/>
  <c r="E36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4" i="9" s="1"/>
  <c r="E53" i="9"/>
  <c r="E55" i="9"/>
  <c r="E56" i="9"/>
  <c r="E57" i="9"/>
  <c r="E58" i="9"/>
  <c r="E59" i="9"/>
  <c r="E60" i="9"/>
  <c r="E61" i="9"/>
  <c r="E62" i="9"/>
  <c r="E63" i="9"/>
  <c r="E64" i="9"/>
  <c r="E66" i="9"/>
  <c r="E67" i="9"/>
  <c r="E68" i="9"/>
  <c r="E70" i="9"/>
  <c r="E71" i="9"/>
  <c r="E73" i="9"/>
  <c r="E74" i="9"/>
  <c r="E75" i="9"/>
  <c r="E76" i="9"/>
  <c r="E77" i="9"/>
  <c r="E22" i="17" s="1"/>
  <c r="E20" i="17" s="1"/>
  <c r="E78" i="9"/>
  <c r="E79" i="9" s="1"/>
  <c r="E5" i="9"/>
  <c r="Z12" i="57" l="1"/>
  <c r="AI12" i="57" s="1"/>
  <c r="AI5" i="57"/>
  <c r="C12" i="57"/>
  <c r="V12" i="57" s="1"/>
  <c r="E12" i="9"/>
  <c r="E6" i="17"/>
  <c r="E7" i="17" s="1"/>
  <c r="E4" i="17" s="1"/>
  <c r="E19" i="17" s="1"/>
  <c r="E23" i="9"/>
  <c r="E72" i="9" s="1"/>
  <c r="E52" i="17"/>
  <c r="E51" i="17" s="1"/>
  <c r="F59" i="14"/>
  <c r="AE106" i="7"/>
  <c r="P68" i="41"/>
  <c r="E25" i="17" l="1"/>
  <c r="R68" i="41"/>
  <c r="C23" i="20"/>
  <c r="C27" i="20" s="1"/>
  <c r="C11" i="19"/>
  <c r="C13" i="19" s="1"/>
  <c r="G47" i="41"/>
  <c r="J46" i="5"/>
  <c r="I47" i="41" l="1"/>
  <c r="C44" i="19"/>
  <c r="C37" i="19"/>
  <c r="C31" i="19"/>
  <c r="C26" i="19"/>
  <c r="C21" i="19"/>
  <c r="C42" i="19" s="1"/>
  <c r="B6" i="45" l="1"/>
  <c r="C76" i="9" l="1"/>
  <c r="C47" i="9"/>
  <c r="C6" i="37" l="1"/>
  <c r="C56" i="9" l="1"/>
  <c r="C61" i="9" l="1"/>
  <c r="C60" i="9"/>
  <c r="B5" i="44"/>
  <c r="B7" i="44"/>
  <c r="B11" i="44"/>
  <c r="AE74" i="7" l="1"/>
  <c r="B18" i="44"/>
  <c r="V6" i="5" l="1"/>
  <c r="C77" i="9"/>
  <c r="M51" i="5"/>
  <c r="M46" i="5"/>
  <c r="P6" i="41" l="1"/>
  <c r="J55" i="41"/>
  <c r="R6" i="41" l="1"/>
  <c r="L55" i="41"/>
  <c r="C18" i="37" l="1"/>
  <c r="C9" i="40" l="1"/>
  <c r="L17" i="40"/>
  <c r="C18" i="40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7" i="40"/>
  <c r="N37" i="40"/>
  <c r="M38" i="40"/>
  <c r="N38" i="40"/>
  <c r="L32" i="40"/>
  <c r="L33" i="40"/>
  <c r="L34" i="40"/>
  <c r="L35" i="40"/>
  <c r="L37" i="40"/>
  <c r="L38" i="40"/>
  <c r="F36" i="40"/>
  <c r="L36" i="40" s="1"/>
  <c r="F31" i="40"/>
  <c r="F22" i="40" s="1"/>
  <c r="L29" i="40"/>
  <c r="V23" i="5" l="1"/>
  <c r="D48" i="14" l="1"/>
  <c r="G14" i="18" l="1"/>
  <c r="G13" i="18"/>
  <c r="D70" i="14" l="1"/>
  <c r="F8" i="40" l="1"/>
  <c r="C29" i="9" l="1"/>
  <c r="C26" i="9" s="1"/>
  <c r="AE68" i="7"/>
  <c r="G12" i="18" s="1"/>
  <c r="M29" i="5"/>
  <c r="M23" i="5"/>
  <c r="G29" i="5" l="1"/>
  <c r="K29" i="8" l="1"/>
  <c r="L29" i="8"/>
  <c r="J29" i="8"/>
  <c r="D43" i="14" l="1"/>
  <c r="D12" i="1" l="1"/>
  <c r="G15" i="18" l="1"/>
  <c r="B8" i="43"/>
  <c r="C53" i="9" l="1"/>
  <c r="C16" i="9"/>
  <c r="D29" i="1" l="1"/>
  <c r="D24" i="1"/>
  <c r="AE64" i="7" l="1"/>
  <c r="G11" i="18" s="1"/>
  <c r="Y18" i="7"/>
  <c r="Z18" i="7"/>
  <c r="AB18" i="7"/>
  <c r="AC18" i="7"/>
  <c r="Y15" i="7"/>
  <c r="Z15" i="7"/>
  <c r="AB15" i="7"/>
  <c r="AC15" i="7"/>
  <c r="AB30" i="7"/>
  <c r="AB35" i="7" s="1"/>
  <c r="AC35" i="7"/>
  <c r="AB29" i="7"/>
  <c r="AC29" i="7"/>
  <c r="AB26" i="7"/>
  <c r="AC26" i="7"/>
  <c r="AC36" i="7" l="1"/>
  <c r="AB36" i="7"/>
  <c r="V7" i="5"/>
  <c r="W34" i="5"/>
  <c r="AE46" i="5"/>
  <c r="W35" i="5" l="1"/>
  <c r="E35" i="5" s="1"/>
  <c r="M63" i="5"/>
  <c r="N63" i="5"/>
  <c r="M52" i="5"/>
  <c r="N52" i="5"/>
  <c r="M25" i="5"/>
  <c r="N25" i="5"/>
  <c r="M28" i="5"/>
  <c r="N28" i="5"/>
  <c r="M34" i="5"/>
  <c r="N34" i="5"/>
  <c r="N35" i="5" l="1"/>
  <c r="N65" i="5"/>
  <c r="M35" i="5"/>
  <c r="M65" i="5" s="1"/>
  <c r="C58" i="9" l="1"/>
  <c r="B10" i="44"/>
  <c r="B6" i="44"/>
  <c r="G31" i="7" l="1"/>
  <c r="G25" i="7"/>
  <c r="D11" i="21" l="1"/>
  <c r="D16" i="21" s="1"/>
  <c r="C11" i="21"/>
  <c r="C16" i="21" s="1"/>
  <c r="C20" i="20" l="1"/>
  <c r="C51" i="19" l="1"/>
  <c r="C31" i="20"/>
  <c r="C7" i="37" l="1"/>
  <c r="B21" i="45" l="1"/>
  <c r="G7" i="18" l="1"/>
  <c r="W64" i="41"/>
  <c r="V64" i="41"/>
  <c r="W53" i="41"/>
  <c r="V53" i="41"/>
  <c r="W34" i="41"/>
  <c r="V34" i="41"/>
  <c r="W28" i="41"/>
  <c r="V28" i="41"/>
  <c r="W25" i="41"/>
  <c r="V25" i="41"/>
  <c r="W17" i="41"/>
  <c r="V17" i="41"/>
  <c r="W14" i="41"/>
  <c r="V14" i="41"/>
  <c r="F7" i="41"/>
  <c r="W7" i="41"/>
  <c r="V7" i="41"/>
  <c r="W35" i="41" l="1"/>
  <c r="W66" i="41" s="1"/>
  <c r="V35" i="41"/>
  <c r="V66" i="41" s="1"/>
  <c r="M5" i="40" l="1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59" i="41" l="1"/>
  <c r="J66" i="52"/>
  <c r="H66" i="52"/>
  <c r="H3" i="52"/>
  <c r="J23" i="8" l="1"/>
  <c r="L59" i="41"/>
  <c r="H7" i="41" l="1"/>
  <c r="J7" i="41"/>
  <c r="K7" i="41"/>
  <c r="M7" i="41"/>
  <c r="N7" i="41"/>
  <c r="Q7" i="41"/>
  <c r="G7" i="41"/>
  <c r="L7" i="41" l="1"/>
  <c r="R7" i="41"/>
  <c r="O7" i="41"/>
  <c r="I7" i="41"/>
  <c r="J5" i="8"/>
  <c r="B26" i="44" l="1"/>
  <c r="C23" i="18" l="1"/>
  <c r="J14" i="29" l="1"/>
  <c r="E14" i="29"/>
  <c r="F14" i="29"/>
  <c r="G14" i="29"/>
  <c r="H14" i="29"/>
  <c r="I14" i="29"/>
  <c r="D14" i="29"/>
  <c r="D7" i="37"/>
  <c r="E7" i="37"/>
  <c r="J39" i="40" l="1"/>
  <c r="K39" i="40"/>
  <c r="I39" i="40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D17" i="37" l="1"/>
  <c r="D15" i="37"/>
  <c r="D14" i="37"/>
  <c r="D13" i="37"/>
  <c r="D12" i="37"/>
  <c r="D11" i="37"/>
  <c r="D18" i="37" l="1"/>
  <c r="AE63" i="7" l="1"/>
  <c r="L19" i="40" l="1"/>
  <c r="C39" i="40" l="1"/>
  <c r="L9" i="40"/>
  <c r="Y75" i="7" l="1"/>
  <c r="Z75" i="7"/>
  <c r="AE75" i="7"/>
  <c r="Y107" i="7"/>
  <c r="Z107" i="7"/>
  <c r="D14" i="1" l="1"/>
  <c r="Y35" i="7"/>
  <c r="Z35" i="7"/>
  <c r="Y29" i="7"/>
  <c r="Z29" i="7"/>
  <c r="Y26" i="7"/>
  <c r="Z26" i="7"/>
  <c r="Z36" i="7" l="1"/>
  <c r="Z98" i="7" s="1"/>
  <c r="Y36" i="7"/>
  <c r="V8" i="7"/>
  <c r="M7" i="6"/>
  <c r="Y98" i="7" l="1"/>
  <c r="C12" i="9"/>
  <c r="H26" i="7"/>
  <c r="J26" i="7"/>
  <c r="K26" i="7"/>
  <c r="H35" i="7"/>
  <c r="J35" i="7"/>
  <c r="K35" i="7"/>
  <c r="M35" i="7"/>
  <c r="E11" i="21"/>
  <c r="K36" i="7" l="1"/>
  <c r="K98" i="7" s="1"/>
  <c r="J36" i="7"/>
  <c r="O18" i="30"/>
  <c r="D25" i="8"/>
  <c r="E71" i="19"/>
  <c r="C71" i="19"/>
  <c r="D51" i="19"/>
  <c r="E51" i="19"/>
  <c r="C25" i="18"/>
  <c r="C21" i="17"/>
  <c r="J98" i="7" l="1"/>
  <c r="F39" i="40"/>
  <c r="C26" i="18"/>
  <c r="L39" i="40" l="1"/>
  <c r="L22" i="40"/>
  <c r="C24" i="18"/>
  <c r="B21" i="44" l="1"/>
  <c r="C75" i="9" l="1"/>
  <c r="H7" i="6" l="1"/>
  <c r="I7" i="6"/>
  <c r="G7" i="6"/>
  <c r="D7" i="1"/>
  <c r="B15" i="45" l="1"/>
  <c r="B10" i="45"/>
  <c r="B7" i="45"/>
  <c r="B23" i="45" l="1"/>
  <c r="C22" i="18"/>
  <c r="D34" i="1" l="1"/>
  <c r="D28" i="1"/>
  <c r="D25" i="1"/>
  <c r="D17" i="1"/>
  <c r="D35" i="1" l="1"/>
  <c r="C41" i="43"/>
  <c r="D41" i="43"/>
  <c r="B41" i="43"/>
  <c r="C23" i="43"/>
  <c r="D23" i="43"/>
  <c r="B23" i="43"/>
  <c r="C13" i="43"/>
  <c r="D13" i="43"/>
  <c r="B13" i="43"/>
  <c r="D26" i="44"/>
  <c r="D21" i="44"/>
  <c r="C21" i="44"/>
  <c r="C69" i="9" l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E5" i="8" s="1"/>
  <c r="D31" i="17" s="1"/>
  <c r="H4" i="18" s="1"/>
  <c r="AA5" i="8"/>
  <c r="F5" i="8" s="1"/>
  <c r="E31" i="17" s="1"/>
  <c r="I4" i="18" l="1"/>
  <c r="B26" i="30"/>
  <c r="Y3" i="8"/>
  <c r="Y7" i="8"/>
  <c r="Y19" i="8"/>
  <c r="D19" i="8" s="1"/>
  <c r="H14" i="8"/>
  <c r="I14" i="8"/>
  <c r="Q64" i="41"/>
  <c r="P64" i="41"/>
  <c r="N64" i="41"/>
  <c r="M64" i="41"/>
  <c r="K64" i="41"/>
  <c r="J64" i="41"/>
  <c r="H64" i="41"/>
  <c r="G64" i="41"/>
  <c r="Q53" i="41"/>
  <c r="P53" i="41"/>
  <c r="N53" i="41"/>
  <c r="M53" i="41"/>
  <c r="K53" i="41"/>
  <c r="J53" i="41"/>
  <c r="H53" i="41"/>
  <c r="G53" i="41"/>
  <c r="Q34" i="41"/>
  <c r="P34" i="41"/>
  <c r="N34" i="41"/>
  <c r="M34" i="41"/>
  <c r="K34" i="41"/>
  <c r="J34" i="41"/>
  <c r="H34" i="41"/>
  <c r="G34" i="41"/>
  <c r="Q28" i="41"/>
  <c r="P28" i="41"/>
  <c r="N28" i="41"/>
  <c r="M28" i="41"/>
  <c r="K28" i="41"/>
  <c r="J28" i="41"/>
  <c r="H28" i="41"/>
  <c r="G28" i="41"/>
  <c r="Q25" i="41"/>
  <c r="E25" i="41" s="1"/>
  <c r="K11" i="8" s="1"/>
  <c r="P25" i="41"/>
  <c r="N25" i="41"/>
  <c r="M25" i="41"/>
  <c r="K25" i="41"/>
  <c r="J25" i="41"/>
  <c r="H25" i="41"/>
  <c r="G25" i="41"/>
  <c r="Q17" i="41"/>
  <c r="P17" i="41"/>
  <c r="N17" i="41"/>
  <c r="M17" i="41"/>
  <c r="K17" i="41"/>
  <c r="J17" i="41"/>
  <c r="H17" i="41"/>
  <c r="G17" i="41"/>
  <c r="Q14" i="41"/>
  <c r="P14" i="41"/>
  <c r="N14" i="41"/>
  <c r="M14" i="41"/>
  <c r="K14" i="41"/>
  <c r="J14" i="41"/>
  <c r="H14" i="41"/>
  <c r="G14" i="4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D5" i="6"/>
  <c r="S16" i="8"/>
  <c r="T16" i="8"/>
  <c r="U16" i="8"/>
  <c r="Q12" i="8"/>
  <c r="Q13" i="8"/>
  <c r="N23" i="8"/>
  <c r="O23" i="8"/>
  <c r="M23" i="8"/>
  <c r="D23" i="8" s="1"/>
  <c r="N12" i="8"/>
  <c r="O12" i="8"/>
  <c r="N13" i="8"/>
  <c r="O13" i="8"/>
  <c r="N7" i="8"/>
  <c r="O7" i="8"/>
  <c r="N3" i="8"/>
  <c r="O3" i="8"/>
  <c r="N4" i="8"/>
  <c r="O4" i="8"/>
  <c r="H3" i="8"/>
  <c r="I3" i="8"/>
  <c r="H4" i="8"/>
  <c r="I4" i="8"/>
  <c r="G3" i="8"/>
  <c r="L14" i="41" l="1"/>
  <c r="R14" i="41"/>
  <c r="L17" i="41"/>
  <c r="R17" i="41"/>
  <c r="L25" i="41"/>
  <c r="R25" i="41"/>
  <c r="F25" i="41" s="1"/>
  <c r="L11" i="8" s="1"/>
  <c r="L28" i="41"/>
  <c r="R28" i="41"/>
  <c r="L34" i="41"/>
  <c r="R34" i="41"/>
  <c r="L53" i="41"/>
  <c r="R53" i="41"/>
  <c r="L64" i="41"/>
  <c r="R64" i="41"/>
  <c r="J9" i="8"/>
  <c r="I14" i="41"/>
  <c r="O14" i="41"/>
  <c r="I17" i="41"/>
  <c r="O17" i="41"/>
  <c r="I25" i="41"/>
  <c r="O25" i="41"/>
  <c r="I28" i="41"/>
  <c r="O28" i="41"/>
  <c r="I34" i="41"/>
  <c r="O34" i="41"/>
  <c r="I53" i="41"/>
  <c r="O53" i="41"/>
  <c r="I64" i="41"/>
  <c r="O64" i="41"/>
  <c r="U27" i="8"/>
  <c r="U30" i="8" s="1"/>
  <c r="N39" i="40"/>
  <c r="X18" i="8" s="1"/>
  <c r="X27" i="8" s="1"/>
  <c r="X30" i="8" s="1"/>
  <c r="M39" i="40"/>
  <c r="W18" i="8" s="1"/>
  <c r="W27" i="8" s="1"/>
  <c r="W30" i="8" s="1"/>
  <c r="M35" i="41"/>
  <c r="M66" i="41" s="1"/>
  <c r="Q35" i="41"/>
  <c r="K35" i="41"/>
  <c r="H35" i="41"/>
  <c r="P35" i="41"/>
  <c r="N35" i="41"/>
  <c r="E3" i="8"/>
  <c r="T27" i="8"/>
  <c r="T30" i="8" s="1"/>
  <c r="S27" i="8"/>
  <c r="S30" i="8" s="1"/>
  <c r="D16" i="8"/>
  <c r="G10" i="18"/>
  <c r="C36" i="17"/>
  <c r="I5" i="8"/>
  <c r="I27" i="8" s="1"/>
  <c r="I30" i="8" s="1"/>
  <c r="V18" i="8"/>
  <c r="V27" i="8" s="1"/>
  <c r="V30" i="8" s="1"/>
  <c r="H5" i="8"/>
  <c r="H27" i="8" s="1"/>
  <c r="H30" i="8" s="1"/>
  <c r="G35" i="41"/>
  <c r="J35" i="41"/>
  <c r="J66" i="41" s="1"/>
  <c r="E7" i="6"/>
  <c r="F7" i="6"/>
  <c r="D7" i="6"/>
  <c r="R4" i="8"/>
  <c r="R5" i="8" s="1"/>
  <c r="Q5" i="8"/>
  <c r="O5" i="8"/>
  <c r="N5" i="8"/>
  <c r="H75" i="7"/>
  <c r="G75" i="7"/>
  <c r="N35" i="7"/>
  <c r="G35" i="7"/>
  <c r="N29" i="7"/>
  <c r="M29" i="7"/>
  <c r="H29" i="7"/>
  <c r="G29" i="7"/>
  <c r="N26" i="7"/>
  <c r="M26" i="7"/>
  <c r="G26" i="7"/>
  <c r="N18" i="7"/>
  <c r="M18" i="7"/>
  <c r="H18" i="7"/>
  <c r="G18" i="7"/>
  <c r="N15" i="7"/>
  <c r="M15" i="7"/>
  <c r="H15" i="7"/>
  <c r="G15" i="7"/>
  <c r="R35" i="41" l="1"/>
  <c r="F35" i="41" s="1"/>
  <c r="L14" i="8" s="1"/>
  <c r="E35" i="41"/>
  <c r="K14" i="8" s="1"/>
  <c r="N66" i="41"/>
  <c r="O66" i="41" s="1"/>
  <c r="O35" i="41"/>
  <c r="H66" i="41"/>
  <c r="I35" i="41"/>
  <c r="K66" i="41"/>
  <c r="L66" i="41" s="1"/>
  <c r="L35" i="41"/>
  <c r="Q66" i="41"/>
  <c r="E66" i="41" s="1"/>
  <c r="J21" i="8"/>
  <c r="G66" i="41"/>
  <c r="P66" i="41"/>
  <c r="H36" i="7"/>
  <c r="G36" i="7"/>
  <c r="N36" i="7"/>
  <c r="N98" i="7" s="1"/>
  <c r="M36" i="7"/>
  <c r="K27" i="8" l="1"/>
  <c r="K30" i="8" s="1"/>
  <c r="L27" i="8"/>
  <c r="L30" i="8" s="1"/>
  <c r="R66" i="41"/>
  <c r="F66" i="41" s="1"/>
  <c r="I66" i="41"/>
  <c r="M98" i="7"/>
  <c r="G98" i="7"/>
  <c r="D31" i="30"/>
  <c r="H31" i="30"/>
  <c r="L31" i="30"/>
  <c r="E31" i="30"/>
  <c r="I31" i="30"/>
  <c r="M31" i="30"/>
  <c r="C31" i="30"/>
  <c r="G31" i="30"/>
  <c r="F31" i="30"/>
  <c r="J31" i="30"/>
  <c r="N31" i="30"/>
  <c r="K31" i="30"/>
  <c r="H98" i="7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E15" i="7"/>
  <c r="AF15" i="7"/>
  <c r="AE18" i="7"/>
  <c r="AF18" i="7"/>
  <c r="AE26" i="7"/>
  <c r="AF26" i="7"/>
  <c r="AE29" i="7"/>
  <c r="AF29" i="7"/>
  <c r="AE35" i="7"/>
  <c r="AF35" i="7"/>
  <c r="C65" i="9"/>
  <c r="C52" i="9"/>
  <c r="C78" i="9"/>
  <c r="G63" i="5"/>
  <c r="H63" i="5"/>
  <c r="J63" i="5"/>
  <c r="K63" i="5"/>
  <c r="AF63" i="5"/>
  <c r="E23" i="14"/>
  <c r="F23" i="14"/>
  <c r="D23" i="14"/>
  <c r="D19" i="14"/>
  <c r="G4" i="8"/>
  <c r="C17" i="17"/>
  <c r="C12" i="17"/>
  <c r="D63" i="1"/>
  <c r="C43" i="9"/>
  <c r="AF103" i="7"/>
  <c r="P103" i="7"/>
  <c r="Q103" i="7"/>
  <c r="R103" i="7"/>
  <c r="S103" i="7"/>
  <c r="S107" i="7" s="1"/>
  <c r="T103" i="7"/>
  <c r="T107" i="7" s="1"/>
  <c r="U103" i="7"/>
  <c r="U107" i="7" s="1"/>
  <c r="V103" i="7"/>
  <c r="V107" i="7" s="1"/>
  <c r="W103" i="7"/>
  <c r="W107" i="7" s="1"/>
  <c r="C71" i="9"/>
  <c r="C40" i="9"/>
  <c r="C9" i="17" s="1"/>
  <c r="C7" i="18"/>
  <c r="C37" i="9"/>
  <c r="AE103" i="7"/>
  <c r="D62" i="14"/>
  <c r="F80" i="14"/>
  <c r="E80" i="14"/>
  <c r="D80" i="14"/>
  <c r="F74" i="14"/>
  <c r="E37" i="17" s="1"/>
  <c r="E74" i="14"/>
  <c r="D74" i="14"/>
  <c r="D58" i="14"/>
  <c r="D52" i="14"/>
  <c r="D49" i="14"/>
  <c r="D39" i="14"/>
  <c r="D36" i="14"/>
  <c r="F26" i="14"/>
  <c r="E26" i="14"/>
  <c r="D26" i="14"/>
  <c r="F19" i="14"/>
  <c r="E19" i="14"/>
  <c r="AE52" i="5"/>
  <c r="AF52" i="5"/>
  <c r="AE14" i="5"/>
  <c r="AF14" i="5"/>
  <c r="AE17" i="5"/>
  <c r="AF17" i="5"/>
  <c r="AE25" i="5"/>
  <c r="AF25" i="5"/>
  <c r="AE28" i="5"/>
  <c r="AF28" i="5"/>
  <c r="AE34" i="5"/>
  <c r="AF34" i="5"/>
  <c r="C11" i="9"/>
  <c r="H28" i="5"/>
  <c r="J28" i="5"/>
  <c r="K28" i="5"/>
  <c r="AC28" i="5"/>
  <c r="H34" i="5"/>
  <c r="J34" i="5"/>
  <c r="K34" i="5"/>
  <c r="AB34" i="5"/>
  <c r="AC34" i="5"/>
  <c r="H52" i="5"/>
  <c r="J52" i="5"/>
  <c r="K52" i="5"/>
  <c r="AB52" i="5"/>
  <c r="AC52" i="5"/>
  <c r="O21" i="8"/>
  <c r="G28" i="5"/>
  <c r="G34" i="5"/>
  <c r="O11" i="8"/>
  <c r="AC25" i="5"/>
  <c r="K25" i="5"/>
  <c r="J25" i="5"/>
  <c r="H25" i="5"/>
  <c r="O10" i="8"/>
  <c r="K17" i="5"/>
  <c r="J17" i="5"/>
  <c r="H17" i="5"/>
  <c r="G17" i="5"/>
  <c r="K14" i="5"/>
  <c r="J14" i="5"/>
  <c r="O9" i="8"/>
  <c r="H14" i="5"/>
  <c r="G14" i="5"/>
  <c r="G25" i="5"/>
  <c r="P35" i="7"/>
  <c r="Q35" i="7"/>
  <c r="R35" i="7"/>
  <c r="S35" i="7"/>
  <c r="T35" i="7"/>
  <c r="U35" i="7"/>
  <c r="V35" i="7"/>
  <c r="W35" i="7"/>
  <c r="P29" i="7"/>
  <c r="Q29" i="7"/>
  <c r="R29" i="7"/>
  <c r="S29" i="7"/>
  <c r="T29" i="7"/>
  <c r="U29" i="7"/>
  <c r="V29" i="7"/>
  <c r="W29" i="7"/>
  <c r="S26" i="7"/>
  <c r="T26" i="7"/>
  <c r="U26" i="7"/>
  <c r="V26" i="7"/>
  <c r="W26" i="7"/>
  <c r="S18" i="7"/>
  <c r="T18" i="7"/>
  <c r="U18" i="7"/>
  <c r="V18" i="7"/>
  <c r="W18" i="7"/>
  <c r="S15" i="7"/>
  <c r="T15" i="7"/>
  <c r="U15" i="7"/>
  <c r="V15" i="7"/>
  <c r="W15" i="7"/>
  <c r="Q75" i="7"/>
  <c r="R75" i="7"/>
  <c r="S75" i="7"/>
  <c r="T75" i="7"/>
  <c r="U75" i="7"/>
  <c r="V75" i="7"/>
  <c r="W75" i="7"/>
  <c r="R26" i="7"/>
  <c r="Q26" i="7"/>
  <c r="P26" i="7"/>
  <c r="R18" i="7"/>
  <c r="Q18" i="7"/>
  <c r="P18" i="7"/>
  <c r="R15" i="7"/>
  <c r="Q15" i="7"/>
  <c r="P15" i="7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D43" i="1"/>
  <c r="E52" i="1"/>
  <c r="E65" i="1" s="1"/>
  <c r="F52" i="1"/>
  <c r="F65" i="1" s="1"/>
  <c r="D52" i="1"/>
  <c r="G13" i="8"/>
  <c r="G12" i="8"/>
  <c r="G11" i="8"/>
  <c r="G10" i="8"/>
  <c r="F107" i="7" l="1"/>
  <c r="AA29" i="8"/>
  <c r="F29" i="8" s="1"/>
  <c r="F34" i="6"/>
  <c r="R13" i="8" s="1"/>
  <c r="F28" i="6"/>
  <c r="R12" i="8" s="1"/>
  <c r="N9" i="8"/>
  <c r="N10" i="8"/>
  <c r="N21" i="8"/>
  <c r="E24" i="14"/>
  <c r="E84" i="14" s="1"/>
  <c r="Y9" i="8"/>
  <c r="Y11" i="8"/>
  <c r="Y10" i="8"/>
  <c r="Y12" i="8"/>
  <c r="O31" i="30"/>
  <c r="Z12" i="8"/>
  <c r="E12" i="8" s="1"/>
  <c r="F24" i="14"/>
  <c r="F84" i="14" s="1"/>
  <c r="AA13" i="8"/>
  <c r="F13" i="8" s="1"/>
  <c r="Z10" i="8"/>
  <c r="E10" i="8" s="1"/>
  <c r="AA11" i="8"/>
  <c r="F11" i="8" s="1"/>
  <c r="Z11" i="8"/>
  <c r="E11" i="8" s="1"/>
  <c r="Z13" i="8"/>
  <c r="E13" i="8" s="1"/>
  <c r="AA9" i="8"/>
  <c r="F9" i="8" s="1"/>
  <c r="Z9" i="8"/>
  <c r="E9" i="8" s="1"/>
  <c r="AA10" i="8"/>
  <c r="F10" i="8" s="1"/>
  <c r="AA12" i="8"/>
  <c r="F12" i="8" s="1"/>
  <c r="C23" i="9"/>
  <c r="J9" i="29"/>
  <c r="J17" i="29" s="1"/>
  <c r="J27" i="8"/>
  <c r="J30" i="8" s="1"/>
  <c r="O17" i="30"/>
  <c r="H17" i="29"/>
  <c r="D17" i="29"/>
  <c r="G17" i="29"/>
  <c r="I17" i="29"/>
  <c r="C79" i="9"/>
  <c r="C11" i="17"/>
  <c r="C10" i="17"/>
  <c r="C5" i="17"/>
  <c r="Q107" i="7"/>
  <c r="R107" i="7"/>
  <c r="Z18" i="8"/>
  <c r="E18" i="8" s="1"/>
  <c r="D35" i="17" s="1"/>
  <c r="H9" i="18" s="1"/>
  <c r="AA18" i="8"/>
  <c r="F18" i="8" s="1"/>
  <c r="E35" i="17" s="1"/>
  <c r="C21" i="18"/>
  <c r="C20" i="18" s="1"/>
  <c r="G5" i="8"/>
  <c r="C18" i="17"/>
  <c r="G14" i="8"/>
  <c r="D59" i="14"/>
  <c r="W36" i="7"/>
  <c r="W98" i="7" s="1"/>
  <c r="X98" i="7" s="1"/>
  <c r="Q36" i="7"/>
  <c r="T35" i="6"/>
  <c r="T58" i="6" s="1"/>
  <c r="D17" i="6"/>
  <c r="N35" i="6"/>
  <c r="O35" i="6"/>
  <c r="O58" i="6" s="1"/>
  <c r="L35" i="6"/>
  <c r="L58" i="6" s="1"/>
  <c r="E35" i="6"/>
  <c r="E58" i="6" s="1"/>
  <c r="Q14" i="8"/>
  <c r="Q27" i="8" s="1"/>
  <c r="Q30" i="8" s="1"/>
  <c r="D14" i="6"/>
  <c r="J35" i="6"/>
  <c r="R35" i="6"/>
  <c r="O14" i="8"/>
  <c r="O27" i="8" s="1"/>
  <c r="O30" i="8" s="1"/>
  <c r="H35" i="5"/>
  <c r="AB35" i="5"/>
  <c r="AB65" i="5" s="1"/>
  <c r="N11" i="8"/>
  <c r="N14" i="8" s="1"/>
  <c r="M7" i="8"/>
  <c r="AE35" i="5"/>
  <c r="AE65" i="5" s="1"/>
  <c r="G35" i="6"/>
  <c r="G58" i="6" s="1"/>
  <c r="P75" i="7"/>
  <c r="P107" i="7"/>
  <c r="T36" i="7"/>
  <c r="T98" i="7" s="1"/>
  <c r="C39" i="17"/>
  <c r="M3" i="8"/>
  <c r="K35" i="6"/>
  <c r="K58" i="6" s="1"/>
  <c r="S35" i="6"/>
  <c r="S58" i="6" s="1"/>
  <c r="P4" i="8"/>
  <c r="R36" i="7"/>
  <c r="AF36" i="7"/>
  <c r="AF98" i="7" s="1"/>
  <c r="AE36" i="7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M12" i="8"/>
  <c r="M10" i="8"/>
  <c r="K35" i="5"/>
  <c r="K65" i="5" s="1"/>
  <c r="M35" i="6"/>
  <c r="M58" i="6" s="1"/>
  <c r="D25" i="6"/>
  <c r="G52" i="5"/>
  <c r="D65" i="1"/>
  <c r="D28" i="6"/>
  <c r="P12" i="8" s="1"/>
  <c r="U36" i="7"/>
  <c r="U98" i="7" s="1"/>
  <c r="S36" i="7"/>
  <c r="S98" i="7" s="1"/>
  <c r="G35" i="5"/>
  <c r="M9" i="8"/>
  <c r="M13" i="8"/>
  <c r="D24" i="14"/>
  <c r="M11" i="8"/>
  <c r="AF35" i="5"/>
  <c r="AF65" i="5" s="1"/>
  <c r="P36" i="7"/>
  <c r="V36" i="7"/>
  <c r="V98" i="7" s="1"/>
  <c r="AC35" i="5"/>
  <c r="AC65" i="5" s="1"/>
  <c r="J35" i="5"/>
  <c r="C54" i="9"/>
  <c r="I9" i="18" l="1"/>
  <c r="B30" i="30"/>
  <c r="E98" i="7"/>
  <c r="AG98" i="7"/>
  <c r="F98" i="7" s="1"/>
  <c r="F35" i="6"/>
  <c r="F58" i="6" s="1"/>
  <c r="R14" i="8"/>
  <c r="R27" i="8" s="1"/>
  <c r="R30" i="8" s="1"/>
  <c r="J65" i="5"/>
  <c r="H65" i="5"/>
  <c r="E65" i="5" s="1"/>
  <c r="F65" i="5"/>
  <c r="N27" i="8"/>
  <c r="N30" i="8" s="1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G65" i="5"/>
  <c r="D65" i="5" s="1"/>
  <c r="P9" i="8"/>
  <c r="D9" i="8" s="1"/>
  <c r="P10" i="8"/>
  <c r="D10" i="8" s="1"/>
  <c r="P11" i="8"/>
  <c r="D11" i="8" s="1"/>
  <c r="P13" i="8"/>
  <c r="G27" i="8"/>
  <c r="G30" i="8" s="1"/>
  <c r="P21" i="8"/>
  <c r="Y13" i="8"/>
  <c r="P98" i="7"/>
  <c r="Q98" i="7"/>
  <c r="R98" i="7"/>
  <c r="D12" i="8"/>
  <c r="C10" i="18"/>
  <c r="B16" i="30"/>
  <c r="C8" i="17"/>
  <c r="C53" i="17"/>
  <c r="D4" i="8"/>
  <c r="D7" i="8"/>
  <c r="C32" i="17" s="1"/>
  <c r="G5" i="18" s="1"/>
  <c r="C22" i="17"/>
  <c r="C7" i="17"/>
  <c r="AA14" i="8"/>
  <c r="Z14" i="8"/>
  <c r="Y29" i="8"/>
  <c r="C15" i="17"/>
  <c r="D84" i="14"/>
  <c r="N58" i="6"/>
  <c r="J58" i="6"/>
  <c r="R58" i="6"/>
  <c r="P58" i="6"/>
  <c r="P3" i="8"/>
  <c r="P5" i="8" s="1"/>
  <c r="M14" i="8"/>
  <c r="M5" i="8"/>
  <c r="Q58" i="6"/>
  <c r="G22" i="18"/>
  <c r="C5" i="18"/>
  <c r="C72" i="9"/>
  <c r="D35" i="6"/>
  <c r="Z27" i="8" l="1"/>
  <c r="Z30" i="8" s="1"/>
  <c r="E14" i="8"/>
  <c r="D33" i="17" s="1"/>
  <c r="H6" i="18" s="1"/>
  <c r="H3" i="18" s="1"/>
  <c r="H16" i="18" s="1"/>
  <c r="H28" i="18" s="1"/>
  <c r="AA27" i="8"/>
  <c r="F27" i="8" s="1"/>
  <c r="F30" i="8" s="1"/>
  <c r="F14" i="8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B35" i="30"/>
  <c r="G23" i="18"/>
  <c r="E33" i="17" l="1"/>
  <c r="D30" i="17"/>
  <c r="D41" i="17" s="1"/>
  <c r="D43" i="17" s="1"/>
  <c r="D56" i="17" s="1"/>
  <c r="AA30" i="8"/>
  <c r="E27" i="8"/>
  <c r="E30" i="8" s="1"/>
  <c r="O34" i="30"/>
  <c r="D6" i="30"/>
  <c r="E6" i="30"/>
  <c r="F6" i="30"/>
  <c r="D21" i="8"/>
  <c r="H6" i="30"/>
  <c r="I6" i="30"/>
  <c r="M6" i="30"/>
  <c r="N6" i="30"/>
  <c r="L6" i="30"/>
  <c r="O5" i="30"/>
  <c r="K10" i="30"/>
  <c r="J6" i="30"/>
  <c r="K6" i="30"/>
  <c r="G6" i="30"/>
  <c r="O12" i="30"/>
  <c r="O19" i="30"/>
  <c r="O21" i="30" s="1"/>
  <c r="O22" i="30" s="1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C33" i="17" s="1"/>
  <c r="G6" i="18" s="1"/>
  <c r="P27" i="8"/>
  <c r="P30" i="8" s="1"/>
  <c r="B13" i="30"/>
  <c r="B23" i="30" s="1"/>
  <c r="C52" i="17"/>
  <c r="C16" i="18"/>
  <c r="C19" i="17"/>
  <c r="C25" i="17"/>
  <c r="Y18" i="8"/>
  <c r="G8" i="18"/>
  <c r="C34" i="17"/>
  <c r="I6" i="18" l="1"/>
  <c r="I3" i="18" s="1"/>
  <c r="I16" i="18" s="1"/>
  <c r="I28" i="18" s="1"/>
  <c r="B28" i="30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E47" i="17" l="1"/>
  <c r="E43" i="17"/>
  <c r="E56" i="17" s="1"/>
  <c r="O13" i="30"/>
  <c r="O23" i="30" s="1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9" i="30" l="1"/>
  <c r="C36" i="30"/>
  <c r="O33" i="30"/>
  <c r="O36" i="30" s="1"/>
  <c r="G28" i="30"/>
  <c r="F28" i="30"/>
  <c r="J28" i="30"/>
  <c r="N28" i="30"/>
  <c r="I28" i="30"/>
  <c r="E28" i="30"/>
  <c r="M28" i="30"/>
  <c r="C28" i="30"/>
  <c r="D28" i="30"/>
  <c r="H28" i="30"/>
  <c r="L28" i="30"/>
  <c r="K28" i="30"/>
  <c r="O26" i="30"/>
  <c r="G28" i="18"/>
  <c r="C30" i="17"/>
  <c r="B32" i="30" l="1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O40" i="30" s="1"/>
  <c r="C56" i="17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BM pályázat bevétele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D29" authorId="0" shapeId="0">
      <text>
        <r>
          <rPr>
            <b/>
            <sz val="9"/>
            <color indexed="81"/>
            <rFont val="Segoe UI"/>
            <charset val="1"/>
          </rPr>
          <t>Felhasználó:</t>
        </r>
        <r>
          <rPr>
            <sz val="9"/>
            <color indexed="81"/>
            <rFont val="Segoe UI"/>
            <charset val="1"/>
          </rPr>
          <t xml:space="preserve">
EFOP 4.1.8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B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Beethoven: 14444
Pápay: 2521
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Beethoven áfa: 4374
Pápay áfa: 951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H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Teherlift karbantartás</t>
        </r>
      </text>
    </comment>
    <comment ref="K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025/01 hrsz alatti út karbantartása</t>
        </r>
      </text>
    </comment>
    <comment ref="Q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Martonvásár város településrendezési eszközök tárgyalásos eljárás keretében történő módosítása: 1200 e
196 hrsz. számú ingatlan magassági felmérése, tervezési térkép készítése: 35e</t>
        </r>
      </text>
    </comment>
    <comment ref="Q2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Molinók VF projektek. 77 e</t>
        </r>
      </text>
    </comment>
    <comment ref="H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Teherlift karbantartás áfa</t>
        </r>
      </text>
    </comment>
    <comment ref="K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025/01 hrsz alatti út karbantartás áfa</t>
        </r>
      </text>
    </comment>
    <comment ref="Q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Martonvásár város településrendezési eszközök tárgyalásos eljárás keretében történő módosítása áfa: 324 e
Molinók áfa: 21e
</t>
        </r>
      </text>
    </comment>
    <comment ref="G4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800M: 178623
Kiemelt korm.beruházás: 55100
VÜ kapcs.beruh: 48000-9750(Egészségház önerő)-7150 (PH beruházás)-13242 (PH fejlesztési státuszok fedezete)-11262 (fejlesztési fel.átcsop.fejlesztési ct-ba MG Kft)=6596
Kisajátítás: 14180-575=13605</t>
        </r>
      </text>
    </comment>
    <comment ref="H4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Kiemelt beruházás. -7160 e Ft
MV 053/20, 054/4, 211/2 hrsz ingatlan vételára: 1020 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800M 19877
Út, közmű: 59870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AF20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  <comment ref="G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Vagyonbiztosítás: 1472e
Tűz-és munkav: 464e
Gyepmester: 840e
Földhivatali díjak: 300e</t>
        </r>
      </text>
    </comment>
    <comment ref="AF2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Bethlen G.pályázat kiadás</t>
        </r>
      </text>
    </comment>
  </commentList>
</comments>
</file>

<file path=xl/sharedStrings.xml><?xml version="1.0" encoding="utf-8"?>
<sst xmlns="http://schemas.openxmlformats.org/spreadsheetml/2006/main" count="2538" uniqueCount="945">
  <si>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</si>
  <si>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</si>
  <si>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</si>
  <si>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</si>
  <si>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</si>
  <si>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</si>
  <si>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</si>
  <si>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</si>
  <si>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</si>
  <si>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</si>
  <si>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</si>
  <si>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</si>
  <si>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</si>
  <si>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</si>
  <si>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</si>
  <si>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</si>
  <si>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</si>
  <si>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</si>
  <si>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</si>
  <si>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</si>
  <si>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</si>
  <si>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</si>
  <si>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</si>
  <si>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</si>
  <si>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</si>
  <si>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</si>
  <si>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</si>
  <si>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</si>
  <si>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</si>
  <si>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</si>
  <si>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</si>
  <si>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</si>
  <si>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</si>
  <si>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</si>
  <si>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</si>
  <si>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</si>
  <si>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</si>
  <si>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</si>
  <si>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</si>
  <si>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</si>
  <si>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</si>
  <si>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</si>
  <si>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</si>
  <si>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</si>
  <si>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</si>
  <si>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</si>
  <si>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</si>
  <si>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</si>
  <si>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</si>
  <si>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</si>
  <si>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</si>
  <si>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</si>
  <si>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</si>
  <si>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</si>
  <si>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</si>
  <si>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</si>
  <si>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</si>
  <si>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</si>
  <si>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</si>
  <si>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</si>
  <si>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</si>
  <si>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</si>
  <si>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</si>
  <si>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</si>
  <si>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</si>
  <si>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</si>
  <si>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</si>
  <si>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</si>
  <si>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</si>
  <si>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</si>
  <si>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</si>
  <si>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</si>
  <si>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</si>
  <si>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</si>
  <si>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</si>
  <si>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</si>
  <si>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</si>
  <si>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</si>
  <si>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</si>
  <si>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</si>
  <si>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</si>
  <si>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</si>
  <si>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</si>
  <si>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</si>
  <si>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</si>
  <si>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</si>
  <si>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</si>
  <si>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</si>
  <si>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</si>
  <si>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</si>
  <si>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</si>
  <si>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</si>
  <si>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</si>
  <si>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</si>
  <si>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</si>
  <si>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</si>
  <si>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</si>
  <si>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</si>
  <si>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</si>
  <si>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</si>
  <si>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</si>
  <si>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</si>
  <si>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</si>
  <si>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</si>
  <si>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</si>
  <si>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</si>
  <si>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</si>
  <si>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</si>
  <si>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</si>
  <si>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</si>
  <si>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</si>
  <si>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</si>
  <si>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</si>
  <si>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</si>
  <si>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</si>
  <si>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</si>
  <si>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</si>
  <si>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</si>
  <si>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</si>
  <si>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</si>
  <si>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</si>
  <si>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</si>
  <si>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</si>
  <si>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</si>
  <si>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</si>
  <si>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</si>
  <si>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</si>
  <si>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</si>
  <si>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</si>
  <si>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</si>
  <si>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</si>
  <si>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</si>
  <si>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</si>
  <si>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</si>
  <si>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</si>
  <si>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</si>
  <si>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</si>
  <si>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</si>
  <si>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</si>
  <si>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</si>
  <si>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</si>
  <si>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</si>
  <si>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</si>
  <si>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</si>
  <si>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</si>
  <si>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</si>
  <si>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</si>
  <si>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</si>
  <si>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</si>
  <si>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</si>
  <si>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</si>
  <si>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</si>
  <si>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</si>
  <si>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</si>
  <si>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</si>
  <si>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</si>
  <si>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</si>
  <si>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</si>
  <si>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</si>
  <si>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</si>
  <si>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</si>
  <si>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</si>
  <si>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</si>
  <si>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</si>
  <si>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</si>
  <si>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</si>
  <si>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</si>
  <si>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</si>
  <si>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</si>
  <si>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</si>
  <si>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</si>
  <si>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</si>
  <si>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</si>
  <si>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</si>
  <si>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</si>
  <si>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</si>
  <si>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</si>
  <si>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</si>
  <si>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</si>
  <si>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</si>
  <si>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</si>
  <si>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</si>
  <si>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</si>
  <si>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</si>
  <si>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</si>
  <si>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</si>
  <si>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</si>
  <si>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</si>
  <si>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</si>
  <si>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</si>
  <si>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</si>
  <si>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</si>
  <si>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</si>
  <si>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</si>
  <si>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</si>
  <si>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</si>
  <si>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</si>
  <si>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</si>
  <si>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</si>
  <si>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</si>
  <si>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</si>
  <si>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</si>
  <si>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</si>
  <si>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</si>
  <si>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</si>
  <si>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</si>
  <si>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</si>
  <si>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</si>
  <si>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</si>
  <si>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</si>
  <si>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</si>
  <si>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</si>
  <si>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</si>
  <si>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</si>
  <si>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</si>
  <si>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</si>
  <si>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</si>
  <si>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</si>
  <si>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</si>
  <si>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</si>
  <si>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</si>
  <si>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</si>
  <si>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</si>
  <si>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</si>
  <si>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</si>
  <si>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</si>
  <si>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</si>
  <si>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</si>
  <si>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</si>
  <si>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</si>
  <si>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</si>
  <si>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</si>
  <si>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</si>
  <si>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</si>
  <si>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</si>
  <si>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</si>
  <si>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</si>
  <si>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</si>
  <si>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</si>
  <si>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</si>
  <si>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</si>
  <si>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</si>
  <si>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</si>
  <si>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</si>
  <si>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</si>
  <si>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</si>
  <si>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</si>
  <si>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</si>
  <si>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</si>
  <si>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</si>
  <si>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</si>
  <si>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</si>
  <si>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</si>
  <si>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</si>
  <si>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</si>
  <si>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</si>
  <si>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</si>
  <si>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</si>
  <si>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</si>
  <si>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</si>
  <si>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</si>
  <si>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</si>
  <si>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</si>
  <si>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</si>
  <si>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</si>
  <si>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</si>
  <si>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</si>
  <si>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</si>
  <si>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</si>
  <si>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</si>
  <si>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</si>
  <si>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</si>
  <si>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</si>
  <si>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</si>
  <si>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</si>
  <si>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</si>
  <si>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</si>
  <si>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</si>
  <si>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</si>
  <si>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</si>
  <si>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</si>
  <si>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</si>
  <si>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Eredeti előirányzat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</si>
  <si>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</si>
  <si>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</si>
  <si>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</si>
  <si>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</si>
  <si>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</si>
  <si>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</si>
  <si>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</si>
  <si>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</si>
  <si>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</si>
  <si>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</si>
  <si>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</si>
  <si>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</si>
  <si>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</si>
  <si>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</si>
  <si>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</si>
  <si>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</si>
  <si>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</si>
  <si>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</si>
  <si>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</si>
  <si>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</si>
  <si>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</si>
  <si>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</si>
  <si>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</si>
  <si>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</si>
  <si>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</si>
  <si>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</si>
  <si>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</si>
  <si>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</si>
  <si>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</si>
  <si>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</si>
  <si>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</si>
  <si>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</si>
  <si>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</si>
  <si>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</si>
  <si>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</si>
  <si>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</si>
  <si>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</si>
  <si>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</si>
  <si>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</si>
  <si>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</si>
  <si>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</si>
  <si>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</si>
  <si>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</si>
  <si>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</si>
  <si>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</si>
  <si>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</si>
  <si>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</si>
  <si>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</si>
  <si>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</si>
  <si>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</si>
  <si>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</si>
  <si>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</si>
  <si>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</si>
  <si>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</si>
  <si>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</si>
  <si>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</si>
  <si>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</si>
  <si>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</si>
  <si>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</si>
  <si>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</si>
  <si>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</si>
  <si>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</si>
  <si>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</si>
  <si>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</si>
  <si>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</si>
  <si>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</si>
  <si>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</si>
  <si>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</si>
  <si>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</si>
  <si>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</si>
  <si>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</si>
  <si>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</si>
  <si>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</si>
  <si>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</si>
  <si>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</si>
  <si>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</si>
  <si>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</si>
  <si>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</si>
  <si>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</si>
  <si>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</si>
  <si>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</si>
  <si>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</si>
  <si>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</si>
  <si>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</si>
  <si>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</si>
  <si>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</si>
  <si>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</si>
  <si>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</si>
  <si>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</si>
  <si>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</si>
  <si>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</si>
  <si>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</si>
  <si>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</si>
  <si>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</si>
  <si>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</si>
  <si>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</si>
  <si>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</si>
  <si>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</si>
  <si>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</si>
  <si>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</si>
  <si>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</si>
  <si>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</si>
  <si>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</si>
  <si>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</si>
  <si>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</si>
  <si>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</si>
  <si>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</si>
  <si>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</si>
  <si>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</si>
  <si>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</si>
  <si>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</si>
  <si>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</si>
  <si>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</si>
  <si>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</si>
  <si>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</si>
  <si>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</si>
  <si>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</si>
  <si>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</si>
  <si>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</si>
  <si>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</si>
  <si>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</si>
  <si>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</si>
  <si>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</si>
  <si>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</si>
  <si>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</si>
  <si>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</si>
  <si>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</si>
  <si>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</si>
  <si>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</si>
  <si>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</si>
  <si>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</si>
  <si>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</si>
  <si>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</si>
  <si>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</si>
  <si>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</si>
  <si>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</si>
  <si>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</si>
  <si>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</si>
  <si>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</si>
  <si>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</si>
  <si>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</si>
  <si>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</si>
  <si>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</si>
  <si>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</si>
  <si>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</si>
  <si>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</si>
  <si>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</si>
  <si>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</si>
  <si>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</si>
  <si>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</si>
  <si>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</si>
  <si>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</si>
  <si>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</si>
  <si>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</si>
  <si>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</si>
  <si>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</si>
  <si>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</si>
  <si>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</si>
  <si>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</si>
  <si>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</si>
  <si>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</si>
  <si>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</si>
  <si>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</si>
  <si>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</si>
  <si>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</si>
  <si>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</si>
  <si>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</si>
  <si>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</si>
  <si>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</si>
  <si>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</si>
  <si>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</si>
  <si>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</si>
  <si>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</si>
  <si>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</si>
  <si>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</si>
  <si>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</si>
  <si>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</si>
  <si>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</si>
  <si>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</si>
  <si>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</si>
  <si>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</si>
  <si>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</si>
  <si>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</si>
  <si>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</si>
  <si>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</si>
  <si>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</si>
  <si>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</si>
  <si>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</si>
  <si>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</si>
  <si>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</si>
  <si>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</si>
  <si>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</si>
  <si>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</si>
  <si>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</si>
  <si>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</si>
  <si>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</si>
  <si>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</si>
  <si>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</si>
  <si>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</si>
  <si>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</si>
  <si>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</si>
  <si>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</si>
  <si>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</si>
  <si>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</si>
  <si>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</si>
  <si>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</si>
  <si>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</si>
  <si>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</si>
  <si>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</si>
  <si>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</si>
  <si>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</si>
  <si>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</si>
  <si>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</si>
  <si>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</si>
  <si>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</si>
  <si>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</si>
  <si>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</si>
  <si>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</si>
  <si>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</si>
  <si>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</si>
  <si>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</si>
  <si>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</si>
  <si>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</si>
  <si>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</si>
  <si>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</si>
  <si>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</si>
  <si>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</si>
  <si>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</si>
  <si>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</si>
  <si>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</si>
  <si>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</si>
  <si>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</si>
  <si>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</si>
  <si>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</si>
  <si>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</si>
  <si>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</si>
  <si>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</si>
  <si>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</si>
  <si>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</si>
  <si>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</si>
  <si>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</si>
  <si>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</si>
  <si>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</si>
  <si>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</si>
  <si>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</si>
  <si>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</si>
  <si>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</si>
  <si>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</si>
  <si>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</si>
  <si>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</si>
  <si>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BBKP könyvtár bevétele</t>
  </si>
  <si>
    <t>BBKP Óvodamúzeum bevétele</t>
  </si>
  <si>
    <t>BBKP Rendezvények bevétele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</si>
  <si>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</si>
  <si>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</si>
  <si>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</si>
  <si>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</si>
  <si>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</si>
  <si>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</si>
  <si>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</si>
  <si>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</si>
  <si>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</si>
  <si>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</si>
  <si>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</si>
  <si>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</si>
  <si>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</si>
  <si>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</si>
  <si>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</si>
  <si>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</si>
  <si>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</si>
  <si>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</si>
  <si>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</si>
  <si>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</si>
  <si>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</si>
  <si>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</si>
  <si>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</si>
  <si>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</si>
  <si>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</si>
  <si>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</si>
  <si>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</si>
  <si>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</si>
  <si>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</si>
  <si>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</si>
  <si>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</si>
  <si>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</si>
  <si>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</si>
  <si>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</si>
  <si>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</si>
  <si>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</si>
  <si>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</si>
  <si>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</si>
  <si>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</si>
  <si>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</si>
  <si>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</si>
  <si>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Áfavisszatérülés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</si>
  <si>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</si>
  <si>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</si>
  <si>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</si>
  <si>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</si>
  <si>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</si>
  <si>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</si>
  <si>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</si>
  <si>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</si>
  <si>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</si>
  <si>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</si>
  <si>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</si>
  <si>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BBKP Terembérlet</t>
  </si>
  <si>
    <t>PH házasságkötés bevétele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</si>
  <si>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</si>
  <si>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</si>
  <si>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</si>
  <si>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</si>
  <si>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</si>
  <si>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</si>
  <si>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</si>
  <si>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</si>
  <si>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</si>
  <si>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</si>
  <si>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</si>
  <si>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</si>
  <si>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</si>
  <si>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</si>
  <si>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</si>
  <si>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</si>
  <si>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</si>
  <si>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</si>
  <si>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</si>
  <si>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</si>
  <si>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</si>
  <si>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</si>
  <si>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</si>
  <si>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</si>
  <si>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</si>
  <si>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</si>
  <si>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</si>
  <si>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</si>
  <si>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</si>
  <si>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</si>
  <si>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</si>
  <si>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102030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</si>
  <si>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</si>
  <si>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</si>
  <si>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</si>
  <si>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</si>
  <si>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</si>
  <si>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</si>
  <si>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</si>
  <si>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(Martonvásári Napokra)</t>
    </r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</si>
  <si>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</si>
  <si>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</si>
  <si>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</si>
  <si>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</si>
  <si>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</si>
  <si>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</si>
  <si>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</si>
  <si>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</si>
  <si>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</si>
  <si>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</si>
  <si>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</si>
  <si>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</si>
  <si>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</si>
  <si>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</si>
  <si>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</si>
  <si>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</si>
  <si>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</si>
  <si>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Műk.célú pénzeszk.átvétel SZLV TKT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</si>
  <si>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</si>
  <si>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</si>
  <si>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</si>
  <si>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</si>
  <si>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</si>
  <si>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</si>
  <si>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</si>
  <si>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</si>
  <si>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</si>
  <si>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</si>
  <si>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</si>
  <si>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</si>
  <si>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</si>
  <si>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</si>
  <si>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</si>
  <si>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</si>
  <si>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Geróts terem bérbeadása</t>
  </si>
  <si>
    <t>Rendőrség támogatása</t>
  </si>
  <si>
    <t>Mentőszolgálat támogatása</t>
  </si>
  <si>
    <t>045120-Út, autópálya építése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</si>
  <si>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</si>
  <si>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</si>
  <si>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</si>
  <si>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</si>
  <si>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</si>
  <si>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</si>
  <si>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</si>
  <si>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</si>
  <si>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081030- Sportlétesítmények működtetése és fejlesztése</t>
  </si>
  <si>
    <t>Rendezvények és egyéb vendéglátás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</si>
  <si>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</si>
  <si>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</si>
  <si>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</si>
  <si>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</si>
  <si>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</si>
  <si>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</si>
  <si>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</si>
  <si>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</si>
  <si>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</si>
  <si>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</si>
  <si>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</si>
  <si>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</si>
  <si>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</si>
  <si>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</si>
  <si>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</si>
  <si>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</si>
  <si>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</si>
  <si>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</si>
  <si>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</si>
  <si>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</si>
  <si>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>Védőnők beruházás</t>
  </si>
  <si>
    <t xml:space="preserve"> </t>
  </si>
  <si>
    <t>6/c.sz.melléklet</t>
  </si>
  <si>
    <t>Ssz.</t>
  </si>
  <si>
    <t>10.sz.melléklet</t>
  </si>
  <si>
    <t>11.sz.melléklet</t>
  </si>
  <si>
    <t>2018. évi</t>
  </si>
  <si>
    <t>2018. évi tervezett  létszám (fő)</t>
  </si>
  <si>
    <t>Martonvásár Város Önkormányzatának 2018.évi költségvetésének pénzügyi mérlege I.</t>
  </si>
  <si>
    <t>Martonvásár Város Önkormányzatának 2018.évi költségvetésének pénzügyi mérlege II.</t>
  </si>
  <si>
    <t>Martonvásár Város Önkormányzatának 2018. évi bevétele (intézmények nélkül)</t>
  </si>
  <si>
    <t>Martonvásár Város Önkormányzatának 2018. évi átvett pénzeszközei</t>
  </si>
  <si>
    <t>Martonvásár Város Önkormányzatának 2018. évi működési bevételei</t>
  </si>
  <si>
    <t>Martonvásár Város Önkormányzatának 2018. évi  közhatalmi bevételei</t>
  </si>
  <si>
    <t>Martonvásár Város Önkormányzatának 2018. évi normatív támogatásai</t>
  </si>
  <si>
    <t>Martonvásár Város Önkormányzatának 2018. évi kiadásai (intézmények nélkül)</t>
  </si>
  <si>
    <t>Martonvásár Város Önkormányzatának 2018. évi kiadásai - Önkormányzati jogalkotás kormányzati funkció</t>
  </si>
  <si>
    <t>Martonvásár Város Önkormányzatának 2018. évi kiadásai - Városfejlesztési feladatok ellátása saját forrásból</t>
  </si>
  <si>
    <t>Martonvásár Város Önkormányzatának 2018. évi kiadásai - Városfejlesztési feladatok ellátása EU forrásból</t>
  </si>
  <si>
    <t>Martonvásár Város Önkormányzatának 2018. évi kiadásai - Védőnői és eü feladatok ellátása</t>
  </si>
  <si>
    <t>Martonvásár Város Önkormányzatának 2018. évi kiadásai - Szociális feladatok ellátása</t>
  </si>
  <si>
    <t>Martonvásár Város Önkormányzatának 2018. évi kiadásai - Átadott pénzeszközök</t>
  </si>
  <si>
    <t>Martonvásár Város Önkormányzatának 2018. évi kiadásai - Egyéb feladatok ellátása</t>
  </si>
  <si>
    <t>Martonvásári Polgármesteri Hivatal 2018. évi kiadásai</t>
  </si>
  <si>
    <t>Brunszvik Teréz Óvoda 2018. évi kiadásai</t>
  </si>
  <si>
    <t>Brunszvik-Beethoven Kulturális Központ 2018. évi kiadásai</t>
  </si>
  <si>
    <t>Martonvásár Város Önkormányzata és Intézményei  2018. évi létszámkerete</t>
  </si>
  <si>
    <t>2017/2018 8hó</t>
  </si>
  <si>
    <t>2018/2019 4 hó</t>
  </si>
  <si>
    <t>2017/2018 8 hó</t>
  </si>
  <si>
    <t>Óvodapedagógusok nev. munkáját közvetlenül segítők bértámogatása</t>
  </si>
  <si>
    <t>TOP 2.1.2 (Zöld város)</t>
  </si>
  <si>
    <t>TOP 4.1.1 (Egészségház)</t>
  </si>
  <si>
    <t>TOP 3.2.1 (Iskolaenergetika)</t>
  </si>
  <si>
    <t>KÖFOP 1.2.1 (ASP csatlakozás)</t>
  </si>
  <si>
    <t>Nemzetközi kapcsolatok és kiemelt rendezvények</t>
  </si>
  <si>
    <t>Építményadó hátralék</t>
  </si>
  <si>
    <t>39M Lövész Egyesület támogatás visszatérítése</t>
  </si>
  <si>
    <t>Pályázati céltartalék</t>
  </si>
  <si>
    <t>KEHOP 2.2.1 (Csatorna beruházás)</t>
  </si>
  <si>
    <t>KEHOP 2.1.2 (Viziközmű beruházás)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</si>
  <si>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</si>
  <si>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</si>
  <si>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</si>
  <si>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</si>
  <si>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</si>
  <si>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</si>
  <si>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</si>
  <si>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</si>
  <si>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</si>
  <si>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</si>
  <si>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</si>
  <si>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</si>
  <si>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</si>
  <si>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</si>
  <si>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</si>
  <si>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</si>
  <si>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</si>
  <si>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</si>
  <si>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</si>
  <si>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</si>
  <si>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</si>
  <si>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</si>
  <si>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</si>
  <si>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</si>
  <si>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</si>
  <si>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</si>
  <si>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</si>
  <si>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</si>
  <si>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</si>
  <si>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</si>
  <si>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</si>
  <si>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Kártyaolvasók</t>
  </si>
  <si>
    <t>Monitorok</t>
  </si>
  <si>
    <t>Számítógépek</t>
  </si>
  <si>
    <t>Access Point beüzemelés</t>
  </si>
  <si>
    <t>Szünetmentes tápegységek</t>
  </si>
  <si>
    <t>SSD csere kiadásai</t>
  </si>
  <si>
    <t>Telefonkészülék vásárlás</t>
  </si>
  <si>
    <t>Riasztórendszer, kamerarendszer</t>
  </si>
  <si>
    <t>ASZA gép beszerzés</t>
  </si>
  <si>
    <t>Irodabútor</t>
  </si>
  <si>
    <t>Fényképezőgép, projektor</t>
  </si>
  <si>
    <t>TOP 2.1.2 Zöld város pályázat</t>
  </si>
  <si>
    <t>TOP 4.1.1 Egészségház pályázat</t>
  </si>
  <si>
    <t>TOP 3.2.1 Iskolaenergetikai pályázat</t>
  </si>
  <si>
    <t>KEHOP 2.1.1 Csatorna pályázat</t>
  </si>
  <si>
    <t>KEHOP 2.1.2 Víziközmű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</si>
  <si>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</si>
  <si>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</si>
  <si>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</si>
  <si>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</si>
  <si>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</si>
  <si>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</si>
  <si>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Módosítottei.</t>
  </si>
  <si>
    <t>Módosított ei.</t>
  </si>
  <si>
    <t>Mód.ei.</t>
  </si>
  <si>
    <t>Mód.ei</t>
  </si>
  <si>
    <t>2018. évi módosítás</t>
  </si>
  <si>
    <t>2018. évi módosított létszám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</si>
  <si>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</si>
  <si>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</si>
  <si>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</si>
  <si>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</si>
  <si>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</si>
  <si>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</si>
  <si>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</si>
  <si>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</si>
  <si>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</si>
  <si>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</si>
  <si>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</si>
  <si>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</si>
  <si>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</si>
  <si>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</si>
  <si>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Rendezvények céltartaléka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</si>
  <si>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</si>
  <si>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</si>
  <si>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</si>
  <si>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</si>
  <si>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</si>
  <si>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</si>
  <si>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</si>
  <si>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</si>
  <si>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</si>
  <si>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</si>
  <si>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</si>
  <si>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</si>
  <si>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</si>
  <si>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Hat. szám v. ügyir. sz.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</si>
  <si>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</si>
  <si>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</si>
  <si>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</si>
  <si>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</si>
  <si>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</si>
  <si>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</si>
  <si>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</si>
  <si>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</si>
  <si>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</si>
  <si>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</si>
  <si>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</si>
  <si>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</si>
  <si>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</si>
  <si>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</si>
  <si>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</si>
  <si>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</si>
  <si>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</si>
  <si>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</si>
  <si>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</si>
  <si>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</si>
  <si>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</si>
  <si>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</si>
  <si>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2018/7</t>
  </si>
  <si>
    <t>2017.12-2018.02 havi bérkompenzáció előirányzatosítása</t>
  </si>
  <si>
    <t>2018/4</t>
  </si>
  <si>
    <t>2018 évi választás kiadásainak és bevételeinek előirányzatosítása</t>
  </si>
  <si>
    <t>2018/13</t>
  </si>
  <si>
    <t>2018/1</t>
  </si>
  <si>
    <t>2017 évi maradvány átadása Önkormányzatnak</t>
  </si>
  <si>
    <t>Maradvány</t>
  </si>
  <si>
    <t>2018/5</t>
  </si>
  <si>
    <t>Továbbszámlázott szolgáltatás kiadásainak és bevételeinek előirányzatosítása</t>
  </si>
  <si>
    <t>2018/11</t>
  </si>
  <si>
    <t>2018.03 havi bérkompenzáció előirányzatosítása</t>
  </si>
  <si>
    <t>Egyéb működési célú támogatások államháztartáson belülre</t>
  </si>
  <si>
    <t>Kulturális illetmény pótlék átadása BBK-nak</t>
  </si>
  <si>
    <t>Intézményfinanszírozás Óvodának telefonra, konferenciára</t>
  </si>
  <si>
    <t>EFOP 4.1.8 (Könyvtári pályázat)</t>
  </si>
  <si>
    <t>2018/10</t>
  </si>
  <si>
    <t>Forum Martini melléklet általános tartalék terhére</t>
  </si>
  <si>
    <t>Közétkeztetési feladatok ellátására ei átcsoportosítás</t>
  </si>
  <si>
    <t>800 M ei átcsoportosítás</t>
  </si>
  <si>
    <t>ASP pályázat ei átcsoportosítás</t>
  </si>
  <si>
    <t>Kincstárjegy lekötés és beváltás előirányzatosítása</t>
  </si>
  <si>
    <t>2018/11,14</t>
  </si>
  <si>
    <t>2018/16</t>
  </si>
  <si>
    <t>2017 évi maradvány előirányzatosítása</t>
  </si>
  <si>
    <t>Maradvány igénybevétele</t>
  </si>
  <si>
    <t>2018/18</t>
  </si>
  <si>
    <t>Frekvenciaváltó csere díja csatorna tartalék terhére</t>
  </si>
  <si>
    <t>2018/19</t>
  </si>
  <si>
    <t>Közfoglalkoztatotti túlfinanszírozás miatti visszafizetési kötelezettségre ei átcsoportosítás</t>
  </si>
  <si>
    <t>2018/21</t>
  </si>
  <si>
    <t>Intézményfinanszírozás BBK-nak eszközbeszerzésre általános tartalék terhére</t>
  </si>
  <si>
    <t>Intézményfinanszírozás BBK-nak MNN kiadásainak finanszírozására, működési céltartalék terhére</t>
  </si>
  <si>
    <t>BM pályázat (Óvoda fejlesztés) kiadásainak és bevételeinek előirányzatosítása</t>
  </si>
  <si>
    <t>Bethlen Gábor pályázat kiadásainak és bevételeinek előirányzatosítása</t>
  </si>
  <si>
    <t>Bérkompenzáció 2018.01-04 havi</t>
  </si>
  <si>
    <t>2018/27</t>
  </si>
  <si>
    <t>Rákóczi Szövetség támogatására ei átcsoportosítás általános tartalék terhére</t>
  </si>
  <si>
    <t>2018/29</t>
  </si>
  <si>
    <t>2018/30</t>
  </si>
  <si>
    <t>Szoc normatíva lemondás miatti visszafizetés TKT-tól</t>
  </si>
  <si>
    <t>2017. évi TKT zárszámadás alapján visszafizetés TKT-tól</t>
  </si>
  <si>
    <t>Bölcsödei hozzájárulás ei csökkentése</t>
  </si>
  <si>
    <t>EFOP 4.1.8. (Könyvtári pályázat)</t>
  </si>
  <si>
    <t>pályázat</t>
  </si>
  <si>
    <t>KEHOP 2.1.1 (Csatorna-beruházás)</t>
  </si>
  <si>
    <t>KEHOP 2.1.2 (Vízrendszer beruházás)</t>
  </si>
  <si>
    <t>K914</t>
  </si>
  <si>
    <t>ÁH belüli megelőlegezések visszafizetése</t>
  </si>
  <si>
    <t>052020 Szennyvíz gyűjtése, tisztítása, elhelyezése</t>
  </si>
  <si>
    <t>K912</t>
  </si>
  <si>
    <t>Belföldi értékpapírok kiadásai</t>
  </si>
  <si>
    <t>TOP 5.3.1 (Helyi identitás)</t>
  </si>
  <si>
    <t>BM pályázat (Óvoda fejlesztés)</t>
  </si>
  <si>
    <t>041233-Közfoglalkoztatás</t>
  </si>
  <si>
    <t>Egyéb működési célú támogatások ÁH-n belül</t>
  </si>
  <si>
    <t>082042- Könyvtári szolgáltatások</t>
  </si>
  <si>
    <t>Konferencia</t>
  </si>
  <si>
    <t>Tárgyi eszköz beszerzése (laminálógép, nagymérteű tűzőgép)</t>
  </si>
  <si>
    <t>Bérczes Anna vállalkozói díja  MNN (2017. évi jegybevétel)</t>
  </si>
  <si>
    <t>Közvetített szolgáltatás előírrányzatosítása</t>
  </si>
  <si>
    <t>Mobiltelefon vásárlás az Óvodavezető részére</t>
  </si>
  <si>
    <t>SNI gyerekek fejlesztésére átcsop. aToman számlák kifizetésére</t>
  </si>
  <si>
    <t>Továbbszámlázott szolgáltatás bevételének és kiadásának előirányzatosítása</t>
  </si>
  <si>
    <t>Martonvásár Város Képviselőtestület …../2018 (….) önkormányzati rendelete Martonvásár Város 2018.évi költségvetésének módosításáról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</si>
  <si>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</si>
  <si>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</si>
  <si>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</si>
  <si>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</si>
  <si>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</si>
  <si>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</si>
  <si>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</si>
  <si>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</si>
  <si>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</si>
  <si>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</si>
  <si>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Kulturális illetménypótlék 2017.12-2018.03</t>
  </si>
  <si>
    <t>EFOP 4.1.8 (Könyvtár beruházás)</t>
  </si>
  <si>
    <t>BM pályázat (Óvoda felújítás)</t>
  </si>
  <si>
    <t>Bethlen Gábor pályázat bevétele</t>
  </si>
  <si>
    <t>2018. évi támogatás eredeti ei.</t>
  </si>
  <si>
    <t>2018. évi módosított támogatás ei.</t>
  </si>
  <si>
    <t>Kulturális ill.pótlék</t>
  </si>
  <si>
    <t>Mobiltelefon vásárlás</t>
  </si>
  <si>
    <t>Laminálógép, tűzőgép</t>
  </si>
  <si>
    <t>BM pályázat, Óvoda felújítás</t>
  </si>
  <si>
    <t>Martongazda Nonprofit Kft finanszírozási tartaléka</t>
  </si>
  <si>
    <t>MG Kft finansízírozási tartaléka</t>
  </si>
  <si>
    <t>Kiemelt önkormányzati beruházások</t>
  </si>
  <si>
    <t>Projektekhez kapcsolódó kiegészítő beruházások</t>
  </si>
  <si>
    <t>Településrendezés, ingatalanfejlesztés,kisajátítás</t>
  </si>
  <si>
    <t>Malom épületében lift bontási munkái kiemelt önkormányzati beruházás terhére</t>
  </si>
  <si>
    <t>Településrendezési eszközök tárgyalásos eljárás keretében - ipari terület, lakóterület kijelölése - rajzi munkák elkészítése kiemelt önkormányzati beruházások előirányzatának terhére</t>
  </si>
  <si>
    <t>MV 196 hrsz ingatlan magassági felmérésének díjára ei. Átcsoportosítás kiemelt önkormányzati beruházások eiból</t>
  </si>
  <si>
    <t>MV 025/01 hrsz alatti út mechanikailag stabilizált útalap készítésének díja kiemelt önkormányzati beruházások ei-ból</t>
  </si>
  <si>
    <t>Molinók beszerzése városfejlesztési projektekhez kiemelt önkormányzati beruházások előirányzatának terhére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</si>
</sst>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</cellStyleXfs>
  <cellXfs count="1338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2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9" fillId="0" borderId="5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0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0" fontId="29" fillId="0" borderId="13" xfId="0" applyFont="1" applyBorder="1"/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right"/>
    </xf>
    <xf numFmtId="0" fontId="29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0" fillId="0" borderId="0" xfId="0" applyFont="1" applyBorder="1" applyAlignment="1">
      <alignment horizontal="left" wrapText="1"/>
    </xf>
    <xf numFmtId="0" fontId="5" fillId="0" borderId="1" xfId="0" applyFont="1" applyFill="1" applyBorder="1"/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3" fillId="0" borderId="6" xfId="0" applyFont="1" applyBorder="1" applyAlignment="1">
      <alignment horizontal="right"/>
    </xf>
    <xf numFmtId="0" fontId="33" fillId="0" borderId="6" xfId="0" applyFont="1" applyBorder="1" applyAlignment="1">
      <alignment horizontal="left"/>
    </xf>
    <xf numFmtId="0" fontId="33" fillId="0" borderId="6" xfId="0" applyFont="1" applyBorder="1"/>
    <xf numFmtId="0" fontId="35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/>
    </xf>
    <xf numFmtId="0" fontId="36" fillId="0" borderId="4" xfId="0" applyFont="1" applyBorder="1"/>
    <xf numFmtId="0" fontId="36" fillId="0" borderId="8" xfId="0" applyFont="1" applyBorder="1"/>
    <xf numFmtId="0" fontId="37" fillId="0" borderId="1" xfId="0" applyFont="1" applyBorder="1" applyAlignment="1">
      <alignment horizontal="right" vertical="center"/>
    </xf>
    <xf numFmtId="0" fontId="37" fillId="0" borderId="3" xfId="0" applyFont="1" applyBorder="1" applyAlignment="1">
      <alignment horizontal="left"/>
    </xf>
    <xf numFmtId="1" fontId="37" fillId="0" borderId="8" xfId="0" applyNumberFormat="1" applyFont="1" applyBorder="1" applyAlignment="1">
      <alignment horizontal="left" vertical="center" wrapText="1"/>
    </xf>
    <xf numFmtId="0" fontId="37" fillId="0" borderId="11" xfId="0" applyFont="1" applyBorder="1" applyAlignment="1">
      <alignment horizontal="right" vertical="center"/>
    </xf>
    <xf numFmtId="0" fontId="37" fillId="0" borderId="11" xfId="0" applyFont="1" applyBorder="1" applyAlignment="1">
      <alignment horizontal="left"/>
    </xf>
    <xf numFmtId="1" fontId="37" fillId="0" borderId="11" xfId="0" applyNumberFormat="1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/>
    </xf>
    <xf numFmtId="1" fontId="36" fillId="0" borderId="6" xfId="0" applyNumberFormat="1" applyFont="1" applyBorder="1" applyAlignment="1">
      <alignment horizontal="left" vertical="center" wrapText="1"/>
    </xf>
    <xf numFmtId="0" fontId="36" fillId="0" borderId="6" xfId="0" applyFont="1" applyBorder="1"/>
    <xf numFmtId="0" fontId="37" fillId="0" borderId="1" xfId="0" applyFont="1" applyBorder="1" applyAlignment="1">
      <alignment horizontal="right" vertical="center" wrapText="1"/>
    </xf>
    <xf numFmtId="0" fontId="37" fillId="0" borderId="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right" vertical="center"/>
    </xf>
    <xf numFmtId="0" fontId="34" fillId="0" borderId="11" xfId="0" applyFont="1" applyBorder="1" applyAlignment="1">
      <alignment horizontal="left" vertical="center" wrapText="1"/>
    </xf>
    <xf numFmtId="0" fontId="34" fillId="0" borderId="11" xfId="0" applyFont="1" applyBorder="1"/>
    <xf numFmtId="0" fontId="34" fillId="0" borderId="6" xfId="0" applyFont="1" applyBorder="1" applyAlignment="1">
      <alignment horizontal="right" vertical="center"/>
    </xf>
    <xf numFmtId="0" fontId="36" fillId="0" borderId="6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right" vertical="center" wrapText="1"/>
    </xf>
    <xf numFmtId="0" fontId="34" fillId="0" borderId="13" xfId="0" applyFont="1" applyBorder="1"/>
    <xf numFmtId="0" fontId="36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4" fillId="0" borderId="40" xfId="0" applyFont="1" applyBorder="1" applyAlignment="1">
      <alignment vertical="center"/>
    </xf>
    <xf numFmtId="3" fontId="34" fillId="0" borderId="40" xfId="0" applyNumberFormat="1" applyFont="1" applyBorder="1" applyAlignment="1">
      <alignment vertical="center"/>
    </xf>
    <xf numFmtId="3" fontId="34" fillId="4" borderId="33" xfId="0" applyNumberFormat="1" applyFont="1" applyFill="1" applyBorder="1" applyAlignment="1">
      <alignment horizontal="center" vertic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6" fillId="0" borderId="1" xfId="0" applyFont="1" applyBorder="1"/>
    <xf numFmtId="0" fontId="34" fillId="0" borderId="1" xfId="0" applyFont="1" applyBorder="1" applyAlignment="1">
      <alignment horizontal="right" vertical="center"/>
    </xf>
    <xf numFmtId="0" fontId="34" fillId="0" borderId="1" xfId="0" applyFont="1" applyBorder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0" fontId="34" fillId="4" borderId="34" xfId="0" applyFont="1" applyFill="1" applyBorder="1" applyAlignment="1">
      <alignment horizontal="center" vertical="center" wrapText="1"/>
    </xf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3" xfId="0" applyFont="1" applyBorder="1"/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4" fillId="0" borderId="40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horizontal="right"/>
    </xf>
    <xf numFmtId="3" fontId="29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 wrapText="1"/>
    </xf>
    <xf numFmtId="0" fontId="30" fillId="0" borderId="6" xfId="0" applyFont="1" applyBorder="1"/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3" fontId="3" fillId="0" borderId="21" xfId="50" applyNumberFormat="1" applyFont="1" applyBorder="1"/>
    <xf numFmtId="0" fontId="5" fillId="0" borderId="23" xfId="50" applyFont="1" applyBorder="1"/>
    <xf numFmtId="0" fontId="5" fillId="0" borderId="9" xfId="50" applyFont="1" applyBorder="1"/>
    <xf numFmtId="0" fontId="5" fillId="0" borderId="2" xfId="50" applyFont="1" applyBorder="1"/>
    <xf numFmtId="3" fontId="5" fillId="0" borderId="2" xfId="50" applyNumberFormat="1" applyFont="1" applyBorder="1"/>
    <xf numFmtId="0" fontId="3" fillId="0" borderId="38" xfId="50" applyFont="1" applyBorder="1"/>
    <xf numFmtId="0" fontId="3" fillId="0" borderId="21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 wrapText="1"/>
    </xf>
    <xf numFmtId="3" fontId="29" fillId="0" borderId="31" xfId="98" applyNumberFormat="1" applyFont="1" applyBorder="1"/>
    <xf numFmtId="3" fontId="29" fillId="0" borderId="5" xfId="98" applyNumberFormat="1" applyFont="1" applyBorder="1"/>
    <xf numFmtId="3" fontId="29" fillId="0" borderId="30" xfId="98" applyNumberFormat="1" applyFont="1" applyBorder="1"/>
    <xf numFmtId="3" fontId="29" fillId="0" borderId="36" xfId="98" applyNumberFormat="1" applyFont="1" applyBorder="1"/>
    <xf numFmtId="3" fontId="29" fillId="0" borderId="35" xfId="98" applyNumberFormat="1" applyFont="1" applyBorder="1"/>
    <xf numFmtId="3" fontId="29" fillId="0" borderId="1" xfId="98" applyNumberFormat="1" applyFont="1" applyBorder="1"/>
    <xf numFmtId="3" fontId="29" fillId="0" borderId="18" xfId="98" applyNumberFormat="1" applyFont="1" applyBorder="1"/>
    <xf numFmtId="3" fontId="29" fillId="0" borderId="19" xfId="98" applyNumberFormat="1" applyFont="1" applyBorder="1"/>
    <xf numFmtId="3" fontId="29" fillId="0" borderId="8" xfId="98" applyNumberFormat="1" applyFont="1" applyBorder="1"/>
    <xf numFmtId="3" fontId="29" fillId="0" borderId="3" xfId="98" applyNumberFormat="1" applyFont="1" applyBorder="1"/>
    <xf numFmtId="3" fontId="29" fillId="0" borderId="25" xfId="98" applyNumberFormat="1" applyFont="1" applyBorder="1"/>
    <xf numFmtId="3" fontId="30" fillId="0" borderId="0" xfId="98" applyNumberFormat="1" applyFont="1" applyBorder="1"/>
    <xf numFmtId="3" fontId="30" fillId="0" borderId="25" xfId="98" applyNumberFormat="1" applyFont="1" applyBorder="1"/>
    <xf numFmtId="3" fontId="30" fillId="0" borderId="26" xfId="98" applyNumberFormat="1" applyFont="1" applyBorder="1"/>
    <xf numFmtId="3" fontId="30" fillId="0" borderId="1" xfId="98" applyNumberFormat="1" applyFont="1" applyBorder="1"/>
    <xf numFmtId="3" fontId="30" fillId="0" borderId="18" xfId="98" applyNumberFormat="1" applyFont="1" applyBorder="1"/>
    <xf numFmtId="3" fontId="30" fillId="0" borderId="19" xfId="98" applyNumberFormat="1" applyFont="1" applyBorder="1"/>
    <xf numFmtId="3" fontId="30" fillId="0" borderId="8" xfId="98" applyNumberFormat="1" applyFont="1" applyBorder="1"/>
    <xf numFmtId="3" fontId="30" fillId="0" borderId="3" xfId="98" applyNumberFormat="1" applyFont="1" applyBorder="1"/>
    <xf numFmtId="3" fontId="29" fillId="0" borderId="20" xfId="98" applyNumberFormat="1" applyFont="1" applyBorder="1"/>
    <xf numFmtId="3" fontId="29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29" fillId="0" borderId="22" xfId="98" applyNumberFormat="1" applyFont="1" applyBorder="1"/>
    <xf numFmtId="3" fontId="29" fillId="0" borderId="38" xfId="98" applyNumberFormat="1" applyFont="1" applyBorder="1"/>
    <xf numFmtId="3" fontId="29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3" fontId="34" fillId="4" borderId="40" xfId="0" applyNumberFormat="1" applyFont="1" applyFill="1" applyBorder="1" applyAlignment="1">
      <alignment horizontal="right" vertical="center" wrapText="1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4" fillId="0" borderId="27" xfId="0" applyFont="1" applyBorder="1" applyAlignment="1">
      <alignment horizontal="left" vertical="center"/>
    </xf>
    <xf numFmtId="0" fontId="36" fillId="0" borderId="44" xfId="0" applyFont="1" applyBorder="1"/>
    <xf numFmtId="3" fontId="36" fillId="0" borderId="46" xfId="0" applyNumberFormat="1" applyFont="1" applyBorder="1"/>
    <xf numFmtId="167" fontId="34" fillId="4" borderId="34" xfId="98" applyNumberFormat="1" applyFont="1" applyFill="1" applyBorder="1" applyAlignment="1">
      <alignment vertical="center" wrapText="1"/>
    </xf>
    <xf numFmtId="3" fontId="5" fillId="0" borderId="8" xfId="50" applyNumberFormat="1" applyFont="1" applyFill="1" applyBorder="1"/>
    <xf numFmtId="3" fontId="13" fillId="0" borderId="6" xfId="0" applyNumberFormat="1" applyFont="1" applyFill="1" applyBorder="1" applyAlignment="1" applyProtection="1"/>
    <xf numFmtId="166" fontId="34" fillId="4" borderId="3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43" fontId="30" fillId="0" borderId="0" xfId="98" applyFont="1" applyAlignment="1">
      <alignment vertical="center"/>
    </xf>
    <xf numFmtId="0" fontId="64" fillId="0" borderId="1" xfId="42" applyFont="1" applyBorder="1"/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0" fontId="0" fillId="0" borderId="0" xfId="0" applyBorder="1" applyAlignment="1">
      <alignment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vertical="center" wrapText="1"/>
      <protection locked="0"/>
    </xf>
    <xf numFmtId="3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/>
      <protection locked="0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3" fillId="0" borderId="31" xfId="42" applyFont="1" applyBorder="1" applyAlignment="1">
      <alignment horizontal="center" wrapText="1"/>
    </xf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64" fillId="0" borderId="18" xfId="42" applyFont="1" applyBorder="1"/>
    <xf numFmtId="0" fontId="3" fillId="0" borderId="36" xfId="50" applyFont="1" applyBorder="1" applyAlignment="1">
      <alignment horizontal="center" vertical="center" wrapText="1"/>
    </xf>
    <xf numFmtId="0" fontId="5" fillId="0" borderId="15" xfId="50" applyFont="1" applyBorder="1"/>
    <xf numFmtId="0" fontId="5" fillId="0" borderId="62" xfId="50" applyFont="1" applyBorder="1"/>
    <xf numFmtId="0" fontId="5" fillId="0" borderId="16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3" fillId="0" borderId="18" xfId="1" applyNumberFormat="1" applyFont="1" applyBorder="1"/>
    <xf numFmtId="3" fontId="29" fillId="0" borderId="26" xfId="0" applyNumberFormat="1" applyFont="1" applyBorder="1"/>
    <xf numFmtId="3" fontId="3" fillId="0" borderId="19" xfId="1" applyNumberFormat="1" applyFont="1" applyBorder="1"/>
    <xf numFmtId="3" fontId="29" fillId="0" borderId="18" xfId="0" applyNumberFormat="1" applyFont="1" applyBorder="1"/>
    <xf numFmtId="3" fontId="30" fillId="0" borderId="18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1" fontId="36" fillId="0" borderId="1" xfId="0" applyNumberFormat="1" applyFont="1" applyBorder="1"/>
    <xf numFmtId="1" fontId="34" fillId="0" borderId="1" xfId="0" applyNumberFormat="1" applyFont="1" applyBorder="1"/>
    <xf numFmtId="0" fontId="34" fillId="31" borderId="11" xfId="0" applyFont="1" applyFill="1" applyBorder="1"/>
    <xf numFmtId="1" fontId="34" fillId="0" borderId="13" xfId="0" applyNumberFormat="1" applyFont="1" applyBorder="1"/>
    <xf numFmtId="0" fontId="5" fillId="0" borderId="1" xfId="0" applyFont="1" applyBorder="1"/>
    <xf numFmtId="0" fontId="3" fillId="0" borderId="1" xfId="0" applyFont="1" applyBorder="1"/>
    <xf numFmtId="0" fontId="34" fillId="0" borderId="1" xfId="0" applyFont="1" applyFill="1" applyBorder="1"/>
    <xf numFmtId="0" fontId="36" fillId="0" borderId="1" xfId="0" applyFont="1" applyFill="1" applyBorder="1"/>
    <xf numFmtId="1" fontId="36" fillId="0" borderId="1" xfId="0" applyNumberFormat="1" applyFont="1" applyFill="1" applyBorder="1"/>
    <xf numFmtId="1" fontId="34" fillId="0" borderId="1" xfId="0" applyNumberFormat="1" applyFont="1" applyFill="1" applyBorder="1"/>
    <xf numFmtId="0" fontId="36" fillId="0" borderId="3" xfId="0" applyFont="1" applyFill="1" applyBorder="1"/>
    <xf numFmtId="0" fontId="36" fillId="0" borderId="4" xfId="0" applyFont="1" applyFill="1" applyBorder="1"/>
    <xf numFmtId="0" fontId="36" fillId="0" borderId="8" xfId="0" applyFont="1" applyFill="1" applyBorder="1"/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6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6" fillId="0" borderId="11" xfId="0" applyFont="1" applyFill="1" applyBorder="1"/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11" xfId="0" applyFont="1" applyFill="1" applyBorder="1"/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/>
    <xf numFmtId="0" fontId="34" fillId="0" borderId="10" xfId="0" applyFont="1" applyFill="1" applyBorder="1" applyAlignment="1">
      <alignment horizontal="right" vertical="center"/>
    </xf>
    <xf numFmtId="0" fontId="36" fillId="0" borderId="9" xfId="0" applyFont="1" applyFill="1" applyBorder="1"/>
    <xf numFmtId="0" fontId="36" fillId="0" borderId="10" xfId="0" applyFont="1" applyFill="1" applyBorder="1"/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0" fontId="34" fillId="0" borderId="60" xfId="0" applyFont="1" applyBorder="1" applyAlignment="1">
      <alignment horizontal="center" vertical="center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0" fontId="36" fillId="0" borderId="1" xfId="0" applyFont="1" applyBorder="1" applyAlignment="1">
      <alignment horizontal="right"/>
    </xf>
    <xf numFmtId="0" fontId="36" fillId="0" borderId="1" xfId="0" applyFont="1" applyFill="1" applyBorder="1" applyAlignment="1">
      <alignment horizontal="right"/>
    </xf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6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0" fontId="5" fillId="0" borderId="18" xfId="42" applyFont="1" applyBorder="1" applyAlignment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36" fillId="0" borderId="1" xfId="0" applyFont="1" applyBorder="1" applyAlignment="1"/>
    <xf numFmtId="0" fontId="34" fillId="0" borderId="1" xfId="0" applyFont="1" applyBorder="1" applyAlignment="1"/>
    <xf numFmtId="3" fontId="13" fillId="0" borderId="6" xfId="0" applyNumberFormat="1" applyFont="1" applyFill="1" applyBorder="1" applyAlignment="1" applyProtection="1">
      <alignment horizontal="center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0" fontId="3" fillId="0" borderId="5" xfId="50" applyFont="1" applyBorder="1" applyAlignment="1">
      <alignment horizontal="center" vertical="center" wrapText="1"/>
    </xf>
    <xf numFmtId="0" fontId="3" fillId="0" borderId="30" xfId="50" applyFont="1" applyBorder="1" applyAlignment="1">
      <alignment horizontal="center" wrapText="1"/>
    </xf>
    <xf numFmtId="3" fontId="3" fillId="0" borderId="53" xfId="42" applyNumberFormat="1" applyFont="1" applyBorder="1"/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0" fontId="3" fillId="0" borderId="62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3" fillId="0" borderId="17" xfId="50" applyFont="1" applyBorder="1" applyAlignment="1">
      <alignment horizontal="center" wrapText="1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34" fillId="0" borderId="1" xfId="98" applyNumberFormat="1" applyFont="1" applyFill="1" applyBorder="1"/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69" fillId="0" borderId="16" xfId="0" applyFont="1" applyBorder="1" applyAlignment="1">
      <alignment horizontal="center" vertical="center"/>
    </xf>
    <xf numFmtId="0" fontId="73" fillId="0" borderId="0" xfId="43" applyFont="1"/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/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0" fontId="3" fillId="0" borderId="1" xfId="43" applyFont="1" applyFill="1" applyBorder="1" applyAlignment="1">
      <alignment horizontal="right" wrapText="1"/>
    </xf>
    <xf numFmtId="3" fontId="3" fillId="33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3" fontId="3" fillId="33" borderId="19" xfId="43" applyNumberFormat="1" applyFont="1" applyFill="1" applyBorder="1" applyAlignment="1">
      <alignment horizontal="right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73" fillId="0" borderId="1" xfId="43" applyNumberFormat="1" applyFont="1" applyFill="1" applyBorder="1" applyAlignment="1">
      <alignment horizontal="right" wrapText="1"/>
    </xf>
    <xf numFmtId="3" fontId="72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167" fontId="5" fillId="0" borderId="1" xfId="98" applyNumberFormat="1" applyFont="1" applyBorder="1" applyAlignment="1">
      <alignment horizontal="right" wrapText="1"/>
    </xf>
    <xf numFmtId="3" fontId="72" fillId="0" borderId="1" xfId="43" applyNumberFormat="1" applyFont="1" applyBorder="1" applyAlignment="1">
      <alignment horizontal="right" wrapText="1"/>
    </xf>
    <xf numFmtId="3" fontId="73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167" fontId="5" fillId="0" borderId="1" xfId="98" applyNumberFormat="1" applyFont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167" fontId="3" fillId="0" borderId="21" xfId="98" applyNumberFormat="1" applyFont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3" fillId="0" borderId="0" xfId="43" applyFont="1"/>
    <xf numFmtId="167" fontId="5" fillId="0" borderId="0" xfId="98" applyNumberFormat="1" applyFont="1"/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3" fontId="3" fillId="0" borderId="1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49" fontId="5" fillId="0" borderId="38" xfId="43" applyNumberFormat="1" applyFont="1" applyBorder="1"/>
    <xf numFmtId="49" fontId="5" fillId="0" borderId="8" xfId="43" applyNumberFormat="1" applyFont="1" applyBorder="1" applyAlignment="1">
      <alignment vertical="center"/>
    </xf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49" fontId="3" fillId="0" borderId="38" xfId="43" applyNumberFormat="1" applyFont="1" applyBorder="1"/>
    <xf numFmtId="0" fontId="5" fillId="0" borderId="1" xfId="43" applyFont="1" applyBorder="1" applyAlignment="1">
      <alignment horizontal="right" vertical="center" wrapText="1"/>
    </xf>
    <xf numFmtId="3" fontId="5" fillId="0" borderId="1" xfId="43" applyNumberFormat="1" applyFont="1" applyBorder="1" applyAlignment="1">
      <alignment horizontal="right" vertical="center" wrapText="1"/>
    </xf>
    <xf numFmtId="3" fontId="5" fillId="0" borderId="1" xfId="43" applyNumberFormat="1" applyFont="1" applyFill="1" applyBorder="1" applyAlignment="1">
      <alignment horizontal="right" vertical="center" wrapText="1"/>
    </xf>
    <xf numFmtId="167" fontId="5" fillId="0" borderId="1" xfId="98" applyNumberFormat="1" applyFont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33" borderId="19" xfId="43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" xfId="43" applyFont="1" applyFill="1" applyBorder="1" applyAlignment="1">
      <alignment wrapText="1"/>
    </xf>
    <xf numFmtId="3" fontId="3" fillId="0" borderId="0" xfId="1" applyNumberFormat="1" applyFont="1" applyBorder="1"/>
    <xf numFmtId="0" fontId="3" fillId="0" borderId="1" xfId="1" applyFont="1" applyBorder="1" applyAlignment="1">
      <alignment horizontal="center" vertical="center" wrapText="1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3" fillId="0" borderId="19" xfId="1" applyFont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3" fillId="0" borderId="21" xfId="1" applyNumberFormat="1" applyFont="1" applyBorder="1"/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3" fontId="3" fillId="0" borderId="8" xfId="1" applyNumberFormat="1" applyFont="1" applyBorder="1"/>
    <xf numFmtId="3" fontId="3" fillId="0" borderId="38" xfId="1" applyNumberFormat="1" applyFont="1" applyBorder="1"/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0" fontId="3" fillId="0" borderId="18" xfId="1" applyFont="1" applyBorder="1" applyAlignment="1">
      <alignment horizontal="center" vertical="center" wrapText="1"/>
    </xf>
    <xf numFmtId="3" fontId="3" fillId="0" borderId="25" xfId="1" applyNumberFormat="1" applyFont="1" applyBorder="1"/>
    <xf numFmtId="3" fontId="3" fillId="0" borderId="26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9" xfId="0" applyNumberFormat="1" applyFont="1" applyBorder="1"/>
    <xf numFmtId="0" fontId="2" fillId="0" borderId="100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1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23" xfId="0" applyNumberFormat="1" applyFont="1" applyBorder="1"/>
    <xf numFmtId="3" fontId="5" fillId="0" borderId="47" xfId="1" applyNumberFormat="1" applyFont="1" applyBorder="1"/>
    <xf numFmtId="3" fontId="5" fillId="0" borderId="18" xfId="1" applyNumberFormat="1" applyFont="1" applyBorder="1"/>
    <xf numFmtId="3" fontId="5" fillId="0" borderId="19" xfId="1" applyNumberFormat="1" applyFont="1" applyBorder="1"/>
    <xf numFmtId="3" fontId="31" fillId="0" borderId="28" xfId="0" applyNumberFormat="1" applyFont="1" applyBorder="1"/>
    <xf numFmtId="3" fontId="29" fillId="0" borderId="31" xfId="0" applyNumberFormat="1" applyFont="1" applyBorder="1"/>
    <xf numFmtId="3" fontId="30" fillId="0" borderId="31" xfId="0" applyNumberFormat="1" applyFont="1" applyBorder="1"/>
    <xf numFmtId="3" fontId="30" fillId="0" borderId="47" xfId="0" applyNumberFormat="1" applyFont="1" applyBorder="1"/>
    <xf numFmtId="3" fontId="30" fillId="0" borderId="44" xfId="0" applyNumberFormat="1" applyFont="1" applyBorder="1"/>
    <xf numFmtId="3" fontId="29" fillId="0" borderId="82" xfId="0" applyNumberFormat="1" applyFont="1" applyBorder="1"/>
    <xf numFmtId="3" fontId="29" fillId="0" borderId="100" xfId="0" applyNumberFormat="1" applyFont="1" applyBorder="1"/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0" fontId="29" fillId="0" borderId="21" xfId="0" applyFont="1" applyBorder="1"/>
    <xf numFmtId="3" fontId="30" fillId="0" borderId="8" xfId="0" applyNumberFormat="1" applyFont="1" applyFill="1" applyBorder="1"/>
    <xf numFmtId="0" fontId="29" fillId="0" borderId="8" xfId="0" applyFont="1" applyBorder="1"/>
    <xf numFmtId="0" fontId="29" fillId="0" borderId="38" xfId="0" applyFont="1" applyBorder="1"/>
    <xf numFmtId="3" fontId="30" fillId="0" borderId="19" xfId="0" applyNumberFormat="1" applyFont="1" applyFill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36" fillId="31" borderId="1" xfId="0" applyFont="1" applyFill="1" applyBorder="1"/>
    <xf numFmtId="0" fontId="36" fillId="0" borderId="3" xfId="0" applyFont="1" applyFill="1" applyBorder="1" applyAlignment="1">
      <alignment horizontal="right" vertical="center"/>
    </xf>
    <xf numFmtId="1" fontId="34" fillId="0" borderId="4" xfId="0" applyNumberFormat="1" applyFont="1" applyBorder="1"/>
    <xf numFmtId="1" fontId="34" fillId="0" borderId="3" xfId="0" applyNumberFormat="1" applyFont="1" applyFill="1" applyBorder="1"/>
    <xf numFmtId="0" fontId="34" fillId="0" borderId="4" xfId="0" applyFont="1" applyFill="1" applyBorder="1"/>
    <xf numFmtId="1" fontId="34" fillId="0" borderId="8" xfId="0" applyNumberFormat="1" applyFont="1" applyFill="1" applyBorder="1"/>
    <xf numFmtId="0" fontId="34" fillId="0" borderId="3" xfId="0" applyFont="1" applyFill="1" applyBorder="1"/>
    <xf numFmtId="0" fontId="34" fillId="0" borderId="8" xfId="0" applyFont="1" applyFill="1" applyBorder="1"/>
    <xf numFmtId="1" fontId="34" fillId="0" borderId="4" xfId="0" applyNumberFormat="1" applyFont="1" applyFill="1" applyBorder="1"/>
    <xf numFmtId="0" fontId="34" fillId="0" borderId="4" xfId="0" applyFont="1" applyBorder="1"/>
    <xf numFmtId="1" fontId="34" fillId="0" borderId="8" xfId="0" applyNumberFormat="1" applyFont="1" applyBorder="1"/>
    <xf numFmtId="0" fontId="36" fillId="0" borderId="3" xfId="0" applyFont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5" fillId="0" borderId="0" xfId="43" applyNumberFormat="1" applyFont="1"/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9" fillId="0" borderId="1" xfId="0" applyNumberFormat="1" applyFont="1" applyBorder="1" applyAlignment="1">
      <alignment wrapText="1"/>
    </xf>
    <xf numFmtId="0" fontId="29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vertical="center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wrapText="1"/>
    </xf>
    <xf numFmtId="3" fontId="30" fillId="0" borderId="1" xfId="98" applyNumberFormat="1" applyFont="1" applyBorder="1" applyAlignment="1">
      <alignment wrapText="1"/>
    </xf>
    <xf numFmtId="3" fontId="29" fillId="0" borderId="1" xfId="98" applyNumberFormat="1" applyFont="1" applyBorder="1" applyAlignment="1">
      <alignment wrapText="1"/>
    </xf>
    <xf numFmtId="3" fontId="30" fillId="0" borderId="0" xfId="98" applyNumberFormat="1" applyFont="1" applyBorder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Alignment="1"/>
    <xf numFmtId="3" fontId="3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4" fillId="0" borderId="56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70" fillId="0" borderId="19" xfId="0" applyNumberFormat="1" applyFont="1" applyFill="1" applyBorder="1" applyAlignment="1" applyProtection="1">
      <alignment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" fillId="0" borderId="24" xfId="0" applyNumberFormat="1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vertical="center" wrapText="1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62" xfId="0" applyNumberFormat="1" applyFont="1" applyBorder="1" applyAlignment="1">
      <alignment horizontal="center" vertical="center" wrapText="1"/>
    </xf>
    <xf numFmtId="3" fontId="30" fillId="0" borderId="45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 wrapText="1"/>
    </xf>
    <xf numFmtId="0" fontId="2" fillId="0" borderId="101" xfId="1" applyFont="1" applyFill="1" applyBorder="1" applyAlignment="1">
      <alignment horizontal="left" vertical="center" wrapText="1"/>
    </xf>
    <xf numFmtId="0" fontId="2" fillId="0" borderId="99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02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103" xfId="0" applyNumberFormat="1" applyFont="1" applyBorder="1" applyAlignment="1">
      <alignment horizontal="center" vertical="center" wrapText="1"/>
    </xf>
    <xf numFmtId="49" fontId="30" fillId="0" borderId="44" xfId="0" applyNumberFormat="1" applyFont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52" xfId="0" applyNumberFormat="1" applyFont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49" fontId="30" fillId="0" borderId="62" xfId="0" applyNumberFormat="1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5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3" fillId="0" borderId="1" xfId="43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3" fillId="0" borderId="1" xfId="43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167" fontId="73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72" fillId="0" borderId="16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72" fillId="32" borderId="17" xfId="43" applyFont="1" applyFill="1" applyBorder="1" applyAlignment="1">
      <alignment horizontal="center" vertical="center" wrapText="1"/>
    </xf>
    <xf numFmtId="0" fontId="72" fillId="32" borderId="19" xfId="43" applyFont="1" applyFill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43" applyFont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3" fillId="0" borderId="8" xfId="43" applyFont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D17" sqref="D17"/>
    </sheetView>
  </sheetViews>
  <sheetFormatPr defaultRowHeight="14.4" x14ac:dyDescent="0.3"/>
  <cols>
    <col min="1" max="1" width="14.5546875" customWidth="1"/>
    <col min="2" max="2" width="82" customWidth="1"/>
    <col min="3" max="3" width="47.6640625" customWidth="1"/>
  </cols>
  <sheetData>
    <row r="1" spans="1:2" ht="51" customHeight="1" x14ac:dyDescent="0.3">
      <c r="A1" s="1053" t="s">
        <v>914</v>
      </c>
      <c r="B1" s="1053"/>
    </row>
    <row r="2" spans="1:2" ht="15.6" x14ac:dyDescent="0.3">
      <c r="A2" s="1054" t="s">
        <v>790</v>
      </c>
      <c r="B2" s="1054"/>
    </row>
    <row r="3" spans="1:2" x14ac:dyDescent="0.3">
      <c r="A3" s="351"/>
      <c r="B3" s="528"/>
    </row>
    <row r="4" spans="1:2" x14ac:dyDescent="0.3">
      <c r="A4" s="529" t="s">
        <v>592</v>
      </c>
      <c r="B4" s="530" t="s">
        <v>707</v>
      </c>
    </row>
    <row r="5" spans="1:2" x14ac:dyDescent="0.3">
      <c r="A5" s="529" t="s">
        <v>593</v>
      </c>
      <c r="B5" s="530" t="s">
        <v>708</v>
      </c>
    </row>
    <row r="6" spans="1:2" x14ac:dyDescent="0.3">
      <c r="A6" s="529" t="s">
        <v>594</v>
      </c>
      <c r="B6" s="530" t="s">
        <v>709</v>
      </c>
    </row>
    <row r="7" spans="1:2" x14ac:dyDescent="0.3">
      <c r="A7" s="529" t="s">
        <v>604</v>
      </c>
      <c r="B7" s="530" t="s">
        <v>710</v>
      </c>
    </row>
    <row r="8" spans="1:2" x14ac:dyDescent="0.3">
      <c r="A8" s="529" t="s">
        <v>605</v>
      </c>
      <c r="B8" s="530" t="s">
        <v>711</v>
      </c>
    </row>
    <row r="9" spans="1:2" x14ac:dyDescent="0.3">
      <c r="A9" s="529" t="s">
        <v>606</v>
      </c>
      <c r="B9" s="530" t="s">
        <v>712</v>
      </c>
    </row>
    <row r="10" spans="1:2" x14ac:dyDescent="0.3">
      <c r="A10" s="529" t="s">
        <v>595</v>
      </c>
      <c r="B10" s="530" t="s">
        <v>713</v>
      </c>
    </row>
    <row r="11" spans="1:2" x14ac:dyDescent="0.3">
      <c r="A11" s="529" t="s">
        <v>596</v>
      </c>
      <c r="B11" s="530" t="s">
        <v>714</v>
      </c>
    </row>
    <row r="12" spans="1:2" ht="26.4" x14ac:dyDescent="0.3">
      <c r="A12" s="529" t="s">
        <v>652</v>
      </c>
      <c r="B12" s="530" t="s">
        <v>715</v>
      </c>
    </row>
    <row r="13" spans="1:2" ht="26.4" x14ac:dyDescent="0.3">
      <c r="A13" s="529" t="s">
        <v>653</v>
      </c>
      <c r="B13" s="530" t="s">
        <v>716</v>
      </c>
    </row>
    <row r="14" spans="1:2" ht="26.4" x14ac:dyDescent="0.3">
      <c r="A14" s="529" t="s">
        <v>654</v>
      </c>
      <c r="B14" s="530" t="s">
        <v>717</v>
      </c>
    </row>
    <row r="15" spans="1:2" x14ac:dyDescent="0.3">
      <c r="A15" s="529" t="s">
        <v>655</v>
      </c>
      <c r="B15" s="530" t="s">
        <v>718</v>
      </c>
    </row>
    <row r="16" spans="1:2" x14ac:dyDescent="0.3">
      <c r="A16" s="529" t="s">
        <v>656</v>
      </c>
      <c r="B16" s="530" t="s">
        <v>719</v>
      </c>
    </row>
    <row r="17" spans="1:5" x14ac:dyDescent="0.3">
      <c r="A17" s="529" t="s">
        <v>657</v>
      </c>
      <c r="B17" s="530" t="s">
        <v>720</v>
      </c>
    </row>
    <row r="18" spans="1:5" x14ac:dyDescent="0.3">
      <c r="A18" s="529" t="s">
        <v>658</v>
      </c>
      <c r="B18" s="530" t="s">
        <v>721</v>
      </c>
    </row>
    <row r="19" spans="1:5" x14ac:dyDescent="0.3">
      <c r="A19" s="529" t="s">
        <v>597</v>
      </c>
      <c r="B19" s="530" t="s">
        <v>598</v>
      </c>
    </row>
    <row r="20" spans="1:5" x14ac:dyDescent="0.3">
      <c r="A20" s="529" t="s">
        <v>659</v>
      </c>
      <c r="B20" s="530" t="s">
        <v>722</v>
      </c>
    </row>
    <row r="21" spans="1:5" x14ac:dyDescent="0.3">
      <c r="A21" s="529" t="s">
        <v>660</v>
      </c>
      <c r="B21" s="530" t="s">
        <v>723</v>
      </c>
    </row>
    <row r="22" spans="1:5" x14ac:dyDescent="0.3">
      <c r="A22" s="529" t="s">
        <v>701</v>
      </c>
      <c r="B22" s="530" t="s">
        <v>724</v>
      </c>
    </row>
    <row r="23" spans="1:5" ht="17.25" customHeight="1" x14ac:dyDescent="0.3">
      <c r="A23" s="529" t="s">
        <v>599</v>
      </c>
      <c r="B23" s="530" t="s">
        <v>600</v>
      </c>
    </row>
    <row r="24" spans="1:5" x14ac:dyDescent="0.3">
      <c r="A24" s="529" t="s">
        <v>601</v>
      </c>
      <c r="B24" s="530" t="s">
        <v>602</v>
      </c>
    </row>
    <row r="25" spans="1:5" x14ac:dyDescent="0.3">
      <c r="A25" s="529" t="s">
        <v>603</v>
      </c>
      <c r="B25" s="530" t="s">
        <v>725</v>
      </c>
    </row>
    <row r="26" spans="1:5" x14ac:dyDescent="0.3">
      <c r="A26" s="529" t="s">
        <v>703</v>
      </c>
      <c r="B26" s="530" t="s">
        <v>472</v>
      </c>
      <c r="C26" s="530"/>
      <c r="D26" s="530"/>
      <c r="E26" s="530"/>
    </row>
    <row r="27" spans="1:5" x14ac:dyDescent="0.3">
      <c r="A27" s="529" t="s">
        <v>704</v>
      </c>
      <c r="B27" s="530" t="s">
        <v>607</v>
      </c>
    </row>
    <row r="28" spans="1:5" x14ac:dyDescent="0.3">
      <c r="A28" s="66" t="s">
        <v>915</v>
      </c>
      <c r="B28" s="66" t="s">
        <v>916</v>
      </c>
    </row>
    <row r="29" spans="1:5" x14ac:dyDescent="0.3">
      <c r="A29" s="66" t="s">
        <v>917</v>
      </c>
      <c r="B29" s="66" t="s">
        <v>918</v>
      </c>
    </row>
    <row r="30" spans="1:5" x14ac:dyDescent="0.3">
      <c r="A30" s="66" t="s">
        <v>919</v>
      </c>
      <c r="B30" s="66" t="s">
        <v>920</v>
      </c>
    </row>
    <row r="31" spans="1:5" x14ac:dyDescent="0.3">
      <c r="A31" s="66" t="s">
        <v>921</v>
      </c>
      <c r="B31" s="66" t="s">
        <v>922</v>
      </c>
    </row>
    <row r="32" spans="1:5" x14ac:dyDescent="0.3">
      <c r="A32" s="66" t="s">
        <v>923</v>
      </c>
      <c r="B32" s="66" t="s">
        <v>924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zoomScaleNormal="100" workbookViewId="0">
      <selection activeCell="H12" sqref="H12"/>
    </sheetView>
  </sheetViews>
  <sheetFormatPr defaultColWidth="9.109375" defaultRowHeight="14.4" x14ac:dyDescent="0.3"/>
  <cols>
    <col min="1" max="1" width="13" style="26" customWidth="1"/>
    <col min="2" max="3" width="13" style="27" customWidth="1"/>
    <col min="4" max="6" width="11" style="18" customWidth="1"/>
    <col min="7" max="16384" width="9.109375" style="1"/>
  </cols>
  <sheetData>
    <row r="1" spans="1:6" ht="15.75" customHeight="1" x14ac:dyDescent="0.3">
      <c r="D1" s="1117" t="s">
        <v>393</v>
      </c>
      <c r="E1" s="1117"/>
      <c r="F1" s="1117"/>
    </row>
    <row r="2" spans="1:6" ht="24.75" customHeight="1" x14ac:dyDescent="0.3">
      <c r="A2" s="1110" t="s">
        <v>0</v>
      </c>
      <c r="B2" s="1110" t="s">
        <v>182</v>
      </c>
      <c r="C2" s="1110"/>
      <c r="D2" s="1118" t="s">
        <v>176</v>
      </c>
      <c r="E2" s="1119"/>
      <c r="F2" s="1120"/>
    </row>
    <row r="3" spans="1:6" s="2" customFormat="1" x14ac:dyDescent="0.3">
      <c r="A3" s="1110"/>
      <c r="B3" s="1110"/>
      <c r="C3" s="1110"/>
      <c r="D3" s="3" t="s">
        <v>177</v>
      </c>
      <c r="E3" s="3" t="s">
        <v>792</v>
      </c>
      <c r="F3" s="3" t="s">
        <v>795</v>
      </c>
    </row>
    <row r="4" spans="1:6" s="2" customFormat="1" x14ac:dyDescent="0.3">
      <c r="A4" s="1110"/>
      <c r="B4" s="1110"/>
      <c r="C4" s="1110"/>
      <c r="D4" s="1121" t="s">
        <v>189</v>
      </c>
      <c r="E4" s="1121"/>
      <c r="F4" s="1121"/>
    </row>
    <row r="5" spans="1:6" ht="12" customHeight="1" x14ac:dyDescent="0.3">
      <c r="A5" s="6" t="s">
        <v>27</v>
      </c>
      <c r="B5" s="1111" t="s">
        <v>174</v>
      </c>
      <c r="C5" s="1111"/>
      <c r="D5" s="366"/>
      <c r="E5" s="19"/>
      <c r="F5" s="892">
        <f>+E5+D5</f>
        <v>0</v>
      </c>
    </row>
    <row r="6" spans="1:6" ht="12" customHeight="1" x14ac:dyDescent="0.3">
      <c r="A6" s="6" t="s">
        <v>33</v>
      </c>
      <c r="B6" s="1111" t="s">
        <v>173</v>
      </c>
      <c r="C6" s="1111"/>
      <c r="D6" s="510">
        <v>18229</v>
      </c>
      <c r="E6" s="45">
        <v>-330</v>
      </c>
      <c r="F6" s="893">
        <f t="shared" ref="F6:F7" si="0">+E6+D6</f>
        <v>17899</v>
      </c>
    </row>
    <row r="7" spans="1:6" ht="12" customHeight="1" x14ac:dyDescent="0.3">
      <c r="A7" s="7" t="s">
        <v>34</v>
      </c>
      <c r="B7" s="1108" t="s">
        <v>172</v>
      </c>
      <c r="C7" s="1108"/>
      <c r="D7" s="367">
        <f>SUM(D5:D6)</f>
        <v>18229</v>
      </c>
      <c r="E7" s="367">
        <f>SUM(E5:E6)</f>
        <v>-330</v>
      </c>
      <c r="F7" s="893">
        <f t="shared" si="0"/>
        <v>17899</v>
      </c>
    </row>
    <row r="8" spans="1:6" ht="12" customHeight="1" x14ac:dyDescent="0.3">
      <c r="A8" s="8"/>
      <c r="B8" s="9"/>
      <c r="C8" s="9"/>
      <c r="D8" s="21"/>
      <c r="E8" s="21"/>
      <c r="F8" s="22"/>
    </row>
    <row r="9" spans="1:6" ht="12" customHeight="1" x14ac:dyDescent="0.3">
      <c r="A9" s="6" t="s">
        <v>35</v>
      </c>
      <c r="B9" s="1111" t="s">
        <v>171</v>
      </c>
      <c r="C9" s="1111"/>
      <c r="D9" s="364">
        <v>3702</v>
      </c>
      <c r="E9" s="45"/>
      <c r="F9" s="893">
        <f>+E9+D9</f>
        <v>3702</v>
      </c>
    </row>
    <row r="10" spans="1:6" ht="12" customHeight="1" x14ac:dyDescent="0.3">
      <c r="A10" s="106"/>
      <c r="B10" s="25"/>
      <c r="C10" s="12"/>
      <c r="D10" s="368"/>
      <c r="E10" s="359"/>
      <c r="F10" s="360"/>
    </row>
    <row r="11" spans="1:6" ht="12" customHeight="1" x14ac:dyDescent="0.3">
      <c r="A11" s="13" t="s">
        <v>42</v>
      </c>
      <c r="B11" s="1109" t="s">
        <v>41</v>
      </c>
      <c r="C11" s="1109"/>
      <c r="D11" s="369">
        <v>80</v>
      </c>
      <c r="E11" s="23"/>
      <c r="F11" s="894">
        <f>+E11+D11</f>
        <v>80</v>
      </c>
    </row>
    <row r="12" spans="1:6" ht="12" customHeight="1" x14ac:dyDescent="0.3">
      <c r="A12" s="4" t="s">
        <v>44</v>
      </c>
      <c r="B12" s="1112" t="s">
        <v>43</v>
      </c>
      <c r="C12" s="1112"/>
      <c r="D12" s="370">
        <f>500+600</f>
        <v>1100</v>
      </c>
      <c r="E12" s="19"/>
      <c r="F12" s="894">
        <f t="shared" ref="F12:F35" si="1">+E12+D12</f>
        <v>1100</v>
      </c>
    </row>
    <row r="13" spans="1:6" ht="12" customHeight="1" x14ac:dyDescent="0.3">
      <c r="A13" s="4" t="s">
        <v>46</v>
      </c>
      <c r="B13" s="1112" t="s">
        <v>45</v>
      </c>
      <c r="C13" s="1112"/>
      <c r="D13" s="370"/>
      <c r="E13" s="19"/>
      <c r="F13" s="894">
        <f t="shared" si="1"/>
        <v>0</v>
      </c>
    </row>
    <row r="14" spans="1:6" s="47" customFormat="1" ht="12" customHeight="1" x14ac:dyDescent="0.3">
      <c r="A14" s="6" t="s">
        <v>47</v>
      </c>
      <c r="B14" s="1111" t="s">
        <v>170</v>
      </c>
      <c r="C14" s="1111"/>
      <c r="D14" s="364">
        <f>SUM(D11:D13)</f>
        <v>1180</v>
      </c>
      <c r="E14" s="45"/>
      <c r="F14" s="894">
        <f t="shared" si="1"/>
        <v>1180</v>
      </c>
    </row>
    <row r="15" spans="1:6" ht="12" customHeight="1" x14ac:dyDescent="0.3">
      <c r="A15" s="4" t="s">
        <v>49</v>
      </c>
      <c r="B15" s="1112" t="s">
        <v>48</v>
      </c>
      <c r="C15" s="1112"/>
      <c r="D15" s="370">
        <v>120</v>
      </c>
      <c r="E15" s="19"/>
      <c r="F15" s="894">
        <f t="shared" si="1"/>
        <v>120</v>
      </c>
    </row>
    <row r="16" spans="1:6" ht="12" customHeight="1" x14ac:dyDescent="0.3">
      <c r="A16" s="4" t="s">
        <v>51</v>
      </c>
      <c r="B16" s="1112" t="s">
        <v>50</v>
      </c>
      <c r="C16" s="1112"/>
      <c r="D16" s="370">
        <v>300</v>
      </c>
      <c r="E16" s="19"/>
      <c r="F16" s="894">
        <f t="shared" si="1"/>
        <v>300</v>
      </c>
    </row>
    <row r="17" spans="1:6" s="47" customFormat="1" ht="12" customHeight="1" x14ac:dyDescent="0.3">
      <c r="A17" s="6" t="s">
        <v>52</v>
      </c>
      <c r="B17" s="1111" t="s">
        <v>169</v>
      </c>
      <c r="C17" s="1111"/>
      <c r="D17" s="364">
        <f>SUM(D15:D16)</f>
        <v>420</v>
      </c>
      <c r="E17" s="45"/>
      <c r="F17" s="894">
        <f t="shared" si="1"/>
        <v>420</v>
      </c>
    </row>
    <row r="18" spans="1:6" ht="12" customHeight="1" x14ac:dyDescent="0.3">
      <c r="A18" s="4" t="s">
        <v>54</v>
      </c>
      <c r="B18" s="1112" t="s">
        <v>53</v>
      </c>
      <c r="C18" s="1112"/>
      <c r="D18" s="370"/>
      <c r="E18" s="19"/>
      <c r="F18" s="894">
        <f t="shared" si="1"/>
        <v>0</v>
      </c>
    </row>
    <row r="19" spans="1:6" ht="12" customHeight="1" x14ac:dyDescent="0.3">
      <c r="A19" s="4" t="s">
        <v>56</v>
      </c>
      <c r="B19" s="1112" t="s">
        <v>55</v>
      </c>
      <c r="C19" s="1112"/>
      <c r="D19" s="370"/>
      <c r="E19" s="19"/>
      <c r="F19" s="894">
        <f t="shared" si="1"/>
        <v>0</v>
      </c>
    </row>
    <row r="20" spans="1:6" ht="12" customHeight="1" x14ac:dyDescent="0.3">
      <c r="A20" s="4" t="s">
        <v>57</v>
      </c>
      <c r="B20" s="1112" t="s">
        <v>167</v>
      </c>
      <c r="C20" s="1112"/>
      <c r="D20" s="370"/>
      <c r="E20" s="19"/>
      <c r="F20" s="894">
        <f t="shared" si="1"/>
        <v>0</v>
      </c>
    </row>
    <row r="21" spans="1:6" ht="12" customHeight="1" x14ac:dyDescent="0.3">
      <c r="A21" s="4"/>
      <c r="B21" s="1112" t="s">
        <v>58</v>
      </c>
      <c r="C21" s="1112"/>
      <c r="D21" s="370"/>
      <c r="E21" s="19"/>
      <c r="F21" s="894">
        <f t="shared" si="1"/>
        <v>0</v>
      </c>
    </row>
    <row r="22" spans="1:6" ht="12" customHeight="1" x14ac:dyDescent="0.3">
      <c r="A22" s="4" t="s">
        <v>60</v>
      </c>
      <c r="B22" s="1112" t="s">
        <v>166</v>
      </c>
      <c r="C22" s="1112"/>
      <c r="D22" s="370"/>
      <c r="E22" s="19"/>
      <c r="F22" s="894">
        <f t="shared" si="1"/>
        <v>0</v>
      </c>
    </row>
    <row r="23" spans="1:6" ht="12" customHeight="1" x14ac:dyDescent="0.3">
      <c r="A23" s="4" t="s">
        <v>63</v>
      </c>
      <c r="B23" s="1112" t="s">
        <v>62</v>
      </c>
      <c r="C23" s="1112"/>
      <c r="D23" s="369">
        <v>1000</v>
      </c>
      <c r="E23" s="19"/>
      <c r="F23" s="894">
        <f t="shared" si="1"/>
        <v>1000</v>
      </c>
    </row>
    <row r="24" spans="1:6" ht="12" customHeight="1" x14ac:dyDescent="0.3">
      <c r="A24" s="4" t="s">
        <v>65</v>
      </c>
      <c r="B24" s="1112" t="s">
        <v>64</v>
      </c>
      <c r="C24" s="1112"/>
      <c r="D24" s="370">
        <f>540+120+570+100+200+360+200+3000</f>
        <v>5090</v>
      </c>
      <c r="E24" s="19"/>
      <c r="F24" s="894">
        <f t="shared" si="1"/>
        <v>5090</v>
      </c>
    </row>
    <row r="25" spans="1:6" s="47" customFormat="1" ht="12" customHeight="1" x14ac:dyDescent="0.3">
      <c r="A25" s="6" t="s">
        <v>66</v>
      </c>
      <c r="B25" s="1111" t="s">
        <v>156</v>
      </c>
      <c r="C25" s="1111"/>
      <c r="D25" s="364">
        <f>+D24+D23+D22+D21+D20+D19+D18</f>
        <v>6090</v>
      </c>
      <c r="E25" s="45"/>
      <c r="F25" s="894">
        <f t="shared" si="1"/>
        <v>6090</v>
      </c>
    </row>
    <row r="26" spans="1:6" ht="12" customHeight="1" x14ac:dyDescent="0.3">
      <c r="A26" s="4" t="s">
        <v>68</v>
      </c>
      <c r="B26" s="1112" t="s">
        <v>67</v>
      </c>
      <c r="C26" s="1112"/>
      <c r="D26" s="370"/>
      <c r="E26" s="19"/>
      <c r="F26" s="894">
        <f t="shared" si="1"/>
        <v>0</v>
      </c>
    </row>
    <row r="27" spans="1:6" ht="12" customHeight="1" x14ac:dyDescent="0.3">
      <c r="A27" s="4" t="s">
        <v>70</v>
      </c>
      <c r="B27" s="1112" t="s">
        <v>69</v>
      </c>
      <c r="C27" s="1112"/>
      <c r="D27" s="370"/>
      <c r="E27" s="19"/>
      <c r="F27" s="894">
        <f t="shared" si="1"/>
        <v>0</v>
      </c>
    </row>
    <row r="28" spans="1:6" ht="12" customHeight="1" x14ac:dyDescent="0.3">
      <c r="A28" s="6" t="s">
        <v>71</v>
      </c>
      <c r="B28" s="1111" t="s">
        <v>155</v>
      </c>
      <c r="C28" s="1111"/>
      <c r="D28" s="364">
        <f>SUM(D26:D27)</f>
        <v>0</v>
      </c>
      <c r="E28" s="45"/>
      <c r="F28" s="894">
        <f t="shared" si="1"/>
        <v>0</v>
      </c>
    </row>
    <row r="29" spans="1:6" ht="12" customHeight="1" x14ac:dyDescent="0.3">
      <c r="A29" s="4" t="s">
        <v>73</v>
      </c>
      <c r="B29" s="1112" t="s">
        <v>72</v>
      </c>
      <c r="C29" s="1112"/>
      <c r="D29" s="370">
        <f>263+97</f>
        <v>360</v>
      </c>
      <c r="E29" s="19"/>
      <c r="F29" s="894">
        <f t="shared" si="1"/>
        <v>360</v>
      </c>
    </row>
    <row r="30" spans="1:6" ht="12" customHeight="1" x14ac:dyDescent="0.3">
      <c r="A30" s="4" t="s">
        <v>75</v>
      </c>
      <c r="B30" s="1112" t="s">
        <v>74</v>
      </c>
      <c r="C30" s="1112"/>
      <c r="D30" s="370"/>
      <c r="E30" s="19"/>
      <c r="F30" s="894">
        <f t="shared" si="1"/>
        <v>0</v>
      </c>
    </row>
    <row r="31" spans="1:6" ht="12" customHeight="1" x14ac:dyDescent="0.3">
      <c r="A31" s="4" t="s">
        <v>76</v>
      </c>
      <c r="B31" s="1112" t="s">
        <v>154</v>
      </c>
      <c r="C31" s="1112"/>
      <c r="D31" s="370"/>
      <c r="E31" s="19"/>
      <c r="F31" s="894">
        <f t="shared" si="1"/>
        <v>0</v>
      </c>
    </row>
    <row r="32" spans="1:6" ht="12" customHeight="1" x14ac:dyDescent="0.3">
      <c r="A32" s="4" t="s">
        <v>77</v>
      </c>
      <c r="B32" s="1112" t="s">
        <v>153</v>
      </c>
      <c r="C32" s="1112"/>
      <c r="D32" s="370"/>
      <c r="E32" s="19"/>
      <c r="F32" s="894">
        <f t="shared" si="1"/>
        <v>0</v>
      </c>
    </row>
    <row r="33" spans="1:6" ht="12" customHeight="1" x14ac:dyDescent="0.3">
      <c r="A33" s="4" t="s">
        <v>79</v>
      </c>
      <c r="B33" s="1112" t="s">
        <v>78</v>
      </c>
      <c r="C33" s="1112"/>
      <c r="D33" s="370">
        <v>210</v>
      </c>
      <c r="E33" s="19"/>
      <c r="F33" s="894">
        <f t="shared" si="1"/>
        <v>210</v>
      </c>
    </row>
    <row r="34" spans="1:6" ht="12" customHeight="1" x14ac:dyDescent="0.3">
      <c r="A34" s="6" t="s">
        <v>80</v>
      </c>
      <c r="B34" s="1111" t="s">
        <v>152</v>
      </c>
      <c r="C34" s="1111"/>
      <c r="D34" s="364">
        <f>SUM(D29:D33)</f>
        <v>570</v>
      </c>
      <c r="E34" s="45"/>
      <c r="F34" s="894">
        <f t="shared" si="1"/>
        <v>570</v>
      </c>
    </row>
    <row r="35" spans="1:6" ht="12" customHeight="1" x14ac:dyDescent="0.3">
      <c r="A35" s="7" t="s">
        <v>81</v>
      </c>
      <c r="B35" s="1108" t="s">
        <v>151</v>
      </c>
      <c r="C35" s="1108"/>
      <c r="D35" s="365">
        <f>+D34+D28+D25+D17+D14</f>
        <v>8260</v>
      </c>
      <c r="E35" s="43"/>
      <c r="F35" s="894">
        <f t="shared" si="1"/>
        <v>8260</v>
      </c>
    </row>
    <row r="36" spans="1:6" ht="12" customHeight="1" x14ac:dyDescent="0.3">
      <c r="A36" s="8"/>
      <c r="B36" s="9"/>
      <c r="C36" s="9"/>
      <c r="D36" s="371"/>
      <c r="E36" s="21"/>
      <c r="F36" s="22"/>
    </row>
    <row r="37" spans="1:6" ht="12" hidden="1" customHeight="1" x14ac:dyDescent="0.3">
      <c r="A37" s="4" t="s">
        <v>96</v>
      </c>
      <c r="B37" s="1107" t="s">
        <v>95</v>
      </c>
      <c r="C37" s="1107"/>
      <c r="D37" s="370"/>
      <c r="E37" s="19"/>
      <c r="F37" s="19"/>
    </row>
    <row r="38" spans="1:6" ht="12" hidden="1" customHeight="1" x14ac:dyDescent="0.3">
      <c r="A38" s="4" t="s">
        <v>98</v>
      </c>
      <c r="B38" s="1107" t="s">
        <v>184</v>
      </c>
      <c r="C38" s="1107"/>
      <c r="D38" s="370"/>
      <c r="E38" s="19"/>
      <c r="F38" s="19"/>
    </row>
    <row r="39" spans="1:6" ht="12" hidden="1" customHeight="1" x14ac:dyDescent="0.3">
      <c r="A39" s="4" t="s">
        <v>101</v>
      </c>
      <c r="B39" s="1107" t="s">
        <v>165</v>
      </c>
      <c r="C39" s="1107"/>
      <c r="D39" s="370"/>
      <c r="E39" s="19"/>
      <c r="F39" s="19"/>
    </row>
    <row r="40" spans="1:6" ht="12" hidden="1" customHeight="1" x14ac:dyDescent="0.3">
      <c r="A40" s="4" t="s">
        <v>103</v>
      </c>
      <c r="B40" s="1107" t="s">
        <v>183</v>
      </c>
      <c r="C40" s="1107"/>
      <c r="D40" s="370"/>
      <c r="E40" s="19"/>
      <c r="F40" s="19"/>
    </row>
    <row r="41" spans="1:6" ht="12" hidden="1" customHeight="1" x14ac:dyDescent="0.3">
      <c r="A41" s="4" t="s">
        <v>107</v>
      </c>
      <c r="B41" s="1107" t="s">
        <v>164</v>
      </c>
      <c r="C41" s="1107"/>
      <c r="D41" s="370"/>
      <c r="E41" s="19"/>
      <c r="F41" s="19"/>
    </row>
    <row r="42" spans="1:6" ht="12" hidden="1" customHeight="1" x14ac:dyDescent="0.3">
      <c r="A42" s="4" t="s">
        <v>634</v>
      </c>
      <c r="B42" s="1112" t="s">
        <v>106</v>
      </c>
      <c r="C42" s="1112"/>
      <c r="D42" s="370"/>
      <c r="E42" s="19"/>
      <c r="F42" s="19"/>
    </row>
    <row r="43" spans="1:6" ht="12" customHeight="1" x14ac:dyDescent="0.3">
      <c r="A43" s="7" t="s">
        <v>108</v>
      </c>
      <c r="B43" s="1108" t="s">
        <v>163</v>
      </c>
      <c r="C43" s="1108"/>
      <c r="D43" s="365">
        <f>+D42+D41+D40+D39+D38+D37</f>
        <v>0</v>
      </c>
      <c r="E43" s="43"/>
      <c r="F43" s="43"/>
    </row>
    <row r="44" spans="1:6" ht="12" customHeight="1" x14ac:dyDescent="0.3">
      <c r="A44" s="8"/>
      <c r="B44" s="9"/>
      <c r="C44" s="9"/>
      <c r="D44" s="371"/>
      <c r="E44" s="21"/>
      <c r="F44" s="22"/>
    </row>
    <row r="45" spans="1:6" ht="12" hidden="1" customHeight="1" x14ac:dyDescent="0.3">
      <c r="A45" s="13" t="s">
        <v>110</v>
      </c>
      <c r="B45" s="1109" t="s">
        <v>109</v>
      </c>
      <c r="C45" s="1109"/>
      <c r="D45" s="369"/>
      <c r="E45" s="23"/>
      <c r="F45" s="23"/>
    </row>
    <row r="46" spans="1:6" ht="12" hidden="1" customHeight="1" x14ac:dyDescent="0.3">
      <c r="A46" s="4" t="s">
        <v>111</v>
      </c>
      <c r="B46" s="1112" t="s">
        <v>162</v>
      </c>
      <c r="C46" s="1112"/>
      <c r="D46" s="370"/>
      <c r="E46" s="19"/>
      <c r="F46" s="19"/>
    </row>
    <row r="47" spans="1:6" ht="12" hidden="1" customHeight="1" x14ac:dyDescent="0.3">
      <c r="A47" s="4" t="s">
        <v>114</v>
      </c>
      <c r="B47" s="1112" t="s">
        <v>113</v>
      </c>
      <c r="C47" s="1112"/>
      <c r="D47" s="370"/>
      <c r="E47" s="19"/>
      <c r="F47" s="19"/>
    </row>
    <row r="48" spans="1:6" ht="12" hidden="1" customHeight="1" x14ac:dyDescent="0.3">
      <c r="A48" s="4" t="s">
        <v>116</v>
      </c>
      <c r="B48" s="1112" t="s">
        <v>115</v>
      </c>
      <c r="C48" s="1112"/>
      <c r="D48" s="370"/>
      <c r="E48" s="19"/>
      <c r="F48" s="19"/>
    </row>
    <row r="49" spans="1:6" ht="12" hidden="1" customHeight="1" x14ac:dyDescent="0.3">
      <c r="A49" s="4" t="s">
        <v>118</v>
      </c>
      <c r="B49" s="1112" t="s">
        <v>117</v>
      </c>
      <c r="C49" s="1112"/>
      <c r="D49" s="370"/>
      <c r="E49" s="19"/>
      <c r="F49" s="19"/>
    </row>
    <row r="50" spans="1:6" ht="12" hidden="1" customHeight="1" x14ac:dyDescent="0.3">
      <c r="A50" s="4" t="s">
        <v>120</v>
      </c>
      <c r="B50" s="1112" t="s">
        <v>119</v>
      </c>
      <c r="C50" s="1112"/>
      <c r="D50" s="370"/>
      <c r="E50" s="19"/>
      <c r="F50" s="19"/>
    </row>
    <row r="51" spans="1:6" ht="12" hidden="1" customHeight="1" x14ac:dyDescent="0.3">
      <c r="A51" s="4" t="s">
        <v>122</v>
      </c>
      <c r="B51" s="1112" t="s">
        <v>121</v>
      </c>
      <c r="C51" s="1112"/>
      <c r="D51" s="370"/>
      <c r="E51" s="19"/>
      <c r="F51" s="19"/>
    </row>
    <row r="52" spans="1:6" ht="12" customHeight="1" x14ac:dyDescent="0.3">
      <c r="A52" s="7" t="s">
        <v>123</v>
      </c>
      <c r="B52" s="1108" t="s">
        <v>161</v>
      </c>
      <c r="C52" s="1108"/>
      <c r="D52" s="365">
        <f>+D51+D50+D49+D48+D47+D46+D45</f>
        <v>0</v>
      </c>
      <c r="E52" s="43">
        <f>+E51+E50+E49+E48+E47+E46+E45</f>
        <v>0</v>
      </c>
      <c r="F52" s="43">
        <f>+F51+F50+F49+F48+F47+F46+F45</f>
        <v>0</v>
      </c>
    </row>
    <row r="53" spans="1:6" ht="12" customHeight="1" x14ac:dyDescent="0.3">
      <c r="A53" s="8"/>
      <c r="B53" s="9"/>
      <c r="C53" s="9"/>
      <c r="D53" s="371"/>
      <c r="E53" s="21"/>
      <c r="F53" s="22"/>
    </row>
    <row r="54" spans="1:6" ht="12" hidden="1" customHeight="1" x14ac:dyDescent="0.3">
      <c r="A54" s="13" t="s">
        <v>125</v>
      </c>
      <c r="B54" s="1109" t="s">
        <v>124</v>
      </c>
      <c r="C54" s="1109"/>
      <c r="D54" s="369"/>
      <c r="E54" s="23"/>
      <c r="F54" s="23"/>
    </row>
    <row r="55" spans="1:6" ht="12" hidden="1" customHeight="1" x14ac:dyDescent="0.3">
      <c r="A55" s="4" t="s">
        <v>127</v>
      </c>
      <c r="B55" s="1112" t="s">
        <v>126</v>
      </c>
      <c r="C55" s="1112"/>
      <c r="D55" s="370"/>
      <c r="E55" s="19"/>
      <c r="F55" s="19"/>
    </row>
    <row r="56" spans="1:6" ht="12" hidden="1" customHeight="1" x14ac:dyDescent="0.3">
      <c r="A56" s="4" t="s">
        <v>129</v>
      </c>
      <c r="B56" s="1112" t="s">
        <v>128</v>
      </c>
      <c r="C56" s="1112"/>
      <c r="D56" s="370"/>
      <c r="E56" s="19"/>
      <c r="F56" s="19"/>
    </row>
    <row r="57" spans="1:6" ht="12" hidden="1" customHeight="1" x14ac:dyDescent="0.3">
      <c r="A57" s="4" t="s">
        <v>131</v>
      </c>
      <c r="B57" s="1112" t="s">
        <v>130</v>
      </c>
      <c r="C57" s="1112"/>
      <c r="D57" s="370"/>
      <c r="E57" s="19"/>
      <c r="F57" s="19"/>
    </row>
    <row r="58" spans="1:6" ht="12" customHeight="1" x14ac:dyDescent="0.3">
      <c r="A58" s="6" t="s">
        <v>132</v>
      </c>
      <c r="B58" s="1111" t="s">
        <v>160</v>
      </c>
      <c r="C58" s="1111"/>
      <c r="D58" s="370"/>
      <c r="E58" s="19"/>
      <c r="F58" s="19"/>
    </row>
    <row r="59" spans="1:6" ht="12" customHeight="1" x14ac:dyDescent="0.3">
      <c r="A59" s="8"/>
      <c r="B59" s="16"/>
      <c r="C59" s="16"/>
      <c r="D59" s="371"/>
      <c r="E59" s="21"/>
      <c r="F59" s="22"/>
    </row>
    <row r="60" spans="1:6" ht="12" hidden="1" customHeight="1" x14ac:dyDescent="0.3">
      <c r="A60" s="106" t="s">
        <v>381</v>
      </c>
      <c r="B60" s="1109" t="s">
        <v>382</v>
      </c>
      <c r="C60" s="1109"/>
      <c r="D60" s="370"/>
      <c r="E60" s="19"/>
      <c r="F60" s="19"/>
    </row>
    <row r="61" spans="1:6" ht="12" hidden="1" customHeight="1" x14ac:dyDescent="0.3">
      <c r="A61" s="106" t="s">
        <v>394</v>
      </c>
      <c r="B61" s="1115" t="s">
        <v>395</v>
      </c>
      <c r="C61" s="1116"/>
      <c r="D61" s="369"/>
      <c r="E61" s="23"/>
      <c r="F61" s="23"/>
    </row>
    <row r="62" spans="1:6" ht="12" hidden="1" customHeight="1" x14ac:dyDescent="0.3">
      <c r="A62" s="13" t="s">
        <v>635</v>
      </c>
      <c r="B62" s="1109" t="s">
        <v>159</v>
      </c>
      <c r="C62" s="1109"/>
      <c r="D62" s="369"/>
      <c r="E62" s="23"/>
      <c r="F62" s="23"/>
    </row>
    <row r="63" spans="1:6" ht="12" customHeight="1" x14ac:dyDescent="0.3">
      <c r="A63" s="15" t="s">
        <v>134</v>
      </c>
      <c r="B63" s="1113" t="s">
        <v>158</v>
      </c>
      <c r="C63" s="1113"/>
      <c r="D63" s="364">
        <f>+D62+D60</f>
        <v>0</v>
      </c>
      <c r="E63" s="45"/>
      <c r="F63" s="45"/>
    </row>
    <row r="64" spans="1:6" ht="12" customHeight="1" thickBot="1" x14ac:dyDescent="0.35">
      <c r="A64" s="48"/>
      <c r="B64" s="49"/>
      <c r="C64" s="49"/>
      <c r="D64" s="372"/>
      <c r="E64" s="50"/>
      <c r="F64" s="24"/>
    </row>
    <row r="65" spans="1:6" ht="12" customHeight="1" thickBot="1" x14ac:dyDescent="0.35">
      <c r="A65" s="51" t="s">
        <v>135</v>
      </c>
      <c r="B65" s="1114" t="s">
        <v>157</v>
      </c>
      <c r="C65" s="1114"/>
      <c r="D65" s="373">
        <f>+D63+D58+D52+D43+D35+D9+D7</f>
        <v>30191</v>
      </c>
      <c r="E65" s="52">
        <f t="shared" ref="E65:F65" si="2">+E63+E58+E52+E43+E35+E9+E7</f>
        <v>-330</v>
      </c>
      <c r="F65" s="52">
        <f t="shared" si="2"/>
        <v>29861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2017.
Önkormányzati jogalkotás kormányzati funkció&amp;R&amp;"Times New Roman,Félkövér"&amp;12 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8"/>
  <sheetViews>
    <sheetView topLeftCell="A10" zoomScaleNormal="100" workbookViewId="0">
      <selection activeCell="Q25" sqref="Q25"/>
    </sheetView>
  </sheetViews>
  <sheetFormatPr defaultColWidth="9.109375" defaultRowHeight="13.2" x14ac:dyDescent="0.25"/>
  <cols>
    <col min="1" max="1" width="8.109375" style="887" customWidth="1"/>
    <col min="2" max="2" width="7.109375" style="27" customWidth="1"/>
    <col min="3" max="3" width="31" style="27" customWidth="1"/>
    <col min="4" max="4" width="8.109375" style="44" customWidth="1"/>
    <col min="5" max="5" width="8.44140625" style="44" customWidth="1"/>
    <col min="6" max="6" width="8.109375" style="44" customWidth="1"/>
    <col min="7" max="7" width="7.5546875" style="18" customWidth="1"/>
    <col min="8" max="8" width="7.109375" style="18" customWidth="1"/>
    <col min="9" max="9" width="8.109375" style="18" customWidth="1"/>
    <col min="10" max="10" width="7.88671875" style="18" customWidth="1"/>
    <col min="11" max="11" width="7.6640625" style="18" customWidth="1"/>
    <col min="12" max="12" width="7.88671875" style="18" customWidth="1"/>
    <col min="13" max="13" width="7.109375" style="18" customWidth="1"/>
    <col min="14" max="14" width="8" style="18" customWidth="1"/>
    <col min="15" max="15" width="7.5546875" style="18" customWidth="1"/>
    <col min="16" max="16" width="8" style="18" customWidth="1"/>
    <col min="17" max="17" width="7.88671875" style="18" customWidth="1"/>
    <col min="18" max="21" width="7.33203125" style="18" customWidth="1"/>
    <col min="22" max="22" width="8" style="18" customWidth="1"/>
    <col min="23" max="23" width="7.88671875" style="18" customWidth="1"/>
    <col min="24" max="24" width="7.33203125" style="18" customWidth="1"/>
    <col min="25" max="16384" width="9.109375" style="18"/>
  </cols>
  <sheetData>
    <row r="1" spans="1:24" s="1" customFormat="1" ht="17.25" customHeight="1" thickBot="1" x14ac:dyDescent="0.35">
      <c r="A1" s="887"/>
      <c r="B1" s="27"/>
      <c r="C1" s="27"/>
      <c r="D1" s="47"/>
      <c r="E1" s="47"/>
      <c r="F1" s="47"/>
      <c r="P1" s="66"/>
      <c r="Q1" s="66"/>
      <c r="R1" s="66"/>
      <c r="S1" s="66"/>
      <c r="T1" s="66"/>
      <c r="U1" s="66"/>
      <c r="V1" s="66" t="s">
        <v>393</v>
      </c>
      <c r="W1" s="66"/>
      <c r="X1" s="66"/>
    </row>
    <row r="2" spans="1:24" s="33" customFormat="1" ht="35.25" customHeight="1" x14ac:dyDescent="0.3">
      <c r="A2" s="1131" t="s">
        <v>0</v>
      </c>
      <c r="B2" s="1133" t="s">
        <v>182</v>
      </c>
      <c r="C2" s="1134"/>
      <c r="D2" s="1136" t="s">
        <v>180</v>
      </c>
      <c r="E2" s="1137"/>
      <c r="F2" s="1138"/>
      <c r="G2" s="1139" t="s">
        <v>574</v>
      </c>
      <c r="H2" s="1122"/>
      <c r="I2" s="1122"/>
      <c r="J2" s="1122" t="s">
        <v>668</v>
      </c>
      <c r="K2" s="1122"/>
      <c r="L2" s="1122"/>
      <c r="M2" s="1122" t="s">
        <v>574</v>
      </c>
      <c r="N2" s="1122"/>
      <c r="O2" s="1122"/>
      <c r="P2" s="1122" t="s">
        <v>669</v>
      </c>
      <c r="Q2" s="1122"/>
      <c r="R2" s="1122"/>
      <c r="S2" s="1122" t="s">
        <v>899</v>
      </c>
      <c r="T2" s="1122"/>
      <c r="U2" s="1122"/>
      <c r="V2" s="1122" t="s">
        <v>677</v>
      </c>
      <c r="W2" s="1122"/>
      <c r="X2" s="1129"/>
    </row>
    <row r="3" spans="1:24" s="33" customFormat="1" ht="12.75" customHeight="1" x14ac:dyDescent="0.3">
      <c r="A3" s="1132"/>
      <c r="B3" s="1110"/>
      <c r="C3" s="1135"/>
      <c r="D3" s="1140"/>
      <c r="E3" s="1141"/>
      <c r="F3" s="1142"/>
      <c r="G3" s="1143" t="s">
        <v>189</v>
      </c>
      <c r="H3" s="1123"/>
      <c r="I3" s="1123"/>
      <c r="J3" s="1123" t="s">
        <v>189</v>
      </c>
      <c r="K3" s="1123"/>
      <c r="L3" s="1123"/>
      <c r="M3" s="1123" t="s">
        <v>189</v>
      </c>
      <c r="N3" s="1123"/>
      <c r="O3" s="1123"/>
      <c r="P3" s="1123" t="s">
        <v>189</v>
      </c>
      <c r="Q3" s="1123"/>
      <c r="R3" s="1123"/>
      <c r="S3" s="1123" t="s">
        <v>189</v>
      </c>
      <c r="T3" s="1123"/>
      <c r="U3" s="1123"/>
      <c r="V3" s="1123" t="s">
        <v>189</v>
      </c>
      <c r="W3" s="1123"/>
      <c r="X3" s="1130"/>
    </row>
    <row r="4" spans="1:24" s="17" customFormat="1" ht="26.4" x14ac:dyDescent="0.3">
      <c r="A4" s="1132"/>
      <c r="B4" s="1110"/>
      <c r="C4" s="1135"/>
      <c r="D4" s="910" t="s">
        <v>177</v>
      </c>
      <c r="E4" s="879" t="s">
        <v>792</v>
      </c>
      <c r="F4" s="897" t="s">
        <v>795</v>
      </c>
      <c r="G4" s="904" t="s">
        <v>177</v>
      </c>
      <c r="H4" s="879" t="s">
        <v>792</v>
      </c>
      <c r="I4" s="879" t="s">
        <v>795</v>
      </c>
      <c r="J4" s="879" t="s">
        <v>177</v>
      </c>
      <c r="K4" s="879" t="s">
        <v>792</v>
      </c>
      <c r="L4" s="879" t="s">
        <v>795</v>
      </c>
      <c r="M4" s="879" t="s">
        <v>177</v>
      </c>
      <c r="N4" s="879" t="s">
        <v>792</v>
      </c>
      <c r="O4" s="879" t="s">
        <v>795</v>
      </c>
      <c r="P4" s="879" t="s">
        <v>177</v>
      </c>
      <c r="Q4" s="879" t="s">
        <v>792</v>
      </c>
      <c r="R4" s="879" t="s">
        <v>795</v>
      </c>
      <c r="S4" s="879" t="s">
        <v>177</v>
      </c>
      <c r="T4" s="879" t="s">
        <v>792</v>
      </c>
      <c r="U4" s="879" t="s">
        <v>795</v>
      </c>
      <c r="V4" s="879" t="s">
        <v>177</v>
      </c>
      <c r="W4" s="879" t="s">
        <v>792</v>
      </c>
      <c r="X4" s="897" t="s">
        <v>795</v>
      </c>
    </row>
    <row r="5" spans="1:24" s="44" customFormat="1" ht="12.75" customHeight="1" x14ac:dyDescent="0.25">
      <c r="A5" s="575" t="s">
        <v>27</v>
      </c>
      <c r="B5" s="1111" t="s">
        <v>174</v>
      </c>
      <c r="C5" s="1084"/>
      <c r="D5" s="650">
        <f>+G5+J5+M5+P5+V5+S5</f>
        <v>0</v>
      </c>
      <c r="E5" s="90">
        <f t="shared" ref="E5:F5" si="0">+H5+K5+N5+Q5+W5+T5</f>
        <v>0</v>
      </c>
      <c r="F5" s="652">
        <f t="shared" si="0"/>
        <v>0</v>
      </c>
      <c r="G5" s="649"/>
      <c r="H5" s="58"/>
      <c r="I5" s="58">
        <f>+H5+G5</f>
        <v>0</v>
      </c>
      <c r="J5" s="58"/>
      <c r="K5" s="58"/>
      <c r="L5" s="58">
        <f>+K5+J5</f>
        <v>0</v>
      </c>
      <c r="M5" s="58"/>
      <c r="N5" s="58"/>
      <c r="O5" s="58">
        <f>+N5+M5</f>
        <v>0</v>
      </c>
      <c r="P5" s="58"/>
      <c r="Q5" s="58"/>
      <c r="R5" s="58">
        <f>+Q5+P5</f>
        <v>0</v>
      </c>
      <c r="S5" s="58"/>
      <c r="T5" s="58"/>
      <c r="U5" s="58">
        <f>+T5+S5</f>
        <v>0</v>
      </c>
      <c r="V5" s="58"/>
      <c r="W5" s="58"/>
      <c r="X5" s="576">
        <f>+V5+W5</f>
        <v>0</v>
      </c>
    </row>
    <row r="6" spans="1:24" s="44" customFormat="1" ht="12.75" customHeight="1" x14ac:dyDescent="0.25">
      <c r="A6" s="575" t="s">
        <v>33</v>
      </c>
      <c r="B6" s="1111" t="s">
        <v>173</v>
      </c>
      <c r="C6" s="1084"/>
      <c r="D6" s="650">
        <f t="shared" ref="D6:D68" si="1">+G6+J6+M6+P6+V6+S6</f>
        <v>244</v>
      </c>
      <c r="E6" s="90">
        <f t="shared" ref="E6:E68" si="2">+H6+K6+N6+Q6+W6+T6</f>
        <v>78</v>
      </c>
      <c r="F6" s="652">
        <f t="shared" ref="F6:F68" si="3">+I6+L6+O6+R6+X6+U6</f>
        <v>322</v>
      </c>
      <c r="G6" s="649"/>
      <c r="H6" s="58"/>
      <c r="I6" s="58">
        <f t="shared" ref="I6:I68" si="4">+H6+G6</f>
        <v>0</v>
      </c>
      <c r="J6" s="58"/>
      <c r="K6" s="58"/>
      <c r="L6" s="58">
        <f t="shared" ref="L6:L68" si="5">+K6+J6</f>
        <v>0</v>
      </c>
      <c r="M6" s="58"/>
      <c r="N6" s="58"/>
      <c r="O6" s="58">
        <f t="shared" ref="O6:O66" si="6">+N6+M6</f>
        <v>0</v>
      </c>
      <c r="P6" s="896">
        <f>2134-1890</f>
        <v>244</v>
      </c>
      <c r="Q6" s="58">
        <v>78</v>
      </c>
      <c r="R6" s="58">
        <f t="shared" ref="R6:R68" si="7">+Q6+P6</f>
        <v>322</v>
      </c>
      <c r="S6" s="58"/>
      <c r="T6" s="58"/>
      <c r="U6" s="58">
        <f t="shared" ref="U6:U68" si="8">+T6+S6</f>
        <v>0</v>
      </c>
      <c r="V6" s="58"/>
      <c r="W6" s="58"/>
      <c r="X6" s="576">
        <f t="shared" ref="X6:X68" si="9">+V6+W6</f>
        <v>0</v>
      </c>
    </row>
    <row r="7" spans="1:24" s="44" customFormat="1" ht="12.75" customHeight="1" x14ac:dyDescent="0.25">
      <c r="A7" s="575" t="s">
        <v>34</v>
      </c>
      <c r="B7" s="1111" t="s">
        <v>172</v>
      </c>
      <c r="C7" s="1084"/>
      <c r="D7" s="650">
        <f t="shared" si="1"/>
        <v>244</v>
      </c>
      <c r="E7" s="90">
        <f t="shared" si="2"/>
        <v>78</v>
      </c>
      <c r="F7" s="652">
        <f t="shared" si="3"/>
        <v>322</v>
      </c>
      <c r="G7" s="649">
        <f>SUM(G5:G6)</f>
        <v>0</v>
      </c>
      <c r="H7" s="58">
        <f t="shared" ref="H7:Q7" si="10">SUM(H5:H6)</f>
        <v>0</v>
      </c>
      <c r="I7" s="58">
        <f t="shared" si="4"/>
        <v>0</v>
      </c>
      <c r="J7" s="58">
        <f t="shared" si="10"/>
        <v>0</v>
      </c>
      <c r="K7" s="58">
        <f t="shared" si="10"/>
        <v>0</v>
      </c>
      <c r="L7" s="58">
        <f t="shared" si="5"/>
        <v>0</v>
      </c>
      <c r="M7" s="58">
        <f t="shared" si="10"/>
        <v>0</v>
      </c>
      <c r="N7" s="58">
        <f t="shared" si="10"/>
        <v>0</v>
      </c>
      <c r="O7" s="58">
        <f t="shared" si="6"/>
        <v>0</v>
      </c>
      <c r="P7" s="896">
        <v>244</v>
      </c>
      <c r="Q7" s="58">
        <f t="shared" si="10"/>
        <v>78</v>
      </c>
      <c r="R7" s="58">
        <f t="shared" si="7"/>
        <v>322</v>
      </c>
      <c r="S7" s="58">
        <f t="shared" ref="S7:U7" si="11">SUM(S5:S6)</f>
        <v>0</v>
      </c>
      <c r="T7" s="58">
        <f t="shared" si="11"/>
        <v>0</v>
      </c>
      <c r="U7" s="58">
        <f t="shared" si="11"/>
        <v>0</v>
      </c>
      <c r="V7" s="58">
        <f t="shared" ref="V7:W7" si="12">SUM(V5:V6)</f>
        <v>0</v>
      </c>
      <c r="W7" s="58">
        <f t="shared" si="12"/>
        <v>0</v>
      </c>
      <c r="X7" s="576">
        <f t="shared" si="9"/>
        <v>0</v>
      </c>
    </row>
    <row r="8" spans="1:24" ht="12" customHeight="1" x14ac:dyDescent="0.25">
      <c r="A8" s="577"/>
      <c r="B8" s="880"/>
      <c r="C8" s="356"/>
      <c r="D8" s="911"/>
      <c r="E8" s="889"/>
      <c r="F8" s="912"/>
      <c r="G8" s="61"/>
      <c r="H8" s="61"/>
      <c r="I8" s="246"/>
      <c r="J8" s="61"/>
      <c r="K8" s="61"/>
      <c r="L8" s="246"/>
      <c r="M8" s="61"/>
      <c r="N8" s="61"/>
      <c r="O8" s="246"/>
      <c r="P8" s="714"/>
      <c r="Q8" s="61"/>
      <c r="R8" s="246"/>
      <c r="S8" s="61"/>
      <c r="T8" s="61"/>
      <c r="U8" s="246"/>
      <c r="V8" s="61"/>
      <c r="W8" s="61"/>
      <c r="X8" s="651"/>
    </row>
    <row r="9" spans="1:24" s="44" customFormat="1" ht="12.75" customHeight="1" x14ac:dyDescent="0.25">
      <c r="A9" s="575" t="s">
        <v>35</v>
      </c>
      <c r="B9" s="1111" t="s">
        <v>171</v>
      </c>
      <c r="C9" s="1084"/>
      <c r="D9" s="650">
        <f t="shared" si="1"/>
        <v>349</v>
      </c>
      <c r="E9" s="90">
        <f t="shared" si="2"/>
        <v>-78</v>
      </c>
      <c r="F9" s="652">
        <f t="shared" si="3"/>
        <v>271</v>
      </c>
      <c r="G9" s="649"/>
      <c r="H9" s="58"/>
      <c r="I9" s="58">
        <f t="shared" si="4"/>
        <v>0</v>
      </c>
      <c r="J9" s="58"/>
      <c r="K9" s="58"/>
      <c r="L9" s="58">
        <f t="shared" si="5"/>
        <v>0</v>
      </c>
      <c r="M9" s="58"/>
      <c r="N9" s="58"/>
      <c r="O9" s="58">
        <f t="shared" si="6"/>
        <v>0</v>
      </c>
      <c r="P9" s="896">
        <v>349</v>
      </c>
      <c r="Q9" s="58">
        <v>-78</v>
      </c>
      <c r="R9" s="58">
        <f t="shared" si="7"/>
        <v>271</v>
      </c>
      <c r="S9" s="58"/>
      <c r="T9" s="58"/>
      <c r="U9" s="58">
        <f t="shared" si="8"/>
        <v>0</v>
      </c>
      <c r="V9" s="58"/>
      <c r="W9" s="58"/>
      <c r="X9" s="576">
        <f t="shared" si="9"/>
        <v>0</v>
      </c>
    </row>
    <row r="10" spans="1:24" ht="11.25" customHeight="1" x14ac:dyDescent="0.25">
      <c r="A10" s="103"/>
      <c r="C10" s="357"/>
      <c r="D10" s="911"/>
      <c r="E10" s="889"/>
      <c r="F10" s="912"/>
      <c r="G10" s="61"/>
      <c r="H10" s="61"/>
      <c r="I10" s="246"/>
      <c r="J10" s="61"/>
      <c r="K10" s="61"/>
      <c r="L10" s="246"/>
      <c r="M10" s="61"/>
      <c r="N10" s="61"/>
      <c r="O10" s="246"/>
      <c r="P10" s="714"/>
      <c r="Q10" s="61"/>
      <c r="R10" s="246"/>
      <c r="S10" s="61"/>
      <c r="T10" s="61"/>
      <c r="U10" s="246"/>
      <c r="V10" s="61"/>
      <c r="W10" s="61"/>
      <c r="X10" s="651"/>
    </row>
    <row r="11" spans="1:24" ht="12.75" hidden="1" customHeight="1" x14ac:dyDescent="0.25">
      <c r="A11" s="103" t="s">
        <v>42</v>
      </c>
      <c r="B11" s="1124" t="s">
        <v>41</v>
      </c>
      <c r="C11" s="1125"/>
      <c r="D11" s="911">
        <f t="shared" si="1"/>
        <v>0</v>
      </c>
      <c r="E11" s="889">
        <f t="shared" si="2"/>
        <v>0</v>
      </c>
      <c r="F11" s="912">
        <f t="shared" si="3"/>
        <v>0</v>
      </c>
      <c r="G11" s="61"/>
      <c r="H11" s="61"/>
      <c r="I11" s="246">
        <f t="shared" si="4"/>
        <v>0</v>
      </c>
      <c r="J11" s="61"/>
      <c r="K11" s="61"/>
      <c r="L11" s="246">
        <f t="shared" si="5"/>
        <v>0</v>
      </c>
      <c r="M11" s="61"/>
      <c r="N11" s="61"/>
      <c r="O11" s="246">
        <f t="shared" si="6"/>
        <v>0</v>
      </c>
      <c r="P11" s="61"/>
      <c r="Q11" s="61"/>
      <c r="R11" s="246">
        <f t="shared" si="7"/>
        <v>0</v>
      </c>
      <c r="S11" s="61"/>
      <c r="T11" s="61"/>
      <c r="U11" s="246">
        <f t="shared" si="8"/>
        <v>0</v>
      </c>
      <c r="V11" s="61"/>
      <c r="W11" s="61"/>
      <c r="X11" s="651">
        <f t="shared" si="9"/>
        <v>0</v>
      </c>
    </row>
    <row r="12" spans="1:24" ht="12.75" hidden="1" customHeight="1" x14ac:dyDescent="0.25">
      <c r="A12" s="103" t="s">
        <v>44</v>
      </c>
      <c r="B12" s="1124" t="s">
        <v>43</v>
      </c>
      <c r="C12" s="1125"/>
      <c r="D12" s="911">
        <f t="shared" si="1"/>
        <v>0</v>
      </c>
      <c r="E12" s="889">
        <f t="shared" si="2"/>
        <v>0</v>
      </c>
      <c r="F12" s="912">
        <f t="shared" si="3"/>
        <v>0</v>
      </c>
      <c r="G12" s="61"/>
      <c r="H12" s="61"/>
      <c r="I12" s="246">
        <f t="shared" si="4"/>
        <v>0</v>
      </c>
      <c r="J12" s="61"/>
      <c r="K12" s="61"/>
      <c r="L12" s="246">
        <f t="shared" si="5"/>
        <v>0</v>
      </c>
      <c r="M12" s="61"/>
      <c r="N12" s="61"/>
      <c r="O12" s="246">
        <f t="shared" si="6"/>
        <v>0</v>
      </c>
      <c r="P12" s="61"/>
      <c r="Q12" s="61"/>
      <c r="R12" s="246">
        <f t="shared" si="7"/>
        <v>0</v>
      </c>
      <c r="S12" s="61"/>
      <c r="T12" s="61"/>
      <c r="U12" s="246">
        <f t="shared" si="8"/>
        <v>0</v>
      </c>
      <c r="V12" s="61"/>
      <c r="W12" s="61"/>
      <c r="X12" s="651">
        <f t="shared" si="9"/>
        <v>0</v>
      </c>
    </row>
    <row r="13" spans="1:24" ht="12.75" hidden="1" customHeight="1" x14ac:dyDescent="0.25">
      <c r="A13" s="103" t="s">
        <v>46</v>
      </c>
      <c r="B13" s="1124" t="s">
        <v>45</v>
      </c>
      <c r="C13" s="1125"/>
      <c r="D13" s="911">
        <f t="shared" si="1"/>
        <v>0</v>
      </c>
      <c r="E13" s="889">
        <f t="shared" si="2"/>
        <v>0</v>
      </c>
      <c r="F13" s="912">
        <f t="shared" si="3"/>
        <v>0</v>
      </c>
      <c r="G13" s="61"/>
      <c r="H13" s="61"/>
      <c r="I13" s="246">
        <f t="shared" si="4"/>
        <v>0</v>
      </c>
      <c r="J13" s="61"/>
      <c r="K13" s="61"/>
      <c r="L13" s="246">
        <f t="shared" si="5"/>
        <v>0</v>
      </c>
      <c r="M13" s="61"/>
      <c r="N13" s="61"/>
      <c r="O13" s="246">
        <f t="shared" si="6"/>
        <v>0</v>
      </c>
      <c r="P13" s="61"/>
      <c r="Q13" s="61"/>
      <c r="R13" s="246">
        <f t="shared" si="7"/>
        <v>0</v>
      </c>
      <c r="S13" s="61"/>
      <c r="T13" s="61"/>
      <c r="U13" s="246">
        <f t="shared" si="8"/>
        <v>0</v>
      </c>
      <c r="V13" s="61"/>
      <c r="W13" s="61"/>
      <c r="X13" s="651">
        <f t="shared" si="9"/>
        <v>0</v>
      </c>
    </row>
    <row r="14" spans="1:24" s="44" customFormat="1" ht="12.75" customHeight="1" x14ac:dyDescent="0.25">
      <c r="A14" s="575" t="s">
        <v>47</v>
      </c>
      <c r="B14" s="1111" t="s">
        <v>170</v>
      </c>
      <c r="C14" s="1084"/>
      <c r="D14" s="650">
        <f t="shared" si="1"/>
        <v>0</v>
      </c>
      <c r="E14" s="90">
        <f t="shared" si="2"/>
        <v>0</v>
      </c>
      <c r="F14" s="652">
        <f t="shared" si="3"/>
        <v>0</v>
      </c>
      <c r="G14" s="649">
        <f>SUM(G11:G13)</f>
        <v>0</v>
      </c>
      <c r="H14" s="58">
        <f t="shared" ref="H14:N14" si="13">SUM(H11:H13)</f>
        <v>0</v>
      </c>
      <c r="I14" s="58">
        <f t="shared" si="4"/>
        <v>0</v>
      </c>
      <c r="J14" s="58">
        <f t="shared" si="13"/>
        <v>0</v>
      </c>
      <c r="K14" s="58">
        <f t="shared" si="13"/>
        <v>0</v>
      </c>
      <c r="L14" s="58">
        <f t="shared" si="5"/>
        <v>0</v>
      </c>
      <c r="M14" s="58">
        <f t="shared" si="13"/>
        <v>0</v>
      </c>
      <c r="N14" s="58">
        <f t="shared" si="13"/>
        <v>0</v>
      </c>
      <c r="O14" s="58">
        <f t="shared" si="6"/>
        <v>0</v>
      </c>
      <c r="P14" s="58">
        <f t="shared" ref="P14:W14" si="14">SUM(P11:P13)</f>
        <v>0</v>
      </c>
      <c r="Q14" s="58">
        <f t="shared" si="14"/>
        <v>0</v>
      </c>
      <c r="R14" s="58">
        <f t="shared" si="7"/>
        <v>0</v>
      </c>
      <c r="S14" s="58">
        <f t="shared" ref="S14:U14" si="15">SUM(S11:S13)</f>
        <v>0</v>
      </c>
      <c r="T14" s="58">
        <f t="shared" si="15"/>
        <v>0</v>
      </c>
      <c r="U14" s="58">
        <f t="shared" si="15"/>
        <v>0</v>
      </c>
      <c r="V14" s="58">
        <f t="shared" si="14"/>
        <v>0</v>
      </c>
      <c r="W14" s="58">
        <f t="shared" si="14"/>
        <v>0</v>
      </c>
      <c r="X14" s="576">
        <f t="shared" si="9"/>
        <v>0</v>
      </c>
    </row>
    <row r="15" spans="1:24" ht="12.75" hidden="1" customHeight="1" x14ac:dyDescent="0.25">
      <c r="A15" s="578" t="s">
        <v>49</v>
      </c>
      <c r="B15" s="1112" t="s">
        <v>48</v>
      </c>
      <c r="C15" s="1086"/>
      <c r="D15" s="650">
        <f t="shared" si="1"/>
        <v>0</v>
      </c>
      <c r="E15" s="90">
        <f t="shared" si="2"/>
        <v>0</v>
      </c>
      <c r="F15" s="652">
        <f t="shared" si="3"/>
        <v>0</v>
      </c>
      <c r="G15" s="31"/>
      <c r="H15" s="29"/>
      <c r="I15" s="58">
        <f t="shared" si="4"/>
        <v>0</v>
      </c>
      <c r="J15" s="29"/>
      <c r="K15" s="29"/>
      <c r="L15" s="58">
        <f t="shared" si="5"/>
        <v>0</v>
      </c>
      <c r="M15" s="29"/>
      <c r="N15" s="29"/>
      <c r="O15" s="58">
        <f t="shared" si="6"/>
        <v>0</v>
      </c>
      <c r="P15" s="29"/>
      <c r="Q15" s="29"/>
      <c r="R15" s="58">
        <f t="shared" si="7"/>
        <v>0</v>
      </c>
      <c r="S15" s="29"/>
      <c r="T15" s="29"/>
      <c r="U15" s="29"/>
      <c r="V15" s="29"/>
      <c r="W15" s="29"/>
      <c r="X15" s="576">
        <f t="shared" si="9"/>
        <v>0</v>
      </c>
    </row>
    <row r="16" spans="1:24" ht="12.75" hidden="1" customHeight="1" x14ac:dyDescent="0.25">
      <c r="A16" s="578" t="s">
        <v>51</v>
      </c>
      <c r="B16" s="1112" t="s">
        <v>50</v>
      </c>
      <c r="C16" s="1086"/>
      <c r="D16" s="650">
        <f t="shared" si="1"/>
        <v>0</v>
      </c>
      <c r="E16" s="90">
        <f t="shared" si="2"/>
        <v>0</v>
      </c>
      <c r="F16" s="652">
        <f t="shared" si="3"/>
        <v>0</v>
      </c>
      <c r="G16" s="31"/>
      <c r="H16" s="29"/>
      <c r="I16" s="58">
        <f t="shared" si="4"/>
        <v>0</v>
      </c>
      <c r="J16" s="29"/>
      <c r="K16" s="29"/>
      <c r="L16" s="58">
        <f t="shared" si="5"/>
        <v>0</v>
      </c>
      <c r="M16" s="29"/>
      <c r="N16" s="29"/>
      <c r="O16" s="58">
        <f t="shared" si="6"/>
        <v>0</v>
      </c>
      <c r="P16" s="29"/>
      <c r="Q16" s="29"/>
      <c r="R16" s="58">
        <f t="shared" si="7"/>
        <v>0</v>
      </c>
      <c r="S16" s="29"/>
      <c r="T16" s="29"/>
      <c r="U16" s="29"/>
      <c r="V16" s="29"/>
      <c r="W16" s="29"/>
      <c r="X16" s="576">
        <f t="shared" si="9"/>
        <v>0</v>
      </c>
    </row>
    <row r="17" spans="1:24" s="44" customFormat="1" ht="12.75" customHeight="1" x14ac:dyDescent="0.25">
      <c r="A17" s="575" t="s">
        <v>52</v>
      </c>
      <c r="B17" s="1111" t="s">
        <v>169</v>
      </c>
      <c r="C17" s="1084"/>
      <c r="D17" s="650">
        <f t="shared" si="1"/>
        <v>0</v>
      </c>
      <c r="E17" s="90">
        <f t="shared" si="2"/>
        <v>0</v>
      </c>
      <c r="F17" s="652">
        <f t="shared" si="3"/>
        <v>0</v>
      </c>
      <c r="G17" s="649">
        <f>+G15+G16</f>
        <v>0</v>
      </c>
      <c r="H17" s="58">
        <f t="shared" ref="H17:N17" si="16">+H15+H16</f>
        <v>0</v>
      </c>
      <c r="I17" s="58">
        <f t="shared" si="4"/>
        <v>0</v>
      </c>
      <c r="J17" s="58">
        <f t="shared" si="16"/>
        <v>0</v>
      </c>
      <c r="K17" s="58">
        <f t="shared" si="16"/>
        <v>0</v>
      </c>
      <c r="L17" s="58">
        <f t="shared" si="5"/>
        <v>0</v>
      </c>
      <c r="M17" s="58">
        <f t="shared" si="16"/>
        <v>0</v>
      </c>
      <c r="N17" s="58">
        <f t="shared" si="16"/>
        <v>0</v>
      </c>
      <c r="O17" s="58">
        <f t="shared" si="6"/>
        <v>0</v>
      </c>
      <c r="P17" s="58">
        <f t="shared" ref="P17:W17" si="17">+P15+P16</f>
        <v>0</v>
      </c>
      <c r="Q17" s="58">
        <f t="shared" si="17"/>
        <v>0</v>
      </c>
      <c r="R17" s="58">
        <f t="shared" si="7"/>
        <v>0</v>
      </c>
      <c r="S17" s="58">
        <f t="shared" ref="S17:U17" si="18">+S15+S16</f>
        <v>0</v>
      </c>
      <c r="T17" s="58">
        <f t="shared" si="18"/>
        <v>0</v>
      </c>
      <c r="U17" s="58">
        <f t="shared" si="18"/>
        <v>0</v>
      </c>
      <c r="V17" s="58">
        <f t="shared" si="17"/>
        <v>0</v>
      </c>
      <c r="W17" s="58">
        <f t="shared" si="17"/>
        <v>0</v>
      </c>
      <c r="X17" s="576">
        <f t="shared" si="9"/>
        <v>0</v>
      </c>
    </row>
    <row r="18" spans="1:24" ht="12.75" customHeight="1" x14ac:dyDescent="0.25">
      <c r="A18" s="578" t="s">
        <v>54</v>
      </c>
      <c r="B18" s="1112" t="s">
        <v>53</v>
      </c>
      <c r="C18" s="1086"/>
      <c r="D18" s="650">
        <f t="shared" si="1"/>
        <v>0</v>
      </c>
      <c r="E18" s="90">
        <f t="shared" si="2"/>
        <v>0</v>
      </c>
      <c r="F18" s="652">
        <f t="shared" si="3"/>
        <v>0</v>
      </c>
      <c r="G18" s="31"/>
      <c r="H18" s="29"/>
      <c r="I18" s="58">
        <f t="shared" si="4"/>
        <v>0</v>
      </c>
      <c r="J18" s="29"/>
      <c r="K18" s="29"/>
      <c r="L18" s="58">
        <f t="shared" si="5"/>
        <v>0</v>
      </c>
      <c r="M18" s="29"/>
      <c r="N18" s="29"/>
      <c r="O18" s="58">
        <f t="shared" si="6"/>
        <v>0</v>
      </c>
      <c r="P18" s="29"/>
      <c r="Q18" s="29"/>
      <c r="R18" s="58">
        <f t="shared" si="7"/>
        <v>0</v>
      </c>
      <c r="S18" s="29"/>
      <c r="T18" s="29"/>
      <c r="U18" s="58">
        <f t="shared" si="8"/>
        <v>0</v>
      </c>
      <c r="V18" s="29"/>
      <c r="W18" s="29"/>
      <c r="X18" s="576">
        <f t="shared" si="9"/>
        <v>0</v>
      </c>
    </row>
    <row r="19" spans="1:24" ht="12.75" customHeight="1" x14ac:dyDescent="0.25">
      <c r="A19" s="578" t="s">
        <v>56</v>
      </c>
      <c r="B19" s="1112" t="s">
        <v>55</v>
      </c>
      <c r="C19" s="1086"/>
      <c r="D19" s="650">
        <f t="shared" si="1"/>
        <v>0</v>
      </c>
      <c r="E19" s="90">
        <f t="shared" si="2"/>
        <v>0</v>
      </c>
      <c r="F19" s="652">
        <f t="shared" si="3"/>
        <v>0</v>
      </c>
      <c r="G19" s="31"/>
      <c r="H19" s="29"/>
      <c r="I19" s="58">
        <f t="shared" si="4"/>
        <v>0</v>
      </c>
      <c r="J19" s="29"/>
      <c r="K19" s="29"/>
      <c r="L19" s="58">
        <f t="shared" si="5"/>
        <v>0</v>
      </c>
      <c r="M19" s="29"/>
      <c r="N19" s="29"/>
      <c r="O19" s="58">
        <f t="shared" si="6"/>
        <v>0</v>
      </c>
      <c r="P19" s="29"/>
      <c r="Q19" s="29"/>
      <c r="R19" s="58">
        <f t="shared" si="7"/>
        <v>0</v>
      </c>
      <c r="S19" s="29"/>
      <c r="T19" s="29"/>
      <c r="U19" s="58">
        <f t="shared" si="8"/>
        <v>0</v>
      </c>
      <c r="V19" s="29"/>
      <c r="W19" s="29"/>
      <c r="X19" s="576">
        <f t="shared" si="9"/>
        <v>0</v>
      </c>
    </row>
    <row r="20" spans="1:24" ht="12.75" customHeight="1" x14ac:dyDescent="0.25">
      <c r="A20" s="578" t="s">
        <v>57</v>
      </c>
      <c r="B20" s="1112" t="s">
        <v>167</v>
      </c>
      <c r="C20" s="1086"/>
      <c r="D20" s="650">
        <f t="shared" si="1"/>
        <v>0</v>
      </c>
      <c r="E20" s="90">
        <f t="shared" si="2"/>
        <v>0</v>
      </c>
      <c r="F20" s="652">
        <f t="shared" si="3"/>
        <v>0</v>
      </c>
      <c r="G20" s="31"/>
      <c r="H20" s="29"/>
      <c r="I20" s="58">
        <f t="shared" si="4"/>
        <v>0</v>
      </c>
      <c r="J20" s="29"/>
      <c r="K20" s="29"/>
      <c r="L20" s="58">
        <f t="shared" si="5"/>
        <v>0</v>
      </c>
      <c r="M20" s="29"/>
      <c r="N20" s="29"/>
      <c r="O20" s="58">
        <f t="shared" si="6"/>
        <v>0</v>
      </c>
      <c r="P20" s="29"/>
      <c r="Q20" s="29"/>
      <c r="R20" s="58">
        <f t="shared" si="7"/>
        <v>0</v>
      </c>
      <c r="S20" s="29"/>
      <c r="T20" s="29"/>
      <c r="U20" s="58">
        <f t="shared" si="8"/>
        <v>0</v>
      </c>
      <c r="V20" s="29"/>
      <c r="W20" s="29"/>
      <c r="X20" s="576">
        <f t="shared" si="9"/>
        <v>0</v>
      </c>
    </row>
    <row r="21" spans="1:24" ht="12.75" customHeight="1" x14ac:dyDescent="0.25">
      <c r="A21" s="578" t="s">
        <v>59</v>
      </c>
      <c r="B21" s="1112" t="s">
        <v>58</v>
      </c>
      <c r="C21" s="1086"/>
      <c r="D21" s="650">
        <f t="shared" si="1"/>
        <v>0</v>
      </c>
      <c r="E21" s="90">
        <f t="shared" si="2"/>
        <v>1734</v>
      </c>
      <c r="F21" s="652">
        <f t="shared" si="3"/>
        <v>1734</v>
      </c>
      <c r="G21" s="31"/>
      <c r="H21" s="29">
        <v>500</v>
      </c>
      <c r="I21" s="58">
        <f t="shared" si="4"/>
        <v>500</v>
      </c>
      <c r="J21" s="29"/>
      <c r="K21" s="29">
        <v>1000</v>
      </c>
      <c r="L21" s="58">
        <f t="shared" si="5"/>
        <v>1000</v>
      </c>
      <c r="M21" s="29"/>
      <c r="N21" s="29"/>
      <c r="O21" s="58">
        <f t="shared" si="6"/>
        <v>0</v>
      </c>
      <c r="P21" s="29"/>
      <c r="Q21" s="29"/>
      <c r="R21" s="58">
        <f t="shared" si="7"/>
        <v>0</v>
      </c>
      <c r="S21" s="29"/>
      <c r="T21" s="29">
        <v>234</v>
      </c>
      <c r="U21" s="58">
        <f t="shared" si="8"/>
        <v>234</v>
      </c>
      <c r="V21" s="29"/>
      <c r="W21" s="29"/>
      <c r="X21" s="576">
        <f t="shared" si="9"/>
        <v>0</v>
      </c>
    </row>
    <row r="22" spans="1:24" ht="12.75" customHeight="1" x14ac:dyDescent="0.25">
      <c r="A22" s="578" t="s">
        <v>60</v>
      </c>
      <c r="B22" s="1112" t="s">
        <v>166</v>
      </c>
      <c r="C22" s="1086"/>
      <c r="D22" s="650">
        <f t="shared" si="1"/>
        <v>0</v>
      </c>
      <c r="E22" s="90">
        <f t="shared" si="2"/>
        <v>0</v>
      </c>
      <c r="F22" s="652">
        <f t="shared" si="3"/>
        <v>0</v>
      </c>
      <c r="G22" s="31"/>
      <c r="H22" s="29"/>
      <c r="I22" s="58">
        <f t="shared" si="4"/>
        <v>0</v>
      </c>
      <c r="J22" s="29"/>
      <c r="K22" s="29"/>
      <c r="L22" s="58">
        <f t="shared" si="5"/>
        <v>0</v>
      </c>
      <c r="M22" s="29"/>
      <c r="N22" s="29"/>
      <c r="O22" s="58">
        <f t="shared" si="6"/>
        <v>0</v>
      </c>
      <c r="P22" s="29"/>
      <c r="Q22" s="29"/>
      <c r="R22" s="58">
        <f t="shared" si="7"/>
        <v>0</v>
      </c>
      <c r="S22" s="29"/>
      <c r="T22" s="29"/>
      <c r="U22" s="58">
        <f t="shared" si="8"/>
        <v>0</v>
      </c>
      <c r="V22" s="29"/>
      <c r="W22" s="29"/>
      <c r="X22" s="576">
        <f t="shared" si="9"/>
        <v>0</v>
      </c>
    </row>
    <row r="23" spans="1:24" ht="12.75" customHeight="1" x14ac:dyDescent="0.25">
      <c r="A23" s="578" t="s">
        <v>63</v>
      </c>
      <c r="B23" s="1112" t="s">
        <v>62</v>
      </c>
      <c r="C23" s="1086"/>
      <c r="D23" s="650">
        <f t="shared" si="1"/>
        <v>0</v>
      </c>
      <c r="E23" s="90">
        <f t="shared" si="2"/>
        <v>0</v>
      </c>
      <c r="F23" s="652">
        <f t="shared" si="3"/>
        <v>0</v>
      </c>
      <c r="G23" s="31"/>
      <c r="H23" s="29"/>
      <c r="I23" s="58">
        <f t="shared" si="4"/>
        <v>0</v>
      </c>
      <c r="J23" s="29"/>
      <c r="K23" s="29"/>
      <c r="L23" s="58">
        <f t="shared" si="5"/>
        <v>0</v>
      </c>
      <c r="M23" s="29"/>
      <c r="N23" s="29"/>
      <c r="O23" s="58">
        <f t="shared" si="6"/>
        <v>0</v>
      </c>
      <c r="P23" s="29"/>
      <c r="Q23" s="29"/>
      <c r="R23" s="58">
        <f t="shared" si="7"/>
        <v>0</v>
      </c>
      <c r="S23" s="29"/>
      <c r="T23" s="29"/>
      <c r="U23" s="58">
        <f t="shared" si="8"/>
        <v>0</v>
      </c>
      <c r="V23" s="29"/>
      <c r="W23" s="29"/>
      <c r="X23" s="576">
        <f t="shared" si="9"/>
        <v>0</v>
      </c>
    </row>
    <row r="24" spans="1:24" ht="12.75" customHeight="1" x14ac:dyDescent="0.25">
      <c r="A24" s="578" t="s">
        <v>65</v>
      </c>
      <c r="B24" s="1112" t="s">
        <v>64</v>
      </c>
      <c r="C24" s="1086"/>
      <c r="D24" s="650">
        <f t="shared" si="1"/>
        <v>1642</v>
      </c>
      <c r="E24" s="90">
        <f t="shared" si="2"/>
        <v>1235</v>
      </c>
      <c r="F24" s="652">
        <f t="shared" si="3"/>
        <v>2877</v>
      </c>
      <c r="G24" s="31">
        <v>157</v>
      </c>
      <c r="H24" s="29"/>
      <c r="I24" s="58">
        <f t="shared" si="4"/>
        <v>157</v>
      </c>
      <c r="J24" s="29">
        <v>752</v>
      </c>
      <c r="K24" s="29"/>
      <c r="L24" s="58">
        <f t="shared" si="5"/>
        <v>752</v>
      </c>
      <c r="M24" s="29">
        <v>733</v>
      </c>
      <c r="N24" s="29"/>
      <c r="O24" s="58">
        <f t="shared" si="6"/>
        <v>733</v>
      </c>
      <c r="P24" s="29"/>
      <c r="Q24" s="29">
        <f>1200+35</f>
        <v>1235</v>
      </c>
      <c r="R24" s="58">
        <f t="shared" si="7"/>
        <v>1235</v>
      </c>
      <c r="S24" s="29"/>
      <c r="T24" s="29"/>
      <c r="U24" s="58">
        <f t="shared" si="8"/>
        <v>0</v>
      </c>
      <c r="V24" s="29"/>
      <c r="W24" s="29"/>
      <c r="X24" s="576">
        <f t="shared" si="9"/>
        <v>0</v>
      </c>
    </row>
    <row r="25" spans="1:24" s="44" customFormat="1" ht="12.75" customHeight="1" x14ac:dyDescent="0.25">
      <c r="A25" s="575" t="s">
        <v>66</v>
      </c>
      <c r="B25" s="1111" t="s">
        <v>156</v>
      </c>
      <c r="C25" s="1084"/>
      <c r="D25" s="650">
        <f t="shared" si="1"/>
        <v>1642</v>
      </c>
      <c r="E25" s="90">
        <f t="shared" si="2"/>
        <v>2969</v>
      </c>
      <c r="F25" s="652">
        <f t="shared" si="3"/>
        <v>4611</v>
      </c>
      <c r="G25" s="649">
        <f t="shared" ref="G25:Q25" si="19">+G24+G23+G22+G21+G20+G19+G18</f>
        <v>157</v>
      </c>
      <c r="H25" s="58">
        <f t="shared" si="19"/>
        <v>500</v>
      </c>
      <c r="I25" s="58">
        <f t="shared" si="4"/>
        <v>657</v>
      </c>
      <c r="J25" s="58">
        <f t="shared" si="19"/>
        <v>752</v>
      </c>
      <c r="K25" s="58">
        <f t="shared" si="19"/>
        <v>1000</v>
      </c>
      <c r="L25" s="58">
        <f t="shared" si="5"/>
        <v>1752</v>
      </c>
      <c r="M25" s="58">
        <f t="shared" si="19"/>
        <v>733</v>
      </c>
      <c r="N25" s="58">
        <f t="shared" si="19"/>
        <v>0</v>
      </c>
      <c r="O25" s="58">
        <f t="shared" si="6"/>
        <v>733</v>
      </c>
      <c r="P25" s="58">
        <f t="shared" si="19"/>
        <v>0</v>
      </c>
      <c r="Q25" s="58">
        <f t="shared" si="19"/>
        <v>1235</v>
      </c>
      <c r="R25" s="58">
        <f t="shared" si="7"/>
        <v>1235</v>
      </c>
      <c r="S25" s="58">
        <f t="shared" ref="S25:U25" si="20">+S24+S23+S22+S21+S20+S19+S18</f>
        <v>0</v>
      </c>
      <c r="T25" s="58">
        <f t="shared" si="20"/>
        <v>234</v>
      </c>
      <c r="U25" s="58">
        <f t="shared" si="20"/>
        <v>234</v>
      </c>
      <c r="V25" s="58">
        <f t="shared" ref="V25:W25" si="21">+V24+V23+V22+V21+V20+V19+V18</f>
        <v>0</v>
      </c>
      <c r="W25" s="58">
        <f t="shared" si="21"/>
        <v>0</v>
      </c>
      <c r="X25" s="576">
        <f t="shared" si="9"/>
        <v>0</v>
      </c>
    </row>
    <row r="26" spans="1:24" ht="12.75" customHeight="1" x14ac:dyDescent="0.25">
      <c r="A26" s="578" t="s">
        <v>68</v>
      </c>
      <c r="B26" s="1112" t="s">
        <v>67</v>
      </c>
      <c r="C26" s="1086"/>
      <c r="D26" s="650">
        <f t="shared" si="1"/>
        <v>0</v>
      </c>
      <c r="E26" s="90">
        <f t="shared" si="2"/>
        <v>0</v>
      </c>
      <c r="F26" s="652">
        <f t="shared" si="3"/>
        <v>0</v>
      </c>
      <c r="G26" s="31"/>
      <c r="H26" s="29"/>
      <c r="I26" s="58">
        <f t="shared" si="4"/>
        <v>0</v>
      </c>
      <c r="J26" s="29"/>
      <c r="K26" s="29"/>
      <c r="L26" s="58">
        <f t="shared" si="5"/>
        <v>0</v>
      </c>
      <c r="M26" s="29"/>
      <c r="N26" s="29"/>
      <c r="O26" s="58">
        <f t="shared" si="6"/>
        <v>0</v>
      </c>
      <c r="P26" s="29"/>
      <c r="Q26" s="29"/>
      <c r="R26" s="58">
        <f t="shared" si="7"/>
        <v>0</v>
      </c>
      <c r="S26" s="29"/>
      <c r="T26" s="29"/>
      <c r="U26" s="58">
        <f t="shared" si="8"/>
        <v>0</v>
      </c>
      <c r="V26" s="29"/>
      <c r="W26" s="29"/>
      <c r="X26" s="576">
        <f t="shared" si="9"/>
        <v>0</v>
      </c>
    </row>
    <row r="27" spans="1:24" ht="12.75" customHeight="1" x14ac:dyDescent="0.25">
      <c r="A27" s="578" t="s">
        <v>70</v>
      </c>
      <c r="B27" s="1112" t="s">
        <v>69</v>
      </c>
      <c r="C27" s="1086"/>
      <c r="D27" s="650">
        <f t="shared" si="1"/>
        <v>1574</v>
      </c>
      <c r="E27" s="90">
        <f t="shared" si="2"/>
        <v>77</v>
      </c>
      <c r="F27" s="652">
        <f t="shared" si="3"/>
        <v>1651</v>
      </c>
      <c r="G27" s="31">
        <v>787</v>
      </c>
      <c r="H27" s="29"/>
      <c r="I27" s="58">
        <f t="shared" si="4"/>
        <v>787</v>
      </c>
      <c r="J27" s="29"/>
      <c r="K27" s="29"/>
      <c r="L27" s="58">
        <f t="shared" si="5"/>
        <v>0</v>
      </c>
      <c r="M27" s="29">
        <v>787</v>
      </c>
      <c r="N27" s="29"/>
      <c r="O27" s="58">
        <f t="shared" si="6"/>
        <v>787</v>
      </c>
      <c r="P27" s="29"/>
      <c r="Q27" s="29">
        <v>77</v>
      </c>
      <c r="R27" s="58">
        <f t="shared" si="7"/>
        <v>77</v>
      </c>
      <c r="S27" s="29"/>
      <c r="T27" s="29"/>
      <c r="U27" s="58">
        <f t="shared" si="8"/>
        <v>0</v>
      </c>
      <c r="V27" s="29"/>
      <c r="W27" s="29"/>
      <c r="X27" s="576">
        <f t="shared" si="9"/>
        <v>0</v>
      </c>
    </row>
    <row r="28" spans="1:24" s="44" customFormat="1" ht="12.75" customHeight="1" x14ac:dyDescent="0.25">
      <c r="A28" s="575" t="s">
        <v>71</v>
      </c>
      <c r="B28" s="1111" t="s">
        <v>155</v>
      </c>
      <c r="C28" s="1084"/>
      <c r="D28" s="650">
        <f t="shared" si="1"/>
        <v>1574</v>
      </c>
      <c r="E28" s="90">
        <f t="shared" si="2"/>
        <v>77</v>
      </c>
      <c r="F28" s="652">
        <f t="shared" si="3"/>
        <v>1651</v>
      </c>
      <c r="G28" s="649">
        <f>SUM(G26:G27)</f>
        <v>787</v>
      </c>
      <c r="H28" s="58">
        <f t="shared" ref="H28:N28" si="22">SUM(H26:H27)</f>
        <v>0</v>
      </c>
      <c r="I28" s="58">
        <f t="shared" si="4"/>
        <v>787</v>
      </c>
      <c r="J28" s="58">
        <f t="shared" si="22"/>
        <v>0</v>
      </c>
      <c r="K28" s="58">
        <f t="shared" si="22"/>
        <v>0</v>
      </c>
      <c r="L28" s="58">
        <f t="shared" si="5"/>
        <v>0</v>
      </c>
      <c r="M28" s="58">
        <f t="shared" si="22"/>
        <v>787</v>
      </c>
      <c r="N28" s="58">
        <f t="shared" si="22"/>
        <v>0</v>
      </c>
      <c r="O28" s="58">
        <f t="shared" si="6"/>
        <v>787</v>
      </c>
      <c r="P28" s="58">
        <f t="shared" ref="P28:W28" si="23">SUM(P26:P27)</f>
        <v>0</v>
      </c>
      <c r="Q28" s="58">
        <f t="shared" si="23"/>
        <v>77</v>
      </c>
      <c r="R28" s="58">
        <f t="shared" si="7"/>
        <v>77</v>
      </c>
      <c r="S28" s="58">
        <f t="shared" si="23"/>
        <v>0</v>
      </c>
      <c r="T28" s="58">
        <f t="shared" si="23"/>
        <v>0</v>
      </c>
      <c r="U28" s="58">
        <f t="shared" si="23"/>
        <v>0</v>
      </c>
      <c r="V28" s="58">
        <f t="shared" si="23"/>
        <v>0</v>
      </c>
      <c r="W28" s="58">
        <f t="shared" si="23"/>
        <v>0</v>
      </c>
      <c r="X28" s="576">
        <f t="shared" si="9"/>
        <v>0</v>
      </c>
    </row>
    <row r="29" spans="1:24" ht="12.75" customHeight="1" x14ac:dyDescent="0.25">
      <c r="A29" s="578" t="s">
        <v>73</v>
      </c>
      <c r="B29" s="1112" t="s">
        <v>72</v>
      </c>
      <c r="C29" s="1086"/>
      <c r="D29" s="650">
        <f t="shared" si="1"/>
        <v>868</v>
      </c>
      <c r="E29" s="90">
        <f t="shared" si="2"/>
        <v>813</v>
      </c>
      <c r="F29" s="652">
        <f t="shared" si="3"/>
        <v>1681</v>
      </c>
      <c r="G29" s="31">
        <v>255</v>
      </c>
      <c r="H29" s="29">
        <v>135</v>
      </c>
      <c r="I29" s="58">
        <f t="shared" si="4"/>
        <v>390</v>
      </c>
      <c r="J29" s="29">
        <v>203</v>
      </c>
      <c r="K29" s="29">
        <v>270</v>
      </c>
      <c r="L29" s="58">
        <f t="shared" si="5"/>
        <v>473</v>
      </c>
      <c r="M29" s="29">
        <v>410</v>
      </c>
      <c r="N29" s="29"/>
      <c r="O29" s="58">
        <f t="shared" si="6"/>
        <v>410</v>
      </c>
      <c r="P29" s="29"/>
      <c r="Q29" s="29">
        <f>324+21</f>
        <v>345</v>
      </c>
      <c r="R29" s="58">
        <f t="shared" si="7"/>
        <v>345</v>
      </c>
      <c r="S29" s="29"/>
      <c r="T29" s="29">
        <v>63</v>
      </c>
      <c r="U29" s="58">
        <f t="shared" si="8"/>
        <v>63</v>
      </c>
      <c r="V29" s="29"/>
      <c r="W29" s="29"/>
      <c r="X29" s="576">
        <f t="shared" si="9"/>
        <v>0</v>
      </c>
    </row>
    <row r="30" spans="1:24" ht="12.75" customHeight="1" x14ac:dyDescent="0.25">
      <c r="A30" s="578" t="s">
        <v>75</v>
      </c>
      <c r="B30" s="1112" t="s">
        <v>74</v>
      </c>
      <c r="C30" s="1086"/>
      <c r="D30" s="650">
        <f t="shared" si="1"/>
        <v>121952</v>
      </c>
      <c r="E30" s="90">
        <f t="shared" si="2"/>
        <v>0</v>
      </c>
      <c r="F30" s="652">
        <f t="shared" si="3"/>
        <v>121952</v>
      </c>
      <c r="G30" s="31">
        <v>67336</v>
      </c>
      <c r="H30" s="29"/>
      <c r="I30" s="58">
        <f t="shared" si="4"/>
        <v>67336</v>
      </c>
      <c r="J30" s="29">
        <v>34844</v>
      </c>
      <c r="K30" s="29"/>
      <c r="L30" s="58">
        <f t="shared" si="5"/>
        <v>34844</v>
      </c>
      <c r="M30" s="29">
        <v>19772</v>
      </c>
      <c r="N30" s="29"/>
      <c r="O30" s="58">
        <f t="shared" si="6"/>
        <v>19772</v>
      </c>
      <c r="P30" s="29"/>
      <c r="Q30" s="29"/>
      <c r="R30" s="58">
        <f t="shared" si="7"/>
        <v>0</v>
      </c>
      <c r="S30" s="29"/>
      <c r="T30" s="29"/>
      <c r="U30" s="58">
        <f t="shared" si="8"/>
        <v>0</v>
      </c>
      <c r="V30" s="29"/>
      <c r="W30" s="29"/>
      <c r="X30" s="576">
        <f t="shared" si="9"/>
        <v>0</v>
      </c>
    </row>
    <row r="31" spans="1:24" ht="12.75" customHeight="1" x14ac:dyDescent="0.25">
      <c r="A31" s="578" t="s">
        <v>76</v>
      </c>
      <c r="B31" s="1112" t="s">
        <v>154</v>
      </c>
      <c r="C31" s="1086"/>
      <c r="D31" s="650">
        <f t="shared" si="1"/>
        <v>0</v>
      </c>
      <c r="E31" s="90">
        <f t="shared" si="2"/>
        <v>0</v>
      </c>
      <c r="F31" s="652">
        <f t="shared" si="3"/>
        <v>0</v>
      </c>
      <c r="G31" s="31"/>
      <c r="H31" s="29"/>
      <c r="I31" s="58">
        <f t="shared" si="4"/>
        <v>0</v>
      </c>
      <c r="J31" s="29"/>
      <c r="K31" s="29"/>
      <c r="L31" s="58">
        <f t="shared" si="5"/>
        <v>0</v>
      </c>
      <c r="M31" s="29"/>
      <c r="N31" s="29"/>
      <c r="O31" s="58">
        <f t="shared" si="6"/>
        <v>0</v>
      </c>
      <c r="P31" s="29"/>
      <c r="Q31" s="29"/>
      <c r="R31" s="58">
        <f t="shared" si="7"/>
        <v>0</v>
      </c>
      <c r="S31" s="29"/>
      <c r="T31" s="29"/>
      <c r="U31" s="58">
        <f t="shared" si="8"/>
        <v>0</v>
      </c>
      <c r="V31" s="29"/>
      <c r="W31" s="29"/>
      <c r="X31" s="576">
        <f t="shared" si="9"/>
        <v>0</v>
      </c>
    </row>
    <row r="32" spans="1:24" ht="12.75" customHeight="1" x14ac:dyDescent="0.25">
      <c r="A32" s="578" t="s">
        <v>77</v>
      </c>
      <c r="B32" s="1112" t="s">
        <v>153</v>
      </c>
      <c r="C32" s="1086"/>
      <c r="D32" s="650">
        <f t="shared" si="1"/>
        <v>0</v>
      </c>
      <c r="E32" s="90">
        <f t="shared" si="2"/>
        <v>0</v>
      </c>
      <c r="F32" s="652">
        <f t="shared" si="3"/>
        <v>0</v>
      </c>
      <c r="G32" s="31"/>
      <c r="H32" s="29"/>
      <c r="I32" s="58">
        <f t="shared" si="4"/>
        <v>0</v>
      </c>
      <c r="J32" s="29"/>
      <c r="K32" s="29"/>
      <c r="L32" s="58">
        <f t="shared" si="5"/>
        <v>0</v>
      </c>
      <c r="M32" s="29"/>
      <c r="N32" s="29"/>
      <c r="O32" s="58">
        <f t="shared" si="6"/>
        <v>0</v>
      </c>
      <c r="P32" s="29"/>
      <c r="Q32" s="29"/>
      <c r="R32" s="58">
        <f t="shared" si="7"/>
        <v>0</v>
      </c>
      <c r="S32" s="29"/>
      <c r="T32" s="29"/>
      <c r="U32" s="58">
        <f t="shared" si="8"/>
        <v>0</v>
      </c>
      <c r="V32" s="29"/>
      <c r="W32" s="29"/>
      <c r="X32" s="576">
        <f t="shared" si="9"/>
        <v>0</v>
      </c>
    </row>
    <row r="33" spans="1:24" ht="12.75" customHeight="1" x14ac:dyDescent="0.25">
      <c r="A33" s="578" t="s">
        <v>79</v>
      </c>
      <c r="B33" s="1112" t="s">
        <v>78</v>
      </c>
      <c r="C33" s="1086"/>
      <c r="D33" s="650">
        <f t="shared" si="1"/>
        <v>148</v>
      </c>
      <c r="E33" s="90">
        <f t="shared" si="2"/>
        <v>0</v>
      </c>
      <c r="F33" s="652">
        <f t="shared" si="3"/>
        <v>148</v>
      </c>
      <c r="G33" s="31"/>
      <c r="H33" s="29"/>
      <c r="I33" s="58">
        <f t="shared" si="4"/>
        <v>0</v>
      </c>
      <c r="J33" s="29">
        <v>80</v>
      </c>
      <c r="K33" s="29"/>
      <c r="L33" s="58">
        <f t="shared" si="5"/>
        <v>80</v>
      </c>
      <c r="M33" s="29">
        <v>68</v>
      </c>
      <c r="N33" s="29"/>
      <c r="O33" s="58">
        <f t="shared" si="6"/>
        <v>68</v>
      </c>
      <c r="P33" s="29"/>
      <c r="Q33" s="29"/>
      <c r="R33" s="58">
        <f t="shared" si="7"/>
        <v>0</v>
      </c>
      <c r="S33" s="29"/>
      <c r="T33" s="29"/>
      <c r="U33" s="58">
        <f t="shared" si="8"/>
        <v>0</v>
      </c>
      <c r="V33" s="29"/>
      <c r="W33" s="29"/>
      <c r="X33" s="576">
        <f t="shared" si="9"/>
        <v>0</v>
      </c>
    </row>
    <row r="34" spans="1:24" s="44" customFormat="1" ht="12.75" customHeight="1" x14ac:dyDescent="0.25">
      <c r="A34" s="575" t="s">
        <v>80</v>
      </c>
      <c r="B34" s="1111" t="s">
        <v>152</v>
      </c>
      <c r="C34" s="1084"/>
      <c r="D34" s="650">
        <f t="shared" si="1"/>
        <v>122968</v>
      </c>
      <c r="E34" s="90">
        <f t="shared" si="2"/>
        <v>813</v>
      </c>
      <c r="F34" s="652">
        <f t="shared" si="3"/>
        <v>123781</v>
      </c>
      <c r="G34" s="649">
        <f>SUM(G29:G33)</f>
        <v>67591</v>
      </c>
      <c r="H34" s="58">
        <f t="shared" ref="H34:N34" si="24">SUM(H29:H33)</f>
        <v>135</v>
      </c>
      <c r="I34" s="58">
        <f t="shared" si="4"/>
        <v>67726</v>
      </c>
      <c r="J34" s="58">
        <f t="shared" si="24"/>
        <v>35127</v>
      </c>
      <c r="K34" s="58">
        <f t="shared" si="24"/>
        <v>270</v>
      </c>
      <c r="L34" s="58">
        <f t="shared" si="5"/>
        <v>35397</v>
      </c>
      <c r="M34" s="58">
        <f t="shared" si="24"/>
        <v>20250</v>
      </c>
      <c r="N34" s="58">
        <f t="shared" si="24"/>
        <v>0</v>
      </c>
      <c r="O34" s="58">
        <f t="shared" si="6"/>
        <v>20250</v>
      </c>
      <c r="P34" s="58">
        <f t="shared" ref="P34:W34" si="25">SUM(P29:P33)</f>
        <v>0</v>
      </c>
      <c r="Q34" s="58">
        <f t="shared" si="25"/>
        <v>345</v>
      </c>
      <c r="R34" s="58">
        <f t="shared" si="7"/>
        <v>345</v>
      </c>
      <c r="S34" s="58">
        <f t="shared" si="25"/>
        <v>0</v>
      </c>
      <c r="T34" s="58">
        <f t="shared" si="25"/>
        <v>63</v>
      </c>
      <c r="U34" s="58">
        <f t="shared" si="25"/>
        <v>63</v>
      </c>
      <c r="V34" s="58">
        <f t="shared" si="25"/>
        <v>0</v>
      </c>
      <c r="W34" s="58">
        <f t="shared" si="25"/>
        <v>0</v>
      </c>
      <c r="X34" s="576">
        <f t="shared" si="9"/>
        <v>0</v>
      </c>
    </row>
    <row r="35" spans="1:24" s="44" customFormat="1" ht="12.75" customHeight="1" x14ac:dyDescent="0.25">
      <c r="A35" s="575" t="s">
        <v>81</v>
      </c>
      <c r="B35" s="1111" t="s">
        <v>151</v>
      </c>
      <c r="C35" s="1084"/>
      <c r="D35" s="650">
        <f t="shared" si="1"/>
        <v>126184</v>
      </c>
      <c r="E35" s="90">
        <f t="shared" si="2"/>
        <v>3859</v>
      </c>
      <c r="F35" s="652">
        <f t="shared" si="3"/>
        <v>130043</v>
      </c>
      <c r="G35" s="649">
        <f t="shared" ref="G35:Q35" si="26">+G34+G28+G25+G17+G14</f>
        <v>68535</v>
      </c>
      <c r="H35" s="58">
        <f t="shared" si="26"/>
        <v>635</v>
      </c>
      <c r="I35" s="58">
        <f t="shared" si="4"/>
        <v>69170</v>
      </c>
      <c r="J35" s="58">
        <f t="shared" si="26"/>
        <v>35879</v>
      </c>
      <c r="K35" s="58">
        <f t="shared" si="26"/>
        <v>1270</v>
      </c>
      <c r="L35" s="58">
        <f t="shared" si="5"/>
        <v>37149</v>
      </c>
      <c r="M35" s="58">
        <f t="shared" si="26"/>
        <v>21770</v>
      </c>
      <c r="N35" s="58">
        <f t="shared" si="26"/>
        <v>0</v>
      </c>
      <c r="O35" s="58">
        <f t="shared" si="6"/>
        <v>21770</v>
      </c>
      <c r="P35" s="58">
        <f t="shared" si="26"/>
        <v>0</v>
      </c>
      <c r="Q35" s="58">
        <f t="shared" si="26"/>
        <v>1657</v>
      </c>
      <c r="R35" s="58">
        <f t="shared" si="7"/>
        <v>1657</v>
      </c>
      <c r="S35" s="58">
        <f t="shared" ref="S35:U35" si="27">+S34+S28+S25+S17+S14</f>
        <v>0</v>
      </c>
      <c r="T35" s="58">
        <f t="shared" si="27"/>
        <v>297</v>
      </c>
      <c r="U35" s="58">
        <f t="shared" si="27"/>
        <v>297</v>
      </c>
      <c r="V35" s="58">
        <f t="shared" ref="V35:W35" si="28">+V34+V28+V25+V17+V14</f>
        <v>0</v>
      </c>
      <c r="W35" s="58">
        <f t="shared" si="28"/>
        <v>0</v>
      </c>
      <c r="X35" s="576">
        <f t="shared" si="9"/>
        <v>0</v>
      </c>
    </row>
    <row r="36" spans="1:24" ht="11.25" customHeight="1" x14ac:dyDescent="0.25">
      <c r="A36" s="577"/>
      <c r="B36" s="880"/>
      <c r="C36" s="356"/>
      <c r="D36" s="911"/>
      <c r="E36" s="889"/>
      <c r="F36" s="912"/>
      <c r="G36" s="61"/>
      <c r="H36" s="61"/>
      <c r="I36" s="246"/>
      <c r="J36" s="61"/>
      <c r="K36" s="61"/>
      <c r="L36" s="246"/>
      <c r="M36" s="61"/>
      <c r="N36" s="61"/>
      <c r="O36" s="246"/>
      <c r="P36" s="61"/>
      <c r="Q36" s="61"/>
      <c r="R36" s="246"/>
      <c r="S36" s="61"/>
      <c r="T36" s="61"/>
      <c r="U36" s="246"/>
      <c r="V36" s="61"/>
      <c r="W36" s="61"/>
      <c r="X36" s="651"/>
    </row>
    <row r="37" spans="1:24" ht="12" customHeight="1" x14ac:dyDescent="0.25">
      <c r="A37" s="577"/>
      <c r="B37" s="1126"/>
      <c r="C37" s="1127"/>
      <c r="D37" s="911"/>
      <c r="E37" s="889"/>
      <c r="F37" s="912"/>
      <c r="G37" s="61"/>
      <c r="H37" s="61"/>
      <c r="I37" s="246"/>
      <c r="J37" s="61"/>
      <c r="K37" s="61"/>
      <c r="L37" s="246"/>
      <c r="M37" s="61"/>
      <c r="N37" s="61"/>
      <c r="O37" s="246"/>
      <c r="P37" s="61"/>
      <c r="Q37" s="61"/>
      <c r="R37" s="246"/>
      <c r="S37" s="61"/>
      <c r="T37" s="61"/>
      <c r="U37" s="246"/>
      <c r="V37" s="61"/>
      <c r="W37" s="61"/>
      <c r="X37" s="651"/>
    </row>
    <row r="38" spans="1:24" ht="12.75" hidden="1" customHeight="1" x14ac:dyDescent="0.25">
      <c r="A38" s="103" t="s">
        <v>96</v>
      </c>
      <c r="B38" s="1128" t="s">
        <v>95</v>
      </c>
      <c r="C38" s="1093"/>
      <c r="D38" s="911">
        <f t="shared" si="1"/>
        <v>0</v>
      </c>
      <c r="E38" s="889">
        <f t="shared" si="2"/>
        <v>0</v>
      </c>
      <c r="F38" s="912">
        <f t="shared" si="3"/>
        <v>0</v>
      </c>
      <c r="G38" s="61"/>
      <c r="H38" s="61"/>
      <c r="I38" s="246">
        <f t="shared" si="4"/>
        <v>0</v>
      </c>
      <c r="J38" s="61"/>
      <c r="K38" s="61"/>
      <c r="L38" s="246">
        <f t="shared" si="5"/>
        <v>0</v>
      </c>
      <c r="M38" s="61"/>
      <c r="N38" s="61"/>
      <c r="O38" s="246">
        <f t="shared" si="6"/>
        <v>0</v>
      </c>
      <c r="P38" s="61"/>
      <c r="Q38" s="61"/>
      <c r="R38" s="246">
        <f t="shared" si="7"/>
        <v>0</v>
      </c>
      <c r="S38" s="61"/>
      <c r="T38" s="61"/>
      <c r="U38" s="246">
        <f t="shared" si="8"/>
        <v>0</v>
      </c>
      <c r="V38" s="61"/>
      <c r="W38" s="61"/>
      <c r="X38" s="651">
        <f t="shared" si="9"/>
        <v>0</v>
      </c>
    </row>
    <row r="39" spans="1:24" ht="12.75" hidden="1" customHeight="1" x14ac:dyDescent="0.25">
      <c r="A39" s="103" t="s">
        <v>98</v>
      </c>
      <c r="B39" s="1128" t="s">
        <v>97</v>
      </c>
      <c r="C39" s="1093"/>
      <c r="D39" s="911">
        <f t="shared" si="1"/>
        <v>0</v>
      </c>
      <c r="E39" s="889">
        <f t="shared" si="2"/>
        <v>0</v>
      </c>
      <c r="F39" s="912">
        <f t="shared" si="3"/>
        <v>0</v>
      </c>
      <c r="G39" s="61"/>
      <c r="H39" s="61"/>
      <c r="I39" s="246">
        <f t="shared" si="4"/>
        <v>0</v>
      </c>
      <c r="J39" s="61"/>
      <c r="K39" s="61"/>
      <c r="L39" s="246">
        <f t="shared" si="5"/>
        <v>0</v>
      </c>
      <c r="M39" s="61"/>
      <c r="N39" s="61"/>
      <c r="O39" s="246">
        <f t="shared" si="6"/>
        <v>0</v>
      </c>
      <c r="P39" s="61"/>
      <c r="Q39" s="61"/>
      <c r="R39" s="246">
        <f t="shared" si="7"/>
        <v>0</v>
      </c>
      <c r="S39" s="61"/>
      <c r="T39" s="61"/>
      <c r="U39" s="246">
        <f t="shared" si="8"/>
        <v>0</v>
      </c>
      <c r="V39" s="61"/>
      <c r="W39" s="61"/>
      <c r="X39" s="651">
        <f t="shared" si="9"/>
        <v>0</v>
      </c>
    </row>
    <row r="40" spans="1:24" ht="23.25" hidden="1" customHeight="1" x14ac:dyDescent="0.25">
      <c r="A40" s="103" t="s">
        <v>101</v>
      </c>
      <c r="B40" s="1128" t="s">
        <v>165</v>
      </c>
      <c r="C40" s="1093"/>
      <c r="D40" s="911">
        <f t="shared" si="1"/>
        <v>0</v>
      </c>
      <c r="E40" s="889">
        <f t="shared" si="2"/>
        <v>0</v>
      </c>
      <c r="F40" s="912">
        <f t="shared" si="3"/>
        <v>0</v>
      </c>
      <c r="G40" s="61"/>
      <c r="H40" s="61"/>
      <c r="I40" s="246">
        <f t="shared" si="4"/>
        <v>0</v>
      </c>
      <c r="J40" s="61"/>
      <c r="K40" s="61"/>
      <c r="L40" s="246">
        <f t="shared" si="5"/>
        <v>0</v>
      </c>
      <c r="M40" s="61"/>
      <c r="N40" s="61"/>
      <c r="O40" s="246">
        <f t="shared" si="6"/>
        <v>0</v>
      </c>
      <c r="P40" s="61"/>
      <c r="Q40" s="61"/>
      <c r="R40" s="246">
        <f t="shared" si="7"/>
        <v>0</v>
      </c>
      <c r="S40" s="61"/>
      <c r="T40" s="61"/>
      <c r="U40" s="246">
        <f t="shared" si="8"/>
        <v>0</v>
      </c>
      <c r="V40" s="61"/>
      <c r="W40" s="61"/>
      <c r="X40" s="651">
        <f t="shared" si="9"/>
        <v>0</v>
      </c>
    </row>
    <row r="41" spans="1:24" ht="25.5" hidden="1" customHeight="1" x14ac:dyDescent="0.25">
      <c r="A41" s="103" t="s">
        <v>103</v>
      </c>
      <c r="B41" s="1128" t="s">
        <v>102</v>
      </c>
      <c r="C41" s="1093"/>
      <c r="D41" s="911">
        <f t="shared" si="1"/>
        <v>0</v>
      </c>
      <c r="E41" s="889">
        <f t="shared" si="2"/>
        <v>0</v>
      </c>
      <c r="F41" s="912">
        <f t="shared" si="3"/>
        <v>0</v>
      </c>
      <c r="G41" s="61"/>
      <c r="H41" s="61"/>
      <c r="I41" s="246">
        <f t="shared" si="4"/>
        <v>0</v>
      </c>
      <c r="J41" s="61"/>
      <c r="K41" s="61"/>
      <c r="L41" s="246">
        <f t="shared" si="5"/>
        <v>0</v>
      </c>
      <c r="M41" s="61"/>
      <c r="N41" s="61"/>
      <c r="O41" s="246">
        <f t="shared" si="6"/>
        <v>0</v>
      </c>
      <c r="P41" s="61"/>
      <c r="Q41" s="61"/>
      <c r="R41" s="246">
        <f t="shared" si="7"/>
        <v>0</v>
      </c>
      <c r="S41" s="61"/>
      <c r="T41" s="61"/>
      <c r="U41" s="246">
        <f t="shared" si="8"/>
        <v>0</v>
      </c>
      <c r="V41" s="61"/>
      <c r="W41" s="61"/>
      <c r="X41" s="651">
        <f t="shared" si="9"/>
        <v>0</v>
      </c>
    </row>
    <row r="42" spans="1:24" ht="27" hidden="1" customHeight="1" x14ac:dyDescent="0.25">
      <c r="A42" s="103" t="s">
        <v>107</v>
      </c>
      <c r="B42" s="1128" t="s">
        <v>164</v>
      </c>
      <c r="C42" s="1093"/>
      <c r="D42" s="911">
        <f t="shared" si="1"/>
        <v>0</v>
      </c>
      <c r="E42" s="889">
        <f t="shared" si="2"/>
        <v>0</v>
      </c>
      <c r="F42" s="912">
        <f t="shared" si="3"/>
        <v>0</v>
      </c>
      <c r="G42" s="61"/>
      <c r="H42" s="61"/>
      <c r="I42" s="246">
        <f t="shared" si="4"/>
        <v>0</v>
      </c>
      <c r="J42" s="61"/>
      <c r="K42" s="61"/>
      <c r="L42" s="246">
        <f t="shared" si="5"/>
        <v>0</v>
      </c>
      <c r="M42" s="61"/>
      <c r="N42" s="61"/>
      <c r="O42" s="246">
        <f t="shared" si="6"/>
        <v>0</v>
      </c>
      <c r="P42" s="61"/>
      <c r="Q42" s="61"/>
      <c r="R42" s="246">
        <f t="shared" si="7"/>
        <v>0</v>
      </c>
      <c r="S42" s="61"/>
      <c r="T42" s="61"/>
      <c r="U42" s="246">
        <f t="shared" si="8"/>
        <v>0</v>
      </c>
      <c r="V42" s="61"/>
      <c r="W42" s="61"/>
      <c r="X42" s="651">
        <f t="shared" si="9"/>
        <v>0</v>
      </c>
    </row>
    <row r="43" spans="1:24" ht="12.75" hidden="1" customHeight="1" x14ac:dyDescent="0.25">
      <c r="A43" s="103" t="s">
        <v>634</v>
      </c>
      <c r="B43" s="1124" t="s">
        <v>106</v>
      </c>
      <c r="C43" s="1125"/>
      <c r="D43" s="911">
        <f t="shared" si="1"/>
        <v>0</v>
      </c>
      <c r="E43" s="889">
        <f t="shared" si="2"/>
        <v>0</v>
      </c>
      <c r="F43" s="912">
        <f t="shared" si="3"/>
        <v>0</v>
      </c>
      <c r="G43" s="61"/>
      <c r="H43" s="61"/>
      <c r="I43" s="246">
        <f t="shared" si="4"/>
        <v>0</v>
      </c>
      <c r="J43" s="61"/>
      <c r="K43" s="61"/>
      <c r="L43" s="246">
        <f t="shared" si="5"/>
        <v>0</v>
      </c>
      <c r="M43" s="61"/>
      <c r="N43" s="61"/>
      <c r="O43" s="246">
        <f t="shared" si="6"/>
        <v>0</v>
      </c>
      <c r="P43" s="61"/>
      <c r="Q43" s="61"/>
      <c r="R43" s="246">
        <f t="shared" si="7"/>
        <v>0</v>
      </c>
      <c r="S43" s="61"/>
      <c r="T43" s="61"/>
      <c r="U43" s="246">
        <f t="shared" si="8"/>
        <v>0</v>
      </c>
      <c r="V43" s="61"/>
      <c r="W43" s="61"/>
      <c r="X43" s="651">
        <f t="shared" si="9"/>
        <v>0</v>
      </c>
    </row>
    <row r="44" spans="1:24" s="44" customFormat="1" ht="12.75" customHeight="1" x14ac:dyDescent="0.25">
      <c r="A44" s="575" t="s">
        <v>108</v>
      </c>
      <c r="B44" s="1111" t="s">
        <v>163</v>
      </c>
      <c r="C44" s="1084"/>
      <c r="D44" s="650">
        <f t="shared" si="1"/>
        <v>0</v>
      </c>
      <c r="E44" s="90">
        <f t="shared" si="2"/>
        <v>0</v>
      </c>
      <c r="F44" s="652">
        <f t="shared" si="3"/>
        <v>0</v>
      </c>
      <c r="G44" s="649"/>
      <c r="H44" s="58"/>
      <c r="I44" s="58">
        <f t="shared" si="4"/>
        <v>0</v>
      </c>
      <c r="J44" s="58"/>
      <c r="K44" s="58"/>
      <c r="L44" s="58">
        <f t="shared" si="5"/>
        <v>0</v>
      </c>
      <c r="M44" s="58"/>
      <c r="N44" s="58"/>
      <c r="O44" s="58">
        <f t="shared" si="6"/>
        <v>0</v>
      </c>
      <c r="P44" s="58"/>
      <c r="Q44" s="58"/>
      <c r="R44" s="58">
        <f t="shared" si="7"/>
        <v>0</v>
      </c>
      <c r="S44" s="58"/>
      <c r="T44" s="58"/>
      <c r="U44" s="58">
        <f t="shared" si="8"/>
        <v>0</v>
      </c>
      <c r="V44" s="58"/>
      <c r="W44" s="58"/>
      <c r="X44" s="576">
        <f t="shared" si="9"/>
        <v>0</v>
      </c>
    </row>
    <row r="45" spans="1:24" ht="12" customHeight="1" x14ac:dyDescent="0.25">
      <c r="A45" s="577"/>
      <c r="B45" s="880"/>
      <c r="C45" s="356"/>
      <c r="D45" s="911"/>
      <c r="E45" s="889"/>
      <c r="F45" s="912"/>
      <c r="G45" s="61"/>
      <c r="H45" s="61"/>
      <c r="I45" s="246"/>
      <c r="J45" s="61"/>
      <c r="K45" s="61"/>
      <c r="L45" s="246"/>
      <c r="M45" s="61"/>
      <c r="N45" s="61"/>
      <c r="O45" s="246"/>
      <c r="P45" s="61"/>
      <c r="Q45" s="61"/>
      <c r="R45" s="246"/>
      <c r="S45" s="61"/>
      <c r="T45" s="61"/>
      <c r="U45" s="246"/>
      <c r="V45" s="61"/>
      <c r="W45" s="61"/>
      <c r="X45" s="651"/>
    </row>
    <row r="46" spans="1:24" ht="12.75" customHeight="1" x14ac:dyDescent="0.25">
      <c r="A46" s="578" t="s">
        <v>110</v>
      </c>
      <c r="B46" s="1112" t="s">
        <v>109</v>
      </c>
      <c r="C46" s="1086"/>
      <c r="D46" s="650">
        <f t="shared" si="1"/>
        <v>0</v>
      </c>
      <c r="E46" s="90">
        <f t="shared" si="2"/>
        <v>0</v>
      </c>
      <c r="F46" s="652">
        <f t="shared" si="3"/>
        <v>0</v>
      </c>
      <c r="G46" s="31"/>
      <c r="H46" s="29"/>
      <c r="I46" s="58">
        <f t="shared" si="4"/>
        <v>0</v>
      </c>
      <c r="J46" s="29"/>
      <c r="K46" s="29"/>
      <c r="L46" s="58">
        <f t="shared" si="5"/>
        <v>0</v>
      </c>
      <c r="M46" s="29"/>
      <c r="N46" s="29"/>
      <c r="O46" s="58">
        <f t="shared" si="6"/>
        <v>0</v>
      </c>
      <c r="P46" s="29"/>
      <c r="Q46" s="29"/>
      <c r="R46" s="58">
        <f t="shared" si="7"/>
        <v>0</v>
      </c>
      <c r="S46" s="29"/>
      <c r="T46" s="29"/>
      <c r="U46" s="58">
        <f t="shared" si="8"/>
        <v>0</v>
      </c>
      <c r="V46" s="29"/>
      <c r="W46" s="29"/>
      <c r="X46" s="576">
        <f t="shared" si="9"/>
        <v>0</v>
      </c>
    </row>
    <row r="47" spans="1:24" ht="12.75" customHeight="1" x14ac:dyDescent="0.25">
      <c r="A47" s="578" t="s">
        <v>111</v>
      </c>
      <c r="B47" s="1112" t="s">
        <v>162</v>
      </c>
      <c r="C47" s="1086"/>
      <c r="D47" s="650">
        <f t="shared" si="1"/>
        <v>487986</v>
      </c>
      <c r="E47" s="90">
        <f t="shared" si="2"/>
        <v>-5991</v>
      </c>
      <c r="F47" s="652">
        <f t="shared" si="3"/>
        <v>481995</v>
      </c>
      <c r="G47" s="31">
        <f>178623+55100+6596+13605</f>
        <v>253924</v>
      </c>
      <c r="H47" s="29">
        <f>-6525-635+1020</f>
        <v>-6140</v>
      </c>
      <c r="I47" s="58">
        <f t="shared" si="4"/>
        <v>247784</v>
      </c>
      <c r="J47" s="29">
        <v>136437</v>
      </c>
      <c r="K47" s="29"/>
      <c r="L47" s="58">
        <f t="shared" si="5"/>
        <v>136437</v>
      </c>
      <c r="M47" s="29">
        <v>86208</v>
      </c>
      <c r="N47" s="29"/>
      <c r="O47" s="58">
        <f t="shared" si="6"/>
        <v>86208</v>
      </c>
      <c r="P47" s="29">
        <v>11417</v>
      </c>
      <c r="Q47" s="29"/>
      <c r="R47" s="58">
        <f t="shared" si="7"/>
        <v>11417</v>
      </c>
      <c r="S47" s="29"/>
      <c r="T47" s="29">
        <v>149</v>
      </c>
      <c r="U47" s="58">
        <f t="shared" si="8"/>
        <v>149</v>
      </c>
      <c r="V47" s="29"/>
      <c r="W47" s="29"/>
      <c r="X47" s="576">
        <f t="shared" si="9"/>
        <v>0</v>
      </c>
    </row>
    <row r="48" spans="1:24" ht="12.75" customHeight="1" x14ac:dyDescent="0.25">
      <c r="A48" s="578" t="s">
        <v>114</v>
      </c>
      <c r="B48" s="1112" t="s">
        <v>113</v>
      </c>
      <c r="C48" s="1086"/>
      <c r="D48" s="650">
        <f t="shared" si="1"/>
        <v>0</v>
      </c>
      <c r="E48" s="90">
        <f t="shared" si="2"/>
        <v>0</v>
      </c>
      <c r="F48" s="652">
        <f t="shared" si="3"/>
        <v>0</v>
      </c>
      <c r="G48" s="31"/>
      <c r="H48" s="29"/>
      <c r="I48" s="58">
        <f t="shared" si="4"/>
        <v>0</v>
      </c>
      <c r="J48" s="29"/>
      <c r="K48" s="29"/>
      <c r="L48" s="58">
        <f t="shared" si="5"/>
        <v>0</v>
      </c>
      <c r="M48" s="29"/>
      <c r="N48" s="29"/>
      <c r="O48" s="58">
        <f t="shared" si="6"/>
        <v>0</v>
      </c>
      <c r="P48" s="29"/>
      <c r="Q48" s="29"/>
      <c r="R48" s="58">
        <f t="shared" si="7"/>
        <v>0</v>
      </c>
      <c r="S48" s="29"/>
      <c r="T48" s="29"/>
      <c r="U48" s="58">
        <f t="shared" si="8"/>
        <v>0</v>
      </c>
      <c r="V48" s="29"/>
      <c r="W48" s="29"/>
      <c r="X48" s="576">
        <f t="shared" si="9"/>
        <v>0</v>
      </c>
    </row>
    <row r="49" spans="1:24" ht="12.75" customHeight="1" x14ac:dyDescent="0.25">
      <c r="A49" s="578" t="s">
        <v>116</v>
      </c>
      <c r="B49" s="1112" t="s">
        <v>115</v>
      </c>
      <c r="C49" s="1086"/>
      <c r="D49" s="650">
        <f t="shared" si="1"/>
        <v>22161</v>
      </c>
      <c r="E49" s="90">
        <f t="shared" si="2"/>
        <v>0</v>
      </c>
      <c r="F49" s="652">
        <f t="shared" si="3"/>
        <v>22161</v>
      </c>
      <c r="G49" s="31">
        <v>2362</v>
      </c>
      <c r="H49" s="29"/>
      <c r="I49" s="58">
        <f t="shared" si="4"/>
        <v>2362</v>
      </c>
      <c r="J49" s="29"/>
      <c r="K49" s="29"/>
      <c r="L49" s="58">
        <f t="shared" si="5"/>
        <v>0</v>
      </c>
      <c r="M49" s="29">
        <v>19799</v>
      </c>
      <c r="N49" s="29"/>
      <c r="O49" s="58">
        <f t="shared" si="6"/>
        <v>19799</v>
      </c>
      <c r="P49" s="29"/>
      <c r="Q49" s="29"/>
      <c r="R49" s="58">
        <f t="shared" si="7"/>
        <v>0</v>
      </c>
      <c r="S49" s="29"/>
      <c r="T49" s="29"/>
      <c r="U49" s="58">
        <f t="shared" si="8"/>
        <v>0</v>
      </c>
      <c r="V49" s="29"/>
      <c r="W49" s="29"/>
      <c r="X49" s="576">
        <f t="shared" si="9"/>
        <v>0</v>
      </c>
    </row>
    <row r="50" spans="1:24" ht="12.75" customHeight="1" x14ac:dyDescent="0.25">
      <c r="A50" s="578" t="s">
        <v>118</v>
      </c>
      <c r="B50" s="1112" t="s">
        <v>117</v>
      </c>
      <c r="C50" s="1086"/>
      <c r="D50" s="650">
        <f t="shared" si="1"/>
        <v>0</v>
      </c>
      <c r="E50" s="90">
        <f t="shared" si="2"/>
        <v>0</v>
      </c>
      <c r="F50" s="652">
        <f t="shared" si="3"/>
        <v>0</v>
      </c>
      <c r="G50" s="31"/>
      <c r="H50" s="29"/>
      <c r="I50" s="58">
        <f t="shared" si="4"/>
        <v>0</v>
      </c>
      <c r="J50" s="29"/>
      <c r="K50" s="29"/>
      <c r="L50" s="58">
        <f t="shared" si="5"/>
        <v>0</v>
      </c>
      <c r="M50" s="29"/>
      <c r="N50" s="29"/>
      <c r="O50" s="58">
        <f t="shared" si="6"/>
        <v>0</v>
      </c>
      <c r="P50" s="29"/>
      <c r="Q50" s="29"/>
      <c r="R50" s="58">
        <f t="shared" si="7"/>
        <v>0</v>
      </c>
      <c r="S50" s="29"/>
      <c r="T50" s="29"/>
      <c r="U50" s="58">
        <f t="shared" si="8"/>
        <v>0</v>
      </c>
      <c r="V50" s="29"/>
      <c r="W50" s="29"/>
      <c r="X50" s="576">
        <f t="shared" si="9"/>
        <v>0</v>
      </c>
    </row>
    <row r="51" spans="1:24" ht="12.75" customHeight="1" x14ac:dyDescent="0.25">
      <c r="A51" s="578" t="s">
        <v>120</v>
      </c>
      <c r="B51" s="1112" t="s">
        <v>119</v>
      </c>
      <c r="C51" s="1086"/>
      <c r="D51" s="650">
        <f t="shared" si="1"/>
        <v>0</v>
      </c>
      <c r="E51" s="90">
        <f t="shared" si="2"/>
        <v>0</v>
      </c>
      <c r="F51" s="652">
        <f t="shared" si="3"/>
        <v>0</v>
      </c>
      <c r="G51" s="31"/>
      <c r="H51" s="29"/>
      <c r="I51" s="58">
        <f t="shared" si="4"/>
        <v>0</v>
      </c>
      <c r="J51" s="29"/>
      <c r="K51" s="29"/>
      <c r="L51" s="58">
        <f t="shared" si="5"/>
        <v>0</v>
      </c>
      <c r="M51" s="29"/>
      <c r="N51" s="29"/>
      <c r="O51" s="58">
        <f t="shared" si="6"/>
        <v>0</v>
      </c>
      <c r="P51" s="29"/>
      <c r="Q51" s="29"/>
      <c r="R51" s="58">
        <f t="shared" si="7"/>
        <v>0</v>
      </c>
      <c r="S51" s="29"/>
      <c r="T51" s="29"/>
      <c r="U51" s="58">
        <f t="shared" si="8"/>
        <v>0</v>
      </c>
      <c r="V51" s="29"/>
      <c r="W51" s="29"/>
      <c r="X51" s="576">
        <f t="shared" si="9"/>
        <v>0</v>
      </c>
    </row>
    <row r="52" spans="1:24" ht="12.75" customHeight="1" x14ac:dyDescent="0.25">
      <c r="A52" s="578" t="s">
        <v>122</v>
      </c>
      <c r="B52" s="1112" t="s">
        <v>121</v>
      </c>
      <c r="C52" s="1086"/>
      <c r="D52" s="650">
        <f t="shared" si="1"/>
        <v>13545</v>
      </c>
      <c r="E52" s="90">
        <f t="shared" si="2"/>
        <v>0</v>
      </c>
      <c r="F52" s="652">
        <f t="shared" si="3"/>
        <v>13545</v>
      </c>
      <c r="G52" s="31">
        <v>998</v>
      </c>
      <c r="H52" s="29"/>
      <c r="I52" s="58">
        <f t="shared" si="4"/>
        <v>998</v>
      </c>
      <c r="J52" s="29">
        <v>2269</v>
      </c>
      <c r="K52" s="29"/>
      <c r="L52" s="58">
        <f t="shared" si="5"/>
        <v>2269</v>
      </c>
      <c r="M52" s="29">
        <v>7195</v>
      </c>
      <c r="N52" s="29"/>
      <c r="O52" s="58">
        <f t="shared" si="6"/>
        <v>7195</v>
      </c>
      <c r="P52" s="29">
        <v>3083</v>
      </c>
      <c r="Q52" s="29"/>
      <c r="R52" s="58">
        <f t="shared" si="7"/>
        <v>3083</v>
      </c>
      <c r="S52" s="29"/>
      <c r="T52" s="29"/>
      <c r="U52" s="58">
        <f t="shared" si="8"/>
        <v>0</v>
      </c>
      <c r="V52" s="29"/>
      <c r="W52" s="29"/>
      <c r="X52" s="576">
        <f t="shared" si="9"/>
        <v>0</v>
      </c>
    </row>
    <row r="53" spans="1:24" s="44" customFormat="1" ht="12.75" customHeight="1" x14ac:dyDescent="0.25">
      <c r="A53" s="575" t="s">
        <v>123</v>
      </c>
      <c r="B53" s="1111" t="s">
        <v>161</v>
      </c>
      <c r="C53" s="1084"/>
      <c r="D53" s="650">
        <f t="shared" si="1"/>
        <v>523692</v>
      </c>
      <c r="E53" s="90">
        <f t="shared" si="2"/>
        <v>-5991</v>
      </c>
      <c r="F53" s="652">
        <f t="shared" si="3"/>
        <v>517701</v>
      </c>
      <c r="G53" s="649">
        <f t="shared" ref="G53:Q53" si="29">+G52+G51+G50+G49+G48+G47+G46</f>
        <v>257284</v>
      </c>
      <c r="H53" s="58">
        <f t="shared" si="29"/>
        <v>-6140</v>
      </c>
      <c r="I53" s="58">
        <f t="shared" si="4"/>
        <v>251144</v>
      </c>
      <c r="J53" s="58">
        <f t="shared" si="29"/>
        <v>138706</v>
      </c>
      <c r="K53" s="58">
        <f t="shared" si="29"/>
        <v>0</v>
      </c>
      <c r="L53" s="58">
        <f t="shared" si="5"/>
        <v>138706</v>
      </c>
      <c r="M53" s="58">
        <f t="shared" si="29"/>
        <v>113202</v>
      </c>
      <c r="N53" s="58">
        <f t="shared" si="29"/>
        <v>0</v>
      </c>
      <c r="O53" s="58">
        <f t="shared" si="6"/>
        <v>113202</v>
      </c>
      <c r="P53" s="58">
        <f t="shared" si="29"/>
        <v>14500</v>
      </c>
      <c r="Q53" s="58">
        <f t="shared" si="29"/>
        <v>0</v>
      </c>
      <c r="R53" s="58">
        <f t="shared" si="7"/>
        <v>14500</v>
      </c>
      <c r="S53" s="58">
        <f t="shared" ref="S53:U53" si="30">+S52+S51+S50+S49+S48+S47+S46</f>
        <v>0</v>
      </c>
      <c r="T53" s="58">
        <f t="shared" si="30"/>
        <v>149</v>
      </c>
      <c r="U53" s="58">
        <f t="shared" si="30"/>
        <v>149</v>
      </c>
      <c r="V53" s="58">
        <f t="shared" ref="V53:W53" si="31">+V52+V51+V50+V49+V48+V47+V46</f>
        <v>0</v>
      </c>
      <c r="W53" s="58">
        <f t="shared" si="31"/>
        <v>0</v>
      </c>
      <c r="X53" s="576">
        <f t="shared" si="9"/>
        <v>0</v>
      </c>
    </row>
    <row r="54" spans="1:24" x14ac:dyDescent="0.25">
      <c r="A54" s="577"/>
      <c r="B54" s="880"/>
      <c r="C54" s="356"/>
      <c r="D54" s="911"/>
      <c r="E54" s="889"/>
      <c r="F54" s="912"/>
      <c r="G54" s="61"/>
      <c r="H54" s="61"/>
      <c r="I54" s="246"/>
      <c r="J54" s="61"/>
      <c r="K54" s="61"/>
      <c r="L54" s="246"/>
      <c r="M54" s="61"/>
      <c r="N54" s="61"/>
      <c r="O54" s="246"/>
      <c r="P54" s="61"/>
      <c r="Q54" s="61"/>
      <c r="R54" s="246"/>
      <c r="S54" s="61"/>
      <c r="T54" s="61"/>
      <c r="U54" s="246"/>
      <c r="V54" s="61"/>
      <c r="W54" s="61"/>
      <c r="X54" s="651"/>
    </row>
    <row r="55" spans="1:24" ht="12.75" customHeight="1" x14ac:dyDescent="0.25">
      <c r="A55" s="578" t="s">
        <v>125</v>
      </c>
      <c r="B55" s="1112" t="s">
        <v>124</v>
      </c>
      <c r="C55" s="1086"/>
      <c r="D55" s="650">
        <f t="shared" si="1"/>
        <v>79747</v>
      </c>
      <c r="E55" s="90">
        <f t="shared" si="2"/>
        <v>0</v>
      </c>
      <c r="F55" s="652">
        <f t="shared" si="3"/>
        <v>79747</v>
      </c>
      <c r="G55" s="31"/>
      <c r="H55" s="29"/>
      <c r="I55" s="58">
        <f t="shared" si="4"/>
        <v>0</v>
      </c>
      <c r="J55" s="29">
        <f>19877+59870</f>
        <v>79747</v>
      </c>
      <c r="K55" s="29"/>
      <c r="L55" s="58">
        <f t="shared" si="5"/>
        <v>79747</v>
      </c>
      <c r="M55" s="29"/>
      <c r="N55" s="29"/>
      <c r="O55" s="58">
        <f t="shared" si="6"/>
        <v>0</v>
      </c>
      <c r="P55" s="29"/>
      <c r="Q55" s="29"/>
      <c r="R55" s="58">
        <f t="shared" si="7"/>
        <v>0</v>
      </c>
      <c r="S55" s="29"/>
      <c r="T55" s="29"/>
      <c r="U55" s="58">
        <f t="shared" si="8"/>
        <v>0</v>
      </c>
      <c r="V55" s="29"/>
      <c r="W55" s="29"/>
      <c r="X55" s="576">
        <f t="shared" si="9"/>
        <v>0</v>
      </c>
    </row>
    <row r="56" spans="1:24" ht="12.75" customHeight="1" x14ac:dyDescent="0.25">
      <c r="A56" s="578" t="s">
        <v>127</v>
      </c>
      <c r="B56" s="1112" t="s">
        <v>126</v>
      </c>
      <c r="C56" s="1086"/>
      <c r="D56" s="650">
        <f t="shared" si="1"/>
        <v>0</v>
      </c>
      <c r="E56" s="90">
        <f t="shared" si="2"/>
        <v>0</v>
      </c>
      <c r="F56" s="652">
        <f t="shared" si="3"/>
        <v>0</v>
      </c>
      <c r="G56" s="31"/>
      <c r="H56" s="29"/>
      <c r="I56" s="58">
        <f t="shared" si="4"/>
        <v>0</v>
      </c>
      <c r="J56" s="29"/>
      <c r="K56" s="29"/>
      <c r="L56" s="58">
        <f t="shared" si="5"/>
        <v>0</v>
      </c>
      <c r="M56" s="29"/>
      <c r="N56" s="29"/>
      <c r="O56" s="58">
        <f t="shared" si="6"/>
        <v>0</v>
      </c>
      <c r="P56" s="29"/>
      <c r="Q56" s="29"/>
      <c r="R56" s="58">
        <f t="shared" si="7"/>
        <v>0</v>
      </c>
      <c r="S56" s="29"/>
      <c r="T56" s="29"/>
      <c r="U56" s="58">
        <f t="shared" si="8"/>
        <v>0</v>
      </c>
      <c r="V56" s="29"/>
      <c r="W56" s="29"/>
      <c r="X56" s="576">
        <f t="shared" si="9"/>
        <v>0</v>
      </c>
    </row>
    <row r="57" spans="1:24" ht="12.75" customHeight="1" x14ac:dyDescent="0.25">
      <c r="A57" s="578" t="s">
        <v>129</v>
      </c>
      <c r="B57" s="1112" t="s">
        <v>128</v>
      </c>
      <c r="C57" s="1086"/>
      <c r="D57" s="650">
        <f t="shared" si="1"/>
        <v>0</v>
      </c>
      <c r="E57" s="90">
        <f t="shared" si="2"/>
        <v>0</v>
      </c>
      <c r="F57" s="652">
        <f t="shared" si="3"/>
        <v>0</v>
      </c>
      <c r="G57" s="31"/>
      <c r="H57" s="29"/>
      <c r="I57" s="58">
        <f t="shared" si="4"/>
        <v>0</v>
      </c>
      <c r="J57" s="29"/>
      <c r="K57" s="29"/>
      <c r="L57" s="58">
        <f t="shared" si="5"/>
        <v>0</v>
      </c>
      <c r="M57" s="29"/>
      <c r="N57" s="29"/>
      <c r="O57" s="58">
        <f t="shared" si="6"/>
        <v>0</v>
      </c>
      <c r="P57" s="29"/>
      <c r="Q57" s="29"/>
      <c r="R57" s="58">
        <f t="shared" si="7"/>
        <v>0</v>
      </c>
      <c r="S57" s="29"/>
      <c r="T57" s="29"/>
      <c r="U57" s="58">
        <f t="shared" si="8"/>
        <v>0</v>
      </c>
      <c r="V57" s="29"/>
      <c r="W57" s="29"/>
      <c r="X57" s="576">
        <f t="shared" si="9"/>
        <v>0</v>
      </c>
    </row>
    <row r="58" spans="1:24" ht="12.75" customHeight="1" x14ac:dyDescent="0.25">
      <c r="A58" s="578" t="s">
        <v>131</v>
      </c>
      <c r="B58" s="1112" t="s">
        <v>130</v>
      </c>
      <c r="C58" s="1086"/>
      <c r="D58" s="650">
        <f t="shared" si="1"/>
        <v>4835</v>
      </c>
      <c r="E58" s="90">
        <f t="shared" si="2"/>
        <v>0</v>
      </c>
      <c r="F58" s="652">
        <f t="shared" si="3"/>
        <v>4835</v>
      </c>
      <c r="G58" s="31"/>
      <c r="H58" s="29"/>
      <c r="I58" s="58">
        <f t="shared" si="4"/>
        <v>0</v>
      </c>
      <c r="J58" s="29">
        <v>4835</v>
      </c>
      <c r="K58" s="29"/>
      <c r="L58" s="58">
        <f t="shared" si="5"/>
        <v>4835</v>
      </c>
      <c r="M58" s="29"/>
      <c r="N58" s="29"/>
      <c r="O58" s="58">
        <f t="shared" si="6"/>
        <v>0</v>
      </c>
      <c r="P58" s="29"/>
      <c r="Q58" s="29"/>
      <c r="R58" s="58">
        <f t="shared" si="7"/>
        <v>0</v>
      </c>
      <c r="S58" s="29"/>
      <c r="T58" s="29"/>
      <c r="U58" s="58">
        <f t="shared" si="8"/>
        <v>0</v>
      </c>
      <c r="V58" s="29"/>
      <c r="W58" s="29"/>
      <c r="X58" s="576">
        <f t="shared" si="9"/>
        <v>0</v>
      </c>
    </row>
    <row r="59" spans="1:24" s="44" customFormat="1" ht="12.75" customHeight="1" x14ac:dyDescent="0.25">
      <c r="A59" s="575" t="s">
        <v>132</v>
      </c>
      <c r="B59" s="1111" t="s">
        <v>160</v>
      </c>
      <c r="C59" s="1084"/>
      <c r="D59" s="650">
        <f t="shared" si="1"/>
        <v>84582</v>
      </c>
      <c r="E59" s="90">
        <f t="shared" si="2"/>
        <v>0</v>
      </c>
      <c r="F59" s="652">
        <f t="shared" si="3"/>
        <v>84582</v>
      </c>
      <c r="G59" s="649"/>
      <c r="H59" s="58"/>
      <c r="I59" s="58">
        <f t="shared" si="4"/>
        <v>0</v>
      </c>
      <c r="J59" s="58">
        <f>SUM(J55:J58)</f>
        <v>84582</v>
      </c>
      <c r="K59" s="58"/>
      <c r="L59" s="58">
        <f t="shared" si="5"/>
        <v>84582</v>
      </c>
      <c r="M59" s="58"/>
      <c r="N59" s="58"/>
      <c r="O59" s="58">
        <f t="shared" si="6"/>
        <v>0</v>
      </c>
      <c r="P59" s="58"/>
      <c r="Q59" s="58"/>
      <c r="R59" s="58">
        <f t="shared" si="7"/>
        <v>0</v>
      </c>
      <c r="S59" s="58"/>
      <c r="T59" s="58"/>
      <c r="U59" s="58">
        <f t="shared" si="8"/>
        <v>0</v>
      </c>
      <c r="V59" s="58"/>
      <c r="W59" s="58"/>
      <c r="X59" s="576">
        <f t="shared" si="9"/>
        <v>0</v>
      </c>
    </row>
    <row r="60" spans="1:24" x14ac:dyDescent="0.25">
      <c r="A60" s="577"/>
      <c r="B60" s="880"/>
      <c r="C60" s="356"/>
      <c r="D60" s="911"/>
      <c r="E60" s="889"/>
      <c r="F60" s="912"/>
      <c r="G60" s="61"/>
      <c r="H60" s="61"/>
      <c r="I60" s="246"/>
      <c r="J60" s="61"/>
      <c r="K60" s="61"/>
      <c r="L60" s="246"/>
      <c r="M60" s="61"/>
      <c r="N60" s="61"/>
      <c r="O60" s="246"/>
      <c r="P60" s="61"/>
      <c r="Q60" s="61"/>
      <c r="R60" s="246"/>
      <c r="S60" s="61"/>
      <c r="T60" s="61"/>
      <c r="U60" s="246"/>
      <c r="V60" s="61"/>
      <c r="W60" s="61"/>
      <c r="X60" s="651"/>
    </row>
    <row r="61" spans="1:24" hidden="1" x14ac:dyDescent="0.25">
      <c r="A61" s="103" t="s">
        <v>381</v>
      </c>
      <c r="B61" s="1124" t="s">
        <v>382</v>
      </c>
      <c r="C61" s="1125"/>
      <c r="D61" s="911">
        <f t="shared" si="1"/>
        <v>0</v>
      </c>
      <c r="E61" s="889">
        <f t="shared" si="2"/>
        <v>0</v>
      </c>
      <c r="F61" s="912">
        <f t="shared" si="3"/>
        <v>0</v>
      </c>
      <c r="G61" s="61"/>
      <c r="H61" s="61"/>
      <c r="I61" s="246">
        <f t="shared" si="4"/>
        <v>0</v>
      </c>
      <c r="J61" s="61"/>
      <c r="K61" s="61"/>
      <c r="L61" s="246">
        <f t="shared" si="5"/>
        <v>0</v>
      </c>
      <c r="M61" s="61"/>
      <c r="N61" s="61"/>
      <c r="O61" s="246">
        <f t="shared" si="6"/>
        <v>0</v>
      </c>
      <c r="P61" s="61"/>
      <c r="Q61" s="61"/>
      <c r="R61" s="246">
        <f t="shared" si="7"/>
        <v>0</v>
      </c>
      <c r="S61" s="61"/>
      <c r="T61" s="61"/>
      <c r="U61" s="246">
        <f t="shared" si="8"/>
        <v>0</v>
      </c>
      <c r="V61" s="61"/>
      <c r="W61" s="61"/>
      <c r="X61" s="651">
        <f t="shared" si="9"/>
        <v>0</v>
      </c>
    </row>
    <row r="62" spans="1:24" hidden="1" x14ac:dyDescent="0.25">
      <c r="A62" s="103" t="s">
        <v>394</v>
      </c>
      <c r="B62" s="1124" t="s">
        <v>395</v>
      </c>
      <c r="C62" s="1125"/>
      <c r="D62" s="911">
        <f t="shared" si="1"/>
        <v>0</v>
      </c>
      <c r="E62" s="889">
        <f t="shared" si="2"/>
        <v>0</v>
      </c>
      <c r="F62" s="912">
        <f t="shared" si="3"/>
        <v>0</v>
      </c>
      <c r="G62" s="61"/>
      <c r="H62" s="61"/>
      <c r="I62" s="246">
        <f t="shared" si="4"/>
        <v>0</v>
      </c>
      <c r="J62" s="61"/>
      <c r="K62" s="61"/>
      <c r="L62" s="246">
        <f t="shared" si="5"/>
        <v>0</v>
      </c>
      <c r="M62" s="61"/>
      <c r="N62" s="61"/>
      <c r="O62" s="246">
        <f t="shared" si="6"/>
        <v>0</v>
      </c>
      <c r="P62" s="61"/>
      <c r="Q62" s="61"/>
      <c r="R62" s="246">
        <f t="shared" si="7"/>
        <v>0</v>
      </c>
      <c r="S62" s="61"/>
      <c r="T62" s="61"/>
      <c r="U62" s="246">
        <f t="shared" si="8"/>
        <v>0</v>
      </c>
      <c r="V62" s="61"/>
      <c r="W62" s="61"/>
      <c r="X62" s="651">
        <f t="shared" si="9"/>
        <v>0</v>
      </c>
    </row>
    <row r="63" spans="1:24" ht="12.75" hidden="1" customHeight="1" x14ac:dyDescent="0.25">
      <c r="A63" s="103" t="s">
        <v>635</v>
      </c>
      <c r="B63" s="1124" t="s">
        <v>396</v>
      </c>
      <c r="C63" s="1125"/>
      <c r="D63" s="911">
        <f t="shared" si="1"/>
        <v>0</v>
      </c>
      <c r="E63" s="889">
        <f t="shared" si="2"/>
        <v>0</v>
      </c>
      <c r="F63" s="912">
        <f t="shared" si="3"/>
        <v>0</v>
      </c>
      <c r="G63" s="61"/>
      <c r="H63" s="61"/>
      <c r="I63" s="246">
        <f t="shared" si="4"/>
        <v>0</v>
      </c>
      <c r="J63" s="61"/>
      <c r="K63" s="61"/>
      <c r="L63" s="246">
        <f t="shared" si="5"/>
        <v>0</v>
      </c>
      <c r="M63" s="61"/>
      <c r="N63" s="61"/>
      <c r="O63" s="246">
        <f t="shared" si="6"/>
        <v>0</v>
      </c>
      <c r="P63" s="61"/>
      <c r="Q63" s="61"/>
      <c r="R63" s="246">
        <f t="shared" si="7"/>
        <v>0</v>
      </c>
      <c r="S63" s="61"/>
      <c r="T63" s="61"/>
      <c r="U63" s="246">
        <f t="shared" si="8"/>
        <v>0</v>
      </c>
      <c r="V63" s="61"/>
      <c r="W63" s="61"/>
      <c r="X63" s="651">
        <f t="shared" si="9"/>
        <v>0</v>
      </c>
    </row>
    <row r="64" spans="1:24" s="44" customFormat="1" ht="12.75" customHeight="1" x14ac:dyDescent="0.25">
      <c r="A64" s="575" t="s">
        <v>134</v>
      </c>
      <c r="B64" s="1111" t="s">
        <v>158</v>
      </c>
      <c r="C64" s="1084"/>
      <c r="D64" s="650">
        <f t="shared" si="1"/>
        <v>0</v>
      </c>
      <c r="E64" s="90">
        <f t="shared" si="2"/>
        <v>0</v>
      </c>
      <c r="F64" s="652">
        <f t="shared" si="3"/>
        <v>0</v>
      </c>
      <c r="G64" s="649">
        <f t="shared" ref="G64:Q64" si="32">SUM(G61:G63)</f>
        <v>0</v>
      </c>
      <c r="H64" s="58">
        <f t="shared" si="32"/>
        <v>0</v>
      </c>
      <c r="I64" s="58">
        <f t="shared" si="4"/>
        <v>0</v>
      </c>
      <c r="J64" s="58">
        <f t="shared" si="32"/>
        <v>0</v>
      </c>
      <c r="K64" s="58">
        <f t="shared" si="32"/>
        <v>0</v>
      </c>
      <c r="L64" s="58">
        <f t="shared" si="5"/>
        <v>0</v>
      </c>
      <c r="M64" s="58">
        <f t="shared" si="32"/>
        <v>0</v>
      </c>
      <c r="N64" s="58">
        <f t="shared" si="32"/>
        <v>0</v>
      </c>
      <c r="O64" s="58">
        <f t="shared" si="6"/>
        <v>0</v>
      </c>
      <c r="P64" s="58">
        <f t="shared" si="32"/>
        <v>0</v>
      </c>
      <c r="Q64" s="58">
        <f t="shared" si="32"/>
        <v>0</v>
      </c>
      <c r="R64" s="58">
        <f t="shared" si="7"/>
        <v>0</v>
      </c>
      <c r="S64" s="58">
        <f t="shared" ref="S64:U64" si="33">SUM(S61:S63)</f>
        <v>0</v>
      </c>
      <c r="T64" s="58">
        <f t="shared" si="33"/>
        <v>0</v>
      </c>
      <c r="U64" s="58">
        <f t="shared" si="33"/>
        <v>0</v>
      </c>
      <c r="V64" s="58">
        <f t="shared" ref="V64:W64" si="34">SUM(V61:V63)</f>
        <v>0</v>
      </c>
      <c r="W64" s="58">
        <f t="shared" si="34"/>
        <v>0</v>
      </c>
      <c r="X64" s="576">
        <f t="shared" si="9"/>
        <v>0</v>
      </c>
    </row>
    <row r="65" spans="1:24" x14ac:dyDescent="0.25">
      <c r="A65" s="577"/>
      <c r="B65" s="574"/>
      <c r="C65" s="907"/>
      <c r="D65" s="911"/>
      <c r="E65" s="889"/>
      <c r="F65" s="912"/>
      <c r="G65" s="61"/>
      <c r="H65" s="61"/>
      <c r="I65" s="246"/>
      <c r="J65" s="61"/>
      <c r="K65" s="61"/>
      <c r="L65" s="246"/>
      <c r="M65" s="61"/>
      <c r="N65" s="61"/>
      <c r="O65" s="246"/>
      <c r="P65" s="61"/>
      <c r="Q65" s="61"/>
      <c r="R65" s="246"/>
      <c r="S65" s="61"/>
      <c r="T65" s="61"/>
      <c r="U65" s="246"/>
      <c r="V65" s="61"/>
      <c r="W65" s="61"/>
      <c r="X65" s="651"/>
    </row>
    <row r="66" spans="1:24" s="44" customFormat="1" ht="12.75" customHeight="1" x14ac:dyDescent="0.25">
      <c r="A66" s="898" t="s">
        <v>135</v>
      </c>
      <c r="B66" s="1111" t="s">
        <v>157</v>
      </c>
      <c r="C66" s="1084"/>
      <c r="D66" s="650">
        <f t="shared" si="1"/>
        <v>735051</v>
      </c>
      <c r="E66" s="90">
        <f t="shared" si="2"/>
        <v>-2132</v>
      </c>
      <c r="F66" s="652">
        <f t="shared" si="3"/>
        <v>732919</v>
      </c>
      <c r="G66" s="649">
        <f t="shared" ref="G66:Q66" si="35">+G64+G59+G53+G44+G35+G9+G7</f>
        <v>325819</v>
      </c>
      <c r="H66" s="58">
        <f t="shared" si="35"/>
        <v>-5505</v>
      </c>
      <c r="I66" s="58">
        <f t="shared" si="4"/>
        <v>320314</v>
      </c>
      <c r="J66" s="58">
        <f t="shared" si="35"/>
        <v>259167</v>
      </c>
      <c r="K66" s="58">
        <f t="shared" si="35"/>
        <v>1270</v>
      </c>
      <c r="L66" s="58">
        <f t="shared" si="5"/>
        <v>260437</v>
      </c>
      <c r="M66" s="58">
        <f t="shared" si="35"/>
        <v>134972</v>
      </c>
      <c r="N66" s="58">
        <f t="shared" si="35"/>
        <v>0</v>
      </c>
      <c r="O66" s="58">
        <f t="shared" si="6"/>
        <v>134972</v>
      </c>
      <c r="P66" s="58">
        <f t="shared" si="35"/>
        <v>15093</v>
      </c>
      <c r="Q66" s="58">
        <f t="shared" si="35"/>
        <v>1657</v>
      </c>
      <c r="R66" s="58">
        <f t="shared" si="7"/>
        <v>16750</v>
      </c>
      <c r="S66" s="58">
        <f t="shared" ref="S66:U66" si="36">+S64+S59+S53+S44+S35+S9+S7</f>
        <v>0</v>
      </c>
      <c r="T66" s="58">
        <f t="shared" si="36"/>
        <v>446</v>
      </c>
      <c r="U66" s="58">
        <f t="shared" si="36"/>
        <v>446</v>
      </c>
      <c r="V66" s="58">
        <f t="shared" ref="V66:W66" si="37">+V64+V59+V53+V44+V35+V9+V7</f>
        <v>0</v>
      </c>
      <c r="W66" s="58">
        <f t="shared" si="37"/>
        <v>0</v>
      </c>
      <c r="X66" s="576">
        <f t="shared" si="9"/>
        <v>0</v>
      </c>
    </row>
    <row r="67" spans="1:24" x14ac:dyDescent="0.25">
      <c r="A67" s="104"/>
      <c r="C67" s="908"/>
      <c r="D67" s="911"/>
      <c r="E67" s="889"/>
      <c r="F67" s="912"/>
      <c r="I67" s="246"/>
      <c r="L67" s="246"/>
      <c r="O67" s="246"/>
      <c r="R67" s="246"/>
      <c r="U67" s="246"/>
      <c r="X67" s="651"/>
    </row>
    <row r="68" spans="1:24" ht="12.75" customHeight="1" thickBot="1" x14ac:dyDescent="0.3">
      <c r="A68" s="899" t="s">
        <v>378</v>
      </c>
      <c r="B68" s="1144" t="s">
        <v>379</v>
      </c>
      <c r="C68" s="1145"/>
      <c r="D68" s="913">
        <f t="shared" si="1"/>
        <v>2268</v>
      </c>
      <c r="E68" s="900">
        <f t="shared" si="2"/>
        <v>0</v>
      </c>
      <c r="F68" s="914">
        <f t="shared" si="3"/>
        <v>2268</v>
      </c>
      <c r="G68" s="909"/>
      <c r="H68" s="901"/>
      <c r="I68" s="901">
        <f t="shared" si="4"/>
        <v>0</v>
      </c>
      <c r="J68" s="901"/>
      <c r="K68" s="901"/>
      <c r="L68" s="901">
        <f t="shared" si="5"/>
        <v>0</v>
      </c>
      <c r="M68" s="901"/>
      <c r="N68" s="901"/>
      <c r="O68" s="901">
        <f>+N68+M68</f>
        <v>0</v>
      </c>
      <c r="P68" s="902">
        <f>1890+378</f>
        <v>2268</v>
      </c>
      <c r="Q68" s="901"/>
      <c r="R68" s="901">
        <f t="shared" si="7"/>
        <v>2268</v>
      </c>
      <c r="S68" s="901"/>
      <c r="T68" s="901"/>
      <c r="U68" s="901">
        <f t="shared" si="8"/>
        <v>0</v>
      </c>
      <c r="V68" s="901"/>
      <c r="W68" s="901"/>
      <c r="X68" s="903">
        <f t="shared" si="9"/>
        <v>0</v>
      </c>
    </row>
  </sheetData>
  <mergeCells count="72"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  <mergeCell ref="V2:X2"/>
    <mergeCell ref="V3:X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S2:U2"/>
    <mergeCell ref="S3:U3"/>
    <mergeCell ref="B61:C61"/>
    <mergeCell ref="B62:C62"/>
    <mergeCell ref="B63:C63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0" orientation="landscape" cellComments="asDisplayed" r:id="rId1"/>
  <headerFooter>
    <oddHeader>&amp;C&amp;"Times New Roman,Félkövér"&amp;12Martonvásár Város Önkormányzatának kiadásai 2017.
Városfejlesztési feladatok saját forrásból&amp;R&amp;"Times New Roman,Félkövér"&amp;12 5/b. melléklet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5"/>
  <sheetViews>
    <sheetView topLeftCell="A31" zoomScaleNormal="100" workbookViewId="0">
      <selection activeCell="V7" sqref="V7:X7"/>
    </sheetView>
  </sheetViews>
  <sheetFormatPr defaultColWidth="9.109375" defaultRowHeight="14.4" x14ac:dyDescent="0.3"/>
  <cols>
    <col min="1" max="1" width="8.109375" style="887" customWidth="1"/>
    <col min="2" max="2" width="7.109375" style="27" customWidth="1"/>
    <col min="3" max="3" width="31" style="27" customWidth="1"/>
    <col min="4" max="4" width="11.44140625" style="18" customWidth="1"/>
    <col min="5" max="5" width="8.44140625" style="18" customWidth="1"/>
    <col min="6" max="6" width="10.33203125" style="18" customWidth="1"/>
    <col min="7" max="7" width="7.5546875" style="18" customWidth="1"/>
    <col min="8" max="8" width="7.109375" style="18" customWidth="1"/>
    <col min="9" max="9" width="8.109375" style="18" customWidth="1"/>
    <col min="10" max="10" width="7.88671875" style="18" customWidth="1"/>
    <col min="11" max="11" width="7.6640625" style="18" customWidth="1"/>
    <col min="12" max="27" width="7.88671875" style="18" customWidth="1"/>
    <col min="28" max="28" width="7.109375" style="18" customWidth="1"/>
    <col min="29" max="29" width="8" style="18" customWidth="1"/>
    <col min="30" max="30" width="7.5546875" style="18" customWidth="1"/>
    <col min="31" max="31" width="8" style="18" customWidth="1"/>
    <col min="32" max="32" width="7.88671875" style="18" customWidth="1"/>
    <col min="33" max="33" width="7.33203125" style="18" customWidth="1"/>
    <col min="34" max="36" width="8.88671875" style="1" customWidth="1"/>
    <col min="37" max="16384" width="9.109375" style="18"/>
  </cols>
  <sheetData>
    <row r="1" spans="1:33" s="1" customFormat="1" ht="12.75" customHeight="1" thickBot="1" x14ac:dyDescent="0.35">
      <c r="A1" s="887"/>
      <c r="B1" s="27"/>
      <c r="C1" s="27"/>
      <c r="AE1" s="66" t="s">
        <v>393</v>
      </c>
      <c r="AF1" s="66"/>
      <c r="AG1" s="66"/>
    </row>
    <row r="2" spans="1:33" s="33" customFormat="1" ht="28.5" customHeight="1" x14ac:dyDescent="0.3">
      <c r="A2" s="1131" t="s">
        <v>0</v>
      </c>
      <c r="B2" s="1133" t="s">
        <v>182</v>
      </c>
      <c r="C2" s="1134"/>
      <c r="D2" s="1139" t="s">
        <v>180</v>
      </c>
      <c r="E2" s="1122"/>
      <c r="F2" s="1129"/>
      <c r="G2" s="1139" t="s">
        <v>730</v>
      </c>
      <c r="H2" s="1122"/>
      <c r="I2" s="1122"/>
      <c r="J2" s="1122" t="s">
        <v>731</v>
      </c>
      <c r="K2" s="1122"/>
      <c r="L2" s="1122"/>
      <c r="M2" s="1122" t="s">
        <v>732</v>
      </c>
      <c r="N2" s="1122"/>
      <c r="O2" s="1122"/>
      <c r="P2" s="1122" t="s">
        <v>902</v>
      </c>
      <c r="Q2" s="1122"/>
      <c r="R2" s="1122"/>
      <c r="S2" s="1122" t="s">
        <v>903</v>
      </c>
      <c r="T2" s="1122"/>
      <c r="U2" s="1122"/>
      <c r="V2" s="1122" t="s">
        <v>733</v>
      </c>
      <c r="W2" s="1122"/>
      <c r="X2" s="1122"/>
      <c r="Y2" s="1122" t="s">
        <v>893</v>
      </c>
      <c r="Z2" s="1122"/>
      <c r="AA2" s="1122"/>
      <c r="AB2" s="1122" t="s">
        <v>895</v>
      </c>
      <c r="AC2" s="1122"/>
      <c r="AD2" s="1122"/>
      <c r="AE2" s="1122" t="s">
        <v>896</v>
      </c>
      <c r="AF2" s="1122"/>
      <c r="AG2" s="1129"/>
    </row>
    <row r="3" spans="1:33" s="33" customFormat="1" ht="13.2" x14ac:dyDescent="0.3">
      <c r="A3" s="1132"/>
      <c r="B3" s="1110"/>
      <c r="C3" s="1135"/>
      <c r="D3" s="1143"/>
      <c r="E3" s="1123"/>
      <c r="F3" s="1130"/>
      <c r="G3" s="1143" t="s">
        <v>295</v>
      </c>
      <c r="H3" s="1123"/>
      <c r="I3" s="1123"/>
      <c r="J3" s="1123" t="s">
        <v>295</v>
      </c>
      <c r="K3" s="1123"/>
      <c r="L3" s="1123"/>
      <c r="M3" s="1123" t="s">
        <v>295</v>
      </c>
      <c r="N3" s="1123"/>
      <c r="O3" s="1123"/>
      <c r="P3" s="1123" t="s">
        <v>295</v>
      </c>
      <c r="Q3" s="1123"/>
      <c r="R3" s="1123"/>
      <c r="S3" s="1123" t="s">
        <v>295</v>
      </c>
      <c r="T3" s="1123"/>
      <c r="U3" s="1123"/>
      <c r="V3" s="1123" t="s">
        <v>295</v>
      </c>
      <c r="W3" s="1123"/>
      <c r="X3" s="1123"/>
      <c r="Y3" s="1123" t="s">
        <v>894</v>
      </c>
      <c r="Z3" s="1123"/>
      <c r="AA3" s="1123"/>
      <c r="AB3" s="1123" t="s">
        <v>295</v>
      </c>
      <c r="AC3" s="1123"/>
      <c r="AD3" s="1123"/>
      <c r="AE3" s="1123" t="s">
        <v>295</v>
      </c>
      <c r="AF3" s="1123"/>
      <c r="AG3" s="1130"/>
    </row>
    <row r="4" spans="1:33" s="17" customFormat="1" ht="26.4" x14ac:dyDescent="0.3">
      <c r="A4" s="1132"/>
      <c r="B4" s="1110"/>
      <c r="C4" s="1135"/>
      <c r="D4" s="904" t="s">
        <v>177</v>
      </c>
      <c r="E4" s="879" t="s">
        <v>792</v>
      </c>
      <c r="F4" s="897" t="s">
        <v>795</v>
      </c>
      <c r="G4" s="904" t="s">
        <v>177</v>
      </c>
      <c r="H4" s="879" t="s">
        <v>792</v>
      </c>
      <c r="I4" s="879" t="s">
        <v>795</v>
      </c>
      <c r="J4" s="879" t="s">
        <v>177</v>
      </c>
      <c r="K4" s="879" t="s">
        <v>792</v>
      </c>
      <c r="L4" s="879" t="s">
        <v>795</v>
      </c>
      <c r="M4" s="879" t="s">
        <v>177</v>
      </c>
      <c r="N4" s="879" t="s">
        <v>792</v>
      </c>
      <c r="O4" s="879" t="s">
        <v>795</v>
      </c>
      <c r="P4" s="879" t="s">
        <v>177</v>
      </c>
      <c r="Q4" s="879" t="s">
        <v>792</v>
      </c>
      <c r="R4" s="879" t="s">
        <v>795</v>
      </c>
      <c r="S4" s="879" t="s">
        <v>177</v>
      </c>
      <c r="T4" s="879" t="s">
        <v>792</v>
      </c>
      <c r="U4" s="879" t="s">
        <v>795</v>
      </c>
      <c r="V4" s="879" t="s">
        <v>177</v>
      </c>
      <c r="W4" s="879" t="s">
        <v>792</v>
      </c>
      <c r="X4" s="879" t="s">
        <v>795</v>
      </c>
      <c r="Y4" s="879" t="s">
        <v>177</v>
      </c>
      <c r="Z4" s="879" t="s">
        <v>792</v>
      </c>
      <c r="AA4" s="879" t="s">
        <v>795</v>
      </c>
      <c r="AB4" s="879" t="s">
        <v>177</v>
      </c>
      <c r="AC4" s="879" t="s">
        <v>792</v>
      </c>
      <c r="AD4" s="879" t="s">
        <v>795</v>
      </c>
      <c r="AE4" s="879" t="s">
        <v>177</v>
      </c>
      <c r="AF4" s="879" t="s">
        <v>792</v>
      </c>
      <c r="AG4" s="897" t="s">
        <v>795</v>
      </c>
    </row>
    <row r="5" spans="1:33" s="44" customFormat="1" ht="12.75" customHeight="1" x14ac:dyDescent="0.25">
      <c r="A5" s="575" t="s">
        <v>27</v>
      </c>
      <c r="B5" s="1111" t="s">
        <v>174</v>
      </c>
      <c r="C5" s="1084"/>
      <c r="D5" s="905">
        <f>+G5+J5+AB5+AE5+M5+V5+Y5+P5+S5</f>
        <v>0</v>
      </c>
      <c r="E5" s="90">
        <f t="shared" ref="E5:F5" si="0">+H5+K5+AC5+AF5+N5+W5+Z5+Q5+T5</f>
        <v>0</v>
      </c>
      <c r="F5" s="652">
        <f t="shared" si="0"/>
        <v>0</v>
      </c>
      <c r="G5" s="649"/>
      <c r="H5" s="58"/>
      <c r="I5" s="58">
        <f>+H5+G5</f>
        <v>0</v>
      </c>
      <c r="J5" s="58"/>
      <c r="K5" s="58"/>
      <c r="L5" s="58">
        <f>+K5+J5</f>
        <v>0</v>
      </c>
      <c r="M5" s="58"/>
      <c r="N5" s="58"/>
      <c r="O5" s="58">
        <f>+N5+M5</f>
        <v>0</v>
      </c>
      <c r="P5" s="58"/>
      <c r="Q5" s="58"/>
      <c r="R5" s="58">
        <f>+Q5+P5</f>
        <v>0</v>
      </c>
      <c r="S5" s="58"/>
      <c r="T5" s="58"/>
      <c r="U5" s="58">
        <f>+T5+S5</f>
        <v>0</v>
      </c>
      <c r="V5" s="58"/>
      <c r="W5" s="58"/>
      <c r="X5" s="58">
        <f>+W5+V5</f>
        <v>0</v>
      </c>
      <c r="Y5" s="58"/>
      <c r="Z5" s="58"/>
      <c r="AA5" s="58">
        <f>+Z5+Y5</f>
        <v>0</v>
      </c>
      <c r="AB5" s="58"/>
      <c r="AC5" s="58"/>
      <c r="AD5" s="58">
        <f>+AB5+AC5</f>
        <v>0</v>
      </c>
      <c r="AE5" s="58"/>
      <c r="AF5" s="58"/>
      <c r="AG5" s="576">
        <f>+AF5+AE5</f>
        <v>0</v>
      </c>
    </row>
    <row r="6" spans="1:33" s="44" customFormat="1" ht="12.75" customHeight="1" x14ac:dyDescent="0.25">
      <c r="A6" s="575" t="s">
        <v>33</v>
      </c>
      <c r="B6" s="1111" t="s">
        <v>173</v>
      </c>
      <c r="C6" s="1084"/>
      <c r="D6" s="905">
        <f t="shared" ref="D6:D65" si="1">+G6+J6+AB6+AE6+M6+V6+Y6+P6+S6</f>
        <v>794</v>
      </c>
      <c r="E6" s="90">
        <f t="shared" ref="E6:E65" si="2">+H6+K6+AC6+AF6+N6+W6+Z6+Q6+T6</f>
        <v>257</v>
      </c>
      <c r="F6" s="652">
        <f t="shared" ref="F6:F65" si="3">+I6+L6+AD6+AG6+O6+X6+AA6+R6+U6</f>
        <v>1051</v>
      </c>
      <c r="G6" s="649"/>
      <c r="H6" s="58"/>
      <c r="I6" s="58">
        <f t="shared" ref="I6:I65" si="4">+H6+G6</f>
        <v>0</v>
      </c>
      <c r="J6" s="58"/>
      <c r="K6" s="58"/>
      <c r="L6" s="58">
        <f t="shared" ref="L6:L65" si="5">+K6+J6</f>
        <v>0</v>
      </c>
      <c r="M6" s="58"/>
      <c r="N6" s="58"/>
      <c r="O6" s="58">
        <f t="shared" ref="O6:O65" si="6">+N6+M6</f>
        <v>0</v>
      </c>
      <c r="P6" s="58"/>
      <c r="Q6" s="58"/>
      <c r="R6" s="58">
        <f t="shared" ref="R6:R65" si="7">+Q6+P6</f>
        <v>0</v>
      </c>
      <c r="S6" s="58"/>
      <c r="T6" s="58"/>
      <c r="U6" s="58">
        <f t="shared" ref="U6:U65" si="8">+T6+S6</f>
        <v>0</v>
      </c>
      <c r="V6" s="58">
        <f>1541-726-21</f>
        <v>794</v>
      </c>
      <c r="W6" s="58">
        <v>257</v>
      </c>
      <c r="X6" s="58">
        <f t="shared" ref="X6:X65" si="9">+W6+V6</f>
        <v>1051</v>
      </c>
      <c r="Y6" s="58"/>
      <c r="Z6" s="58"/>
      <c r="AA6" s="58">
        <f t="shared" ref="AA6:AA65" si="10">+Z6+Y6</f>
        <v>0</v>
      </c>
      <c r="AB6" s="58"/>
      <c r="AC6" s="58"/>
      <c r="AD6" s="58">
        <f t="shared" ref="AD6:AD65" si="11">+AB6+AC6</f>
        <v>0</v>
      </c>
      <c r="AE6" s="58"/>
      <c r="AF6" s="58"/>
      <c r="AG6" s="576">
        <f t="shared" ref="AG6:AG65" si="12">+AF6+AE6</f>
        <v>0</v>
      </c>
    </row>
    <row r="7" spans="1:33" s="44" customFormat="1" ht="12.75" customHeight="1" x14ac:dyDescent="0.25">
      <c r="A7" s="575" t="s">
        <v>34</v>
      </c>
      <c r="B7" s="1111" t="s">
        <v>172</v>
      </c>
      <c r="C7" s="1084"/>
      <c r="D7" s="905">
        <f t="shared" si="1"/>
        <v>794</v>
      </c>
      <c r="E7" s="90">
        <f t="shared" si="2"/>
        <v>257</v>
      </c>
      <c r="F7" s="652">
        <f t="shared" si="3"/>
        <v>1051</v>
      </c>
      <c r="G7" s="649"/>
      <c r="H7" s="58"/>
      <c r="I7" s="58">
        <f t="shared" si="4"/>
        <v>0</v>
      </c>
      <c r="J7" s="58"/>
      <c r="K7" s="58"/>
      <c r="L7" s="58">
        <f t="shared" si="5"/>
        <v>0</v>
      </c>
      <c r="M7" s="58"/>
      <c r="N7" s="58"/>
      <c r="O7" s="58">
        <f t="shared" si="6"/>
        <v>0</v>
      </c>
      <c r="P7" s="58"/>
      <c r="Q7" s="58"/>
      <c r="R7" s="58">
        <f t="shared" si="7"/>
        <v>0</v>
      </c>
      <c r="S7" s="58"/>
      <c r="T7" s="58"/>
      <c r="U7" s="58">
        <f t="shared" si="8"/>
        <v>0</v>
      </c>
      <c r="V7" s="58">
        <f>+V6+V5</f>
        <v>794</v>
      </c>
      <c r="W7" s="58">
        <f t="shared" ref="W7:X7" si="13">+W6+W5</f>
        <v>257</v>
      </c>
      <c r="X7" s="58">
        <f t="shared" si="13"/>
        <v>1051</v>
      </c>
      <c r="Y7" s="58"/>
      <c r="Z7" s="58"/>
      <c r="AA7" s="58">
        <f t="shared" si="10"/>
        <v>0</v>
      </c>
      <c r="AB7" s="58"/>
      <c r="AC7" s="58"/>
      <c r="AD7" s="58">
        <f t="shared" si="11"/>
        <v>0</v>
      </c>
      <c r="AE7" s="58"/>
      <c r="AF7" s="58"/>
      <c r="AG7" s="576">
        <f t="shared" si="12"/>
        <v>0</v>
      </c>
    </row>
    <row r="8" spans="1:33" ht="12" customHeight="1" x14ac:dyDescent="0.3">
      <c r="A8" s="577"/>
      <c r="B8" s="880"/>
      <c r="C8" s="356"/>
      <c r="D8" s="889"/>
      <c r="E8" s="889"/>
      <c r="F8" s="912"/>
      <c r="G8" s="61"/>
      <c r="H8" s="61"/>
      <c r="I8" s="246"/>
      <c r="J8" s="61"/>
      <c r="K8" s="61"/>
      <c r="L8" s="246"/>
      <c r="M8" s="61"/>
      <c r="N8" s="61"/>
      <c r="O8" s="246"/>
      <c r="P8" s="61"/>
      <c r="Q8" s="61"/>
      <c r="R8" s="246"/>
      <c r="S8" s="61"/>
      <c r="T8" s="61"/>
      <c r="U8" s="246"/>
      <c r="V8" s="61"/>
      <c r="W8" s="61"/>
      <c r="X8" s="246"/>
      <c r="Y8" s="61"/>
      <c r="Z8" s="61"/>
      <c r="AA8" s="246"/>
      <c r="AB8" s="61"/>
      <c r="AC8" s="61"/>
      <c r="AD8" s="246"/>
      <c r="AE8" s="61"/>
      <c r="AF8" s="61"/>
      <c r="AG8" s="651"/>
    </row>
    <row r="9" spans="1:33" s="44" customFormat="1" ht="12.75" customHeight="1" x14ac:dyDescent="0.25">
      <c r="A9" s="575" t="s">
        <v>35</v>
      </c>
      <c r="B9" s="1111" t="s">
        <v>171</v>
      </c>
      <c r="C9" s="1084"/>
      <c r="D9" s="905">
        <f t="shared" si="1"/>
        <v>309</v>
      </c>
      <c r="E9" s="90">
        <f t="shared" si="2"/>
        <v>23</v>
      </c>
      <c r="F9" s="652">
        <f t="shared" si="3"/>
        <v>332</v>
      </c>
      <c r="G9" s="649"/>
      <c r="H9" s="58"/>
      <c r="I9" s="58">
        <f t="shared" si="4"/>
        <v>0</v>
      </c>
      <c r="J9" s="58"/>
      <c r="K9" s="58"/>
      <c r="L9" s="58">
        <f t="shared" si="5"/>
        <v>0</v>
      </c>
      <c r="M9" s="58"/>
      <c r="N9" s="58"/>
      <c r="O9" s="58">
        <f t="shared" si="6"/>
        <v>0</v>
      </c>
      <c r="P9" s="58"/>
      <c r="Q9" s="58"/>
      <c r="R9" s="58">
        <f t="shared" si="7"/>
        <v>0</v>
      </c>
      <c r="S9" s="58"/>
      <c r="T9" s="58"/>
      <c r="U9" s="58">
        <f t="shared" si="8"/>
        <v>0</v>
      </c>
      <c r="V9" s="58">
        <v>309</v>
      </c>
      <c r="W9" s="58">
        <v>23</v>
      </c>
      <c r="X9" s="58">
        <f t="shared" si="9"/>
        <v>332</v>
      </c>
      <c r="Y9" s="58"/>
      <c r="Z9" s="58"/>
      <c r="AA9" s="58">
        <f t="shared" si="10"/>
        <v>0</v>
      </c>
      <c r="AB9" s="58"/>
      <c r="AC9" s="58"/>
      <c r="AD9" s="58">
        <f t="shared" si="11"/>
        <v>0</v>
      </c>
      <c r="AE9" s="58"/>
      <c r="AF9" s="58"/>
      <c r="AG9" s="576">
        <f t="shared" si="12"/>
        <v>0</v>
      </c>
    </row>
    <row r="10" spans="1:33" ht="11.25" customHeight="1" x14ac:dyDescent="0.3">
      <c r="A10" s="103"/>
      <c r="C10" s="357"/>
      <c r="D10" s="889"/>
      <c r="E10" s="889"/>
      <c r="F10" s="912"/>
      <c r="G10" s="61"/>
      <c r="H10" s="61"/>
      <c r="I10" s="246"/>
      <c r="J10" s="61"/>
      <c r="K10" s="61"/>
      <c r="L10" s="246"/>
      <c r="M10" s="61"/>
      <c r="N10" s="61"/>
      <c r="O10" s="246"/>
      <c r="P10" s="61"/>
      <c r="Q10" s="61"/>
      <c r="R10" s="246"/>
      <c r="S10" s="61"/>
      <c r="T10" s="61"/>
      <c r="U10" s="246"/>
      <c r="V10" s="61"/>
      <c r="W10" s="61"/>
      <c r="X10" s="246"/>
      <c r="Y10" s="61"/>
      <c r="Z10" s="61"/>
      <c r="AA10" s="246"/>
      <c r="AB10" s="61"/>
      <c r="AC10" s="61"/>
      <c r="AD10" s="246"/>
      <c r="AE10" s="61"/>
      <c r="AF10" s="61"/>
      <c r="AG10" s="651"/>
    </row>
    <row r="11" spans="1:33" ht="12.75" customHeight="1" x14ac:dyDescent="0.3">
      <c r="A11" s="578" t="s">
        <v>42</v>
      </c>
      <c r="B11" s="1112" t="s">
        <v>41</v>
      </c>
      <c r="C11" s="1086"/>
      <c r="D11" s="905">
        <f t="shared" si="1"/>
        <v>0</v>
      </c>
      <c r="E11" s="90">
        <f t="shared" si="2"/>
        <v>0</v>
      </c>
      <c r="F11" s="652">
        <f t="shared" si="3"/>
        <v>0</v>
      </c>
      <c r="G11" s="31"/>
      <c r="H11" s="29"/>
      <c r="I11" s="58">
        <f t="shared" si="4"/>
        <v>0</v>
      </c>
      <c r="J11" s="29"/>
      <c r="K11" s="29"/>
      <c r="L11" s="58">
        <f t="shared" si="5"/>
        <v>0</v>
      </c>
      <c r="M11" s="29"/>
      <c r="N11" s="29"/>
      <c r="O11" s="58">
        <f t="shared" si="6"/>
        <v>0</v>
      </c>
      <c r="P11" s="29"/>
      <c r="Q11" s="29"/>
      <c r="R11" s="58">
        <f t="shared" si="7"/>
        <v>0</v>
      </c>
      <c r="S11" s="29"/>
      <c r="T11" s="29"/>
      <c r="U11" s="58">
        <f t="shared" si="8"/>
        <v>0</v>
      </c>
      <c r="V11" s="29"/>
      <c r="W11" s="29"/>
      <c r="X11" s="58">
        <f t="shared" si="9"/>
        <v>0</v>
      </c>
      <c r="Y11" s="29"/>
      <c r="Z11" s="29"/>
      <c r="AA11" s="58">
        <f t="shared" si="10"/>
        <v>0</v>
      </c>
      <c r="AB11" s="29"/>
      <c r="AC11" s="29"/>
      <c r="AD11" s="58">
        <f t="shared" si="11"/>
        <v>0</v>
      </c>
      <c r="AE11" s="29"/>
      <c r="AF11" s="29"/>
      <c r="AG11" s="576">
        <f t="shared" si="12"/>
        <v>0</v>
      </c>
    </row>
    <row r="12" spans="1:33" ht="12.75" customHeight="1" x14ac:dyDescent="0.3">
      <c r="A12" s="578" t="s">
        <v>44</v>
      </c>
      <c r="B12" s="1112" t="s">
        <v>43</v>
      </c>
      <c r="C12" s="1086"/>
      <c r="D12" s="905">
        <f t="shared" si="1"/>
        <v>0</v>
      </c>
      <c r="E12" s="90">
        <f t="shared" si="2"/>
        <v>103</v>
      </c>
      <c r="F12" s="652">
        <f t="shared" si="3"/>
        <v>103</v>
      </c>
      <c r="G12" s="31"/>
      <c r="H12" s="29"/>
      <c r="I12" s="58">
        <f t="shared" si="4"/>
        <v>0</v>
      </c>
      <c r="J12" s="29"/>
      <c r="K12" s="29"/>
      <c r="L12" s="58">
        <f t="shared" si="5"/>
        <v>0</v>
      </c>
      <c r="M12" s="29"/>
      <c r="N12" s="29"/>
      <c r="O12" s="58">
        <f t="shared" si="6"/>
        <v>0</v>
      </c>
      <c r="P12" s="29"/>
      <c r="Q12" s="29"/>
      <c r="R12" s="58">
        <f t="shared" si="7"/>
        <v>0</v>
      </c>
      <c r="S12" s="29"/>
      <c r="T12" s="29"/>
      <c r="U12" s="58">
        <f t="shared" si="8"/>
        <v>0</v>
      </c>
      <c r="V12" s="29"/>
      <c r="W12" s="29"/>
      <c r="X12" s="58">
        <f t="shared" si="9"/>
        <v>0</v>
      </c>
      <c r="Y12" s="29"/>
      <c r="Z12" s="29">
        <v>103</v>
      </c>
      <c r="AA12" s="58">
        <f t="shared" si="10"/>
        <v>103</v>
      </c>
      <c r="AB12" s="29"/>
      <c r="AC12" s="29"/>
      <c r="AD12" s="58">
        <f t="shared" si="11"/>
        <v>0</v>
      </c>
      <c r="AE12" s="29"/>
      <c r="AF12" s="29"/>
      <c r="AG12" s="576">
        <f t="shared" si="12"/>
        <v>0</v>
      </c>
    </row>
    <row r="13" spans="1:33" ht="12.75" customHeight="1" x14ac:dyDescent="0.3">
      <c r="A13" s="578" t="s">
        <v>46</v>
      </c>
      <c r="B13" s="1112" t="s">
        <v>45</v>
      </c>
      <c r="C13" s="1086"/>
      <c r="D13" s="905">
        <f t="shared" si="1"/>
        <v>0</v>
      </c>
      <c r="E13" s="90">
        <f t="shared" si="2"/>
        <v>0</v>
      </c>
      <c r="F13" s="652">
        <f t="shared" si="3"/>
        <v>0</v>
      </c>
      <c r="G13" s="31"/>
      <c r="H13" s="29"/>
      <c r="I13" s="58">
        <f t="shared" si="4"/>
        <v>0</v>
      </c>
      <c r="J13" s="29"/>
      <c r="K13" s="29"/>
      <c r="L13" s="58">
        <f t="shared" si="5"/>
        <v>0</v>
      </c>
      <c r="M13" s="29"/>
      <c r="N13" s="29"/>
      <c r="O13" s="58">
        <f t="shared" si="6"/>
        <v>0</v>
      </c>
      <c r="P13" s="29"/>
      <c r="Q13" s="29"/>
      <c r="R13" s="58">
        <f t="shared" si="7"/>
        <v>0</v>
      </c>
      <c r="S13" s="29"/>
      <c r="T13" s="29"/>
      <c r="U13" s="58">
        <f t="shared" si="8"/>
        <v>0</v>
      </c>
      <c r="V13" s="29"/>
      <c r="W13" s="29"/>
      <c r="X13" s="58">
        <f t="shared" si="9"/>
        <v>0</v>
      </c>
      <c r="Y13" s="29"/>
      <c r="Z13" s="29"/>
      <c r="AA13" s="58">
        <f t="shared" si="10"/>
        <v>0</v>
      </c>
      <c r="AB13" s="29"/>
      <c r="AC13" s="29"/>
      <c r="AD13" s="58">
        <f t="shared" si="11"/>
        <v>0</v>
      </c>
      <c r="AE13" s="29"/>
      <c r="AF13" s="29"/>
      <c r="AG13" s="576">
        <f t="shared" si="12"/>
        <v>0</v>
      </c>
    </row>
    <row r="14" spans="1:33" s="44" customFormat="1" ht="12.75" customHeight="1" x14ac:dyDescent="0.25">
      <c r="A14" s="575" t="s">
        <v>47</v>
      </c>
      <c r="B14" s="1111" t="s">
        <v>170</v>
      </c>
      <c r="C14" s="1084"/>
      <c r="D14" s="905">
        <f t="shared" si="1"/>
        <v>0</v>
      </c>
      <c r="E14" s="90">
        <f t="shared" si="2"/>
        <v>103</v>
      </c>
      <c r="F14" s="652">
        <f t="shared" si="3"/>
        <v>103</v>
      </c>
      <c r="G14" s="649">
        <f>SUM(G11:G13)</f>
        <v>0</v>
      </c>
      <c r="H14" s="58">
        <f t="shared" ref="H14:AC14" si="14">SUM(H11:H13)</f>
        <v>0</v>
      </c>
      <c r="I14" s="58">
        <f t="shared" si="4"/>
        <v>0</v>
      </c>
      <c r="J14" s="58">
        <f t="shared" si="14"/>
        <v>0</v>
      </c>
      <c r="K14" s="58">
        <f t="shared" si="14"/>
        <v>0</v>
      </c>
      <c r="L14" s="58">
        <f t="shared" si="5"/>
        <v>0</v>
      </c>
      <c r="M14" s="58">
        <f t="shared" si="14"/>
        <v>0</v>
      </c>
      <c r="N14" s="58">
        <f t="shared" si="14"/>
        <v>0</v>
      </c>
      <c r="O14" s="58">
        <f t="shared" si="6"/>
        <v>0</v>
      </c>
      <c r="P14" s="58">
        <f t="shared" si="14"/>
        <v>0</v>
      </c>
      <c r="Q14" s="58">
        <f t="shared" si="14"/>
        <v>0</v>
      </c>
      <c r="R14" s="58">
        <f t="shared" si="7"/>
        <v>0</v>
      </c>
      <c r="S14" s="58">
        <f t="shared" si="14"/>
        <v>0</v>
      </c>
      <c r="T14" s="58">
        <f t="shared" si="14"/>
        <v>0</v>
      </c>
      <c r="U14" s="58">
        <f t="shared" si="8"/>
        <v>0</v>
      </c>
      <c r="V14" s="58">
        <f t="shared" si="14"/>
        <v>0</v>
      </c>
      <c r="W14" s="58">
        <f t="shared" si="14"/>
        <v>0</v>
      </c>
      <c r="X14" s="58">
        <f t="shared" si="9"/>
        <v>0</v>
      </c>
      <c r="Y14" s="58">
        <f t="shared" si="14"/>
        <v>0</v>
      </c>
      <c r="Z14" s="58">
        <f t="shared" si="14"/>
        <v>103</v>
      </c>
      <c r="AA14" s="58">
        <f t="shared" si="10"/>
        <v>103</v>
      </c>
      <c r="AB14" s="58">
        <f t="shared" si="14"/>
        <v>0</v>
      </c>
      <c r="AC14" s="58">
        <f t="shared" si="14"/>
        <v>0</v>
      </c>
      <c r="AD14" s="58">
        <f t="shared" si="11"/>
        <v>0</v>
      </c>
      <c r="AE14" s="58">
        <f>SUM(AE11:AE13)</f>
        <v>0</v>
      </c>
      <c r="AF14" s="58">
        <f>SUM(AF11:AF13)</f>
        <v>0</v>
      </c>
      <c r="AG14" s="576">
        <f t="shared" si="12"/>
        <v>0</v>
      </c>
    </row>
    <row r="15" spans="1:33" ht="12.75" customHeight="1" x14ac:dyDescent="0.3">
      <c r="A15" s="578" t="s">
        <v>49</v>
      </c>
      <c r="B15" s="1112" t="s">
        <v>48</v>
      </c>
      <c r="C15" s="1086"/>
      <c r="D15" s="905">
        <f t="shared" si="1"/>
        <v>0</v>
      </c>
      <c r="E15" s="90">
        <f t="shared" si="2"/>
        <v>0</v>
      </c>
      <c r="F15" s="652">
        <f t="shared" si="3"/>
        <v>0</v>
      </c>
      <c r="G15" s="31"/>
      <c r="H15" s="29"/>
      <c r="I15" s="58">
        <f t="shared" si="4"/>
        <v>0</v>
      </c>
      <c r="J15" s="29"/>
      <c r="K15" s="29"/>
      <c r="L15" s="58">
        <f t="shared" si="5"/>
        <v>0</v>
      </c>
      <c r="M15" s="29"/>
      <c r="N15" s="29"/>
      <c r="O15" s="58">
        <f t="shared" si="6"/>
        <v>0</v>
      </c>
      <c r="P15" s="29"/>
      <c r="Q15" s="29"/>
      <c r="R15" s="58">
        <f t="shared" si="7"/>
        <v>0</v>
      </c>
      <c r="S15" s="29"/>
      <c r="T15" s="29"/>
      <c r="U15" s="58">
        <f t="shared" si="8"/>
        <v>0</v>
      </c>
      <c r="V15" s="29"/>
      <c r="W15" s="29"/>
      <c r="X15" s="58">
        <f t="shared" si="9"/>
        <v>0</v>
      </c>
      <c r="Y15" s="29"/>
      <c r="Z15" s="29"/>
      <c r="AA15" s="58">
        <f t="shared" si="10"/>
        <v>0</v>
      </c>
      <c r="AB15" s="29"/>
      <c r="AC15" s="29"/>
      <c r="AD15" s="58">
        <f t="shared" si="11"/>
        <v>0</v>
      </c>
      <c r="AE15" s="29"/>
      <c r="AF15" s="29"/>
      <c r="AG15" s="576">
        <f t="shared" si="12"/>
        <v>0</v>
      </c>
    </row>
    <row r="16" spans="1:33" ht="12.75" customHeight="1" x14ac:dyDescent="0.3">
      <c r="A16" s="578" t="s">
        <v>51</v>
      </c>
      <c r="B16" s="1112" t="s">
        <v>50</v>
      </c>
      <c r="C16" s="1086"/>
      <c r="D16" s="905">
        <f t="shared" si="1"/>
        <v>0</v>
      </c>
      <c r="E16" s="90">
        <f t="shared" si="2"/>
        <v>0</v>
      </c>
      <c r="F16" s="652">
        <f t="shared" si="3"/>
        <v>0</v>
      </c>
      <c r="G16" s="31"/>
      <c r="H16" s="29"/>
      <c r="I16" s="58">
        <f t="shared" si="4"/>
        <v>0</v>
      </c>
      <c r="J16" s="29"/>
      <c r="K16" s="29"/>
      <c r="L16" s="58">
        <f t="shared" si="5"/>
        <v>0</v>
      </c>
      <c r="M16" s="29"/>
      <c r="N16" s="29"/>
      <c r="O16" s="58">
        <f t="shared" si="6"/>
        <v>0</v>
      </c>
      <c r="P16" s="29"/>
      <c r="Q16" s="29"/>
      <c r="R16" s="58">
        <f t="shared" si="7"/>
        <v>0</v>
      </c>
      <c r="S16" s="29"/>
      <c r="T16" s="29"/>
      <c r="U16" s="58">
        <f t="shared" si="8"/>
        <v>0</v>
      </c>
      <c r="V16" s="29"/>
      <c r="W16" s="29"/>
      <c r="X16" s="58">
        <f t="shared" si="9"/>
        <v>0</v>
      </c>
      <c r="Y16" s="29"/>
      <c r="Z16" s="29"/>
      <c r="AA16" s="58">
        <f t="shared" si="10"/>
        <v>0</v>
      </c>
      <c r="AB16" s="29"/>
      <c r="AC16" s="29"/>
      <c r="AD16" s="58">
        <f t="shared" si="11"/>
        <v>0</v>
      </c>
      <c r="AE16" s="29"/>
      <c r="AF16" s="29"/>
      <c r="AG16" s="576">
        <f t="shared" si="12"/>
        <v>0</v>
      </c>
    </row>
    <row r="17" spans="1:33" s="44" customFormat="1" ht="12.75" customHeight="1" x14ac:dyDescent="0.25">
      <c r="A17" s="575" t="s">
        <v>52</v>
      </c>
      <c r="B17" s="1111" t="s">
        <v>169</v>
      </c>
      <c r="C17" s="1084"/>
      <c r="D17" s="905">
        <f t="shared" si="1"/>
        <v>0</v>
      </c>
      <c r="E17" s="90">
        <f t="shared" si="2"/>
        <v>0</v>
      </c>
      <c r="F17" s="652">
        <f t="shared" si="3"/>
        <v>0</v>
      </c>
      <c r="G17" s="649">
        <f>+G15+G16</f>
        <v>0</v>
      </c>
      <c r="H17" s="58">
        <f t="shared" ref="H17:AC17" si="15">+H15+H16</f>
        <v>0</v>
      </c>
      <c r="I17" s="58">
        <f t="shared" si="4"/>
        <v>0</v>
      </c>
      <c r="J17" s="58">
        <f t="shared" si="15"/>
        <v>0</v>
      </c>
      <c r="K17" s="58">
        <f t="shared" si="15"/>
        <v>0</v>
      </c>
      <c r="L17" s="58">
        <f t="shared" si="5"/>
        <v>0</v>
      </c>
      <c r="M17" s="58">
        <f t="shared" si="15"/>
        <v>0</v>
      </c>
      <c r="N17" s="58">
        <f t="shared" si="15"/>
        <v>0</v>
      </c>
      <c r="O17" s="58">
        <f t="shared" si="6"/>
        <v>0</v>
      </c>
      <c r="P17" s="58">
        <f t="shared" si="15"/>
        <v>0</v>
      </c>
      <c r="Q17" s="58">
        <f t="shared" si="15"/>
        <v>0</v>
      </c>
      <c r="R17" s="58">
        <f t="shared" si="7"/>
        <v>0</v>
      </c>
      <c r="S17" s="58">
        <f t="shared" si="15"/>
        <v>0</v>
      </c>
      <c r="T17" s="58">
        <f t="shared" si="15"/>
        <v>0</v>
      </c>
      <c r="U17" s="58">
        <f t="shared" si="8"/>
        <v>0</v>
      </c>
      <c r="V17" s="58">
        <f t="shared" si="15"/>
        <v>0</v>
      </c>
      <c r="W17" s="58">
        <f t="shared" si="15"/>
        <v>0</v>
      </c>
      <c r="X17" s="58">
        <f t="shared" si="9"/>
        <v>0</v>
      </c>
      <c r="Y17" s="58">
        <f t="shared" si="15"/>
        <v>0</v>
      </c>
      <c r="Z17" s="58">
        <f t="shared" si="15"/>
        <v>0</v>
      </c>
      <c r="AA17" s="58">
        <f t="shared" si="10"/>
        <v>0</v>
      </c>
      <c r="AB17" s="58">
        <f t="shared" si="15"/>
        <v>0</v>
      </c>
      <c r="AC17" s="58">
        <f t="shared" si="15"/>
        <v>0</v>
      </c>
      <c r="AD17" s="58">
        <f t="shared" si="11"/>
        <v>0</v>
      </c>
      <c r="AE17" s="58">
        <f>+AE15+AE16</f>
        <v>0</v>
      </c>
      <c r="AF17" s="58">
        <f>+AF15+AF16</f>
        <v>0</v>
      </c>
      <c r="AG17" s="576">
        <f t="shared" si="12"/>
        <v>0</v>
      </c>
    </row>
    <row r="18" spans="1:33" ht="12.75" customHeight="1" x14ac:dyDescent="0.3">
      <c r="A18" s="578" t="s">
        <v>54</v>
      </c>
      <c r="B18" s="1112" t="s">
        <v>53</v>
      </c>
      <c r="C18" s="1086"/>
      <c r="D18" s="905">
        <f t="shared" si="1"/>
        <v>0</v>
      </c>
      <c r="E18" s="90">
        <f t="shared" si="2"/>
        <v>0</v>
      </c>
      <c r="F18" s="652">
        <f t="shared" si="3"/>
        <v>0</v>
      </c>
      <c r="G18" s="31"/>
      <c r="H18" s="29"/>
      <c r="I18" s="58">
        <f t="shared" si="4"/>
        <v>0</v>
      </c>
      <c r="J18" s="29"/>
      <c r="K18" s="29"/>
      <c r="L18" s="58">
        <f t="shared" si="5"/>
        <v>0</v>
      </c>
      <c r="M18" s="29"/>
      <c r="N18" s="29"/>
      <c r="O18" s="58">
        <f t="shared" si="6"/>
        <v>0</v>
      </c>
      <c r="P18" s="29"/>
      <c r="Q18" s="29"/>
      <c r="R18" s="58">
        <f t="shared" si="7"/>
        <v>0</v>
      </c>
      <c r="S18" s="29"/>
      <c r="T18" s="29"/>
      <c r="U18" s="58">
        <f t="shared" si="8"/>
        <v>0</v>
      </c>
      <c r="V18" s="29"/>
      <c r="W18" s="29"/>
      <c r="X18" s="58">
        <f t="shared" si="9"/>
        <v>0</v>
      </c>
      <c r="Y18" s="29"/>
      <c r="Z18" s="29"/>
      <c r="AA18" s="58">
        <f t="shared" si="10"/>
        <v>0</v>
      </c>
      <c r="AB18" s="29"/>
      <c r="AC18" s="29"/>
      <c r="AD18" s="58">
        <f t="shared" si="11"/>
        <v>0</v>
      </c>
      <c r="AE18" s="29"/>
      <c r="AF18" s="29"/>
      <c r="AG18" s="576">
        <f t="shared" si="12"/>
        <v>0</v>
      </c>
    </row>
    <row r="19" spans="1:33" ht="12.75" customHeight="1" x14ac:dyDescent="0.3">
      <c r="A19" s="578" t="s">
        <v>56</v>
      </c>
      <c r="B19" s="1112" t="s">
        <v>55</v>
      </c>
      <c r="C19" s="1086"/>
      <c r="D19" s="905">
        <f t="shared" si="1"/>
        <v>0</v>
      </c>
      <c r="E19" s="90">
        <f t="shared" si="2"/>
        <v>0</v>
      </c>
      <c r="F19" s="652">
        <f t="shared" si="3"/>
        <v>0</v>
      </c>
      <c r="G19" s="31"/>
      <c r="H19" s="29"/>
      <c r="I19" s="58">
        <f t="shared" si="4"/>
        <v>0</v>
      </c>
      <c r="J19" s="29"/>
      <c r="K19" s="29"/>
      <c r="L19" s="58">
        <f t="shared" si="5"/>
        <v>0</v>
      </c>
      <c r="M19" s="29"/>
      <c r="N19" s="29"/>
      <c r="O19" s="58">
        <f t="shared" si="6"/>
        <v>0</v>
      </c>
      <c r="P19" s="29"/>
      <c r="Q19" s="29"/>
      <c r="R19" s="58">
        <f t="shared" si="7"/>
        <v>0</v>
      </c>
      <c r="S19" s="29"/>
      <c r="T19" s="29"/>
      <c r="U19" s="58">
        <f t="shared" si="8"/>
        <v>0</v>
      </c>
      <c r="V19" s="29"/>
      <c r="W19" s="29"/>
      <c r="X19" s="58">
        <f t="shared" si="9"/>
        <v>0</v>
      </c>
      <c r="Y19" s="29"/>
      <c r="Z19" s="29"/>
      <c r="AA19" s="58">
        <f t="shared" si="10"/>
        <v>0</v>
      </c>
      <c r="AB19" s="29"/>
      <c r="AC19" s="29"/>
      <c r="AD19" s="58">
        <f t="shared" si="11"/>
        <v>0</v>
      </c>
      <c r="AE19" s="29"/>
      <c r="AF19" s="29"/>
      <c r="AG19" s="576">
        <f t="shared" si="12"/>
        <v>0</v>
      </c>
    </row>
    <row r="20" spans="1:33" ht="12.75" customHeight="1" x14ac:dyDescent="0.3">
      <c r="A20" s="578" t="s">
        <v>57</v>
      </c>
      <c r="B20" s="1112" t="s">
        <v>167</v>
      </c>
      <c r="C20" s="1086"/>
      <c r="D20" s="905">
        <f t="shared" si="1"/>
        <v>0</v>
      </c>
      <c r="E20" s="90">
        <f t="shared" si="2"/>
        <v>0</v>
      </c>
      <c r="F20" s="652">
        <f t="shared" si="3"/>
        <v>0</v>
      </c>
      <c r="G20" s="31"/>
      <c r="H20" s="29"/>
      <c r="I20" s="58">
        <f t="shared" si="4"/>
        <v>0</v>
      </c>
      <c r="J20" s="29"/>
      <c r="K20" s="29"/>
      <c r="L20" s="58">
        <f t="shared" si="5"/>
        <v>0</v>
      </c>
      <c r="M20" s="29"/>
      <c r="N20" s="29"/>
      <c r="O20" s="58">
        <f t="shared" si="6"/>
        <v>0</v>
      </c>
      <c r="P20" s="29"/>
      <c r="Q20" s="29"/>
      <c r="R20" s="58">
        <f t="shared" si="7"/>
        <v>0</v>
      </c>
      <c r="S20" s="29"/>
      <c r="T20" s="29"/>
      <c r="U20" s="58">
        <f t="shared" si="8"/>
        <v>0</v>
      </c>
      <c r="V20" s="29"/>
      <c r="W20" s="29"/>
      <c r="X20" s="58">
        <f t="shared" si="9"/>
        <v>0</v>
      </c>
      <c r="Y20" s="29"/>
      <c r="Z20" s="29"/>
      <c r="AA20" s="58">
        <f t="shared" si="10"/>
        <v>0</v>
      </c>
      <c r="AB20" s="29"/>
      <c r="AC20" s="29"/>
      <c r="AD20" s="58">
        <f t="shared" si="11"/>
        <v>0</v>
      </c>
      <c r="AE20" s="29"/>
      <c r="AF20" s="29"/>
      <c r="AG20" s="576">
        <f t="shared" si="12"/>
        <v>0</v>
      </c>
    </row>
    <row r="21" spans="1:33" ht="12.75" customHeight="1" x14ac:dyDescent="0.3">
      <c r="A21" s="578" t="s">
        <v>59</v>
      </c>
      <c r="B21" s="1112" t="s">
        <v>58</v>
      </c>
      <c r="C21" s="1086"/>
      <c r="D21" s="905">
        <f t="shared" si="1"/>
        <v>0</v>
      </c>
      <c r="E21" s="90">
        <f t="shared" si="2"/>
        <v>0</v>
      </c>
      <c r="F21" s="652">
        <f t="shared" si="3"/>
        <v>0</v>
      </c>
      <c r="G21" s="31"/>
      <c r="H21" s="29"/>
      <c r="I21" s="58">
        <f t="shared" si="4"/>
        <v>0</v>
      </c>
      <c r="J21" s="29"/>
      <c r="K21" s="29"/>
      <c r="L21" s="58">
        <f t="shared" si="5"/>
        <v>0</v>
      </c>
      <c r="M21" s="29"/>
      <c r="N21" s="29"/>
      <c r="O21" s="58">
        <f t="shared" si="6"/>
        <v>0</v>
      </c>
      <c r="P21" s="29"/>
      <c r="Q21" s="29"/>
      <c r="R21" s="58">
        <f t="shared" si="7"/>
        <v>0</v>
      </c>
      <c r="S21" s="29"/>
      <c r="T21" s="29"/>
      <c r="U21" s="58">
        <f t="shared" si="8"/>
        <v>0</v>
      </c>
      <c r="V21" s="29"/>
      <c r="W21" s="29"/>
      <c r="X21" s="58">
        <f t="shared" si="9"/>
        <v>0</v>
      </c>
      <c r="Y21" s="29"/>
      <c r="Z21" s="29"/>
      <c r="AA21" s="58">
        <f t="shared" si="10"/>
        <v>0</v>
      </c>
      <c r="AB21" s="29"/>
      <c r="AC21" s="29"/>
      <c r="AD21" s="58">
        <f t="shared" si="11"/>
        <v>0</v>
      </c>
      <c r="AE21" s="29"/>
      <c r="AF21" s="29"/>
      <c r="AG21" s="576">
        <f t="shared" si="12"/>
        <v>0</v>
      </c>
    </row>
    <row r="22" spans="1:33" ht="12.75" customHeight="1" x14ac:dyDescent="0.3">
      <c r="A22" s="578" t="s">
        <v>60</v>
      </c>
      <c r="B22" s="1112" t="s">
        <v>166</v>
      </c>
      <c r="C22" s="1086"/>
      <c r="D22" s="905">
        <f t="shared" si="1"/>
        <v>0</v>
      </c>
      <c r="E22" s="90">
        <f t="shared" si="2"/>
        <v>0</v>
      </c>
      <c r="F22" s="652">
        <f t="shared" si="3"/>
        <v>0</v>
      </c>
      <c r="G22" s="31"/>
      <c r="H22" s="29"/>
      <c r="I22" s="58">
        <f t="shared" si="4"/>
        <v>0</v>
      </c>
      <c r="J22" s="29"/>
      <c r="K22" s="29"/>
      <c r="L22" s="58">
        <f t="shared" si="5"/>
        <v>0</v>
      </c>
      <c r="M22" s="29"/>
      <c r="N22" s="29"/>
      <c r="O22" s="58">
        <f t="shared" si="6"/>
        <v>0</v>
      </c>
      <c r="P22" s="29"/>
      <c r="Q22" s="29"/>
      <c r="R22" s="58">
        <f t="shared" si="7"/>
        <v>0</v>
      </c>
      <c r="S22" s="29"/>
      <c r="T22" s="29"/>
      <c r="U22" s="58">
        <f t="shared" si="8"/>
        <v>0</v>
      </c>
      <c r="V22" s="29"/>
      <c r="W22" s="29"/>
      <c r="X22" s="58">
        <f t="shared" si="9"/>
        <v>0</v>
      </c>
      <c r="Y22" s="29"/>
      <c r="Z22" s="29"/>
      <c r="AA22" s="58">
        <f t="shared" si="10"/>
        <v>0</v>
      </c>
      <c r="AB22" s="29"/>
      <c r="AC22" s="29"/>
      <c r="AD22" s="58">
        <f t="shared" si="11"/>
        <v>0</v>
      </c>
      <c r="AE22" s="29"/>
      <c r="AF22" s="29"/>
      <c r="AG22" s="576">
        <f t="shared" si="12"/>
        <v>0</v>
      </c>
    </row>
    <row r="23" spans="1:33" ht="12.75" customHeight="1" x14ac:dyDescent="0.3">
      <c r="A23" s="578" t="s">
        <v>63</v>
      </c>
      <c r="B23" s="1112" t="s">
        <v>62</v>
      </c>
      <c r="C23" s="1086"/>
      <c r="D23" s="905">
        <f t="shared" si="1"/>
        <v>4895</v>
      </c>
      <c r="E23" s="90">
        <f t="shared" si="2"/>
        <v>16</v>
      </c>
      <c r="F23" s="652">
        <f t="shared" si="3"/>
        <v>4911</v>
      </c>
      <c r="G23" s="31">
        <v>2658</v>
      </c>
      <c r="H23" s="29"/>
      <c r="I23" s="58">
        <f t="shared" si="4"/>
        <v>2658</v>
      </c>
      <c r="J23" s="29"/>
      <c r="K23" s="29"/>
      <c r="L23" s="58">
        <f t="shared" si="5"/>
        <v>0</v>
      </c>
      <c r="M23" s="29">
        <f>1300-490</f>
        <v>810</v>
      </c>
      <c r="N23" s="29"/>
      <c r="O23" s="58">
        <f t="shared" si="6"/>
        <v>810</v>
      </c>
      <c r="P23" s="29"/>
      <c r="Q23" s="29"/>
      <c r="R23" s="58">
        <f t="shared" si="7"/>
        <v>0</v>
      </c>
      <c r="S23" s="29"/>
      <c r="T23" s="29"/>
      <c r="U23" s="58">
        <f t="shared" si="8"/>
        <v>0</v>
      </c>
      <c r="V23" s="29">
        <f>1330+138-41</f>
        <v>1427</v>
      </c>
      <c r="W23" s="29">
        <v>-1384</v>
      </c>
      <c r="X23" s="58">
        <f t="shared" si="9"/>
        <v>43</v>
      </c>
      <c r="Y23" s="29"/>
      <c r="Z23" s="29">
        <v>1400</v>
      </c>
      <c r="AA23" s="58">
        <f t="shared" si="10"/>
        <v>1400</v>
      </c>
      <c r="AB23" s="29"/>
      <c r="AC23" s="29"/>
      <c r="AD23" s="58">
        <f t="shared" si="11"/>
        <v>0</v>
      </c>
      <c r="AE23" s="29"/>
      <c r="AF23" s="29"/>
      <c r="AG23" s="576">
        <f t="shared" si="12"/>
        <v>0</v>
      </c>
    </row>
    <row r="24" spans="1:33" ht="12.75" customHeight="1" x14ac:dyDescent="0.3">
      <c r="A24" s="578" t="s">
        <v>65</v>
      </c>
      <c r="B24" s="1112" t="s">
        <v>64</v>
      </c>
      <c r="C24" s="1086"/>
      <c r="D24" s="905">
        <f t="shared" si="1"/>
        <v>800</v>
      </c>
      <c r="E24" s="90">
        <f t="shared" si="2"/>
        <v>64767</v>
      </c>
      <c r="F24" s="652">
        <f t="shared" si="3"/>
        <v>65567</v>
      </c>
      <c r="G24" s="31">
        <v>800</v>
      </c>
      <c r="H24" s="29"/>
      <c r="I24" s="58">
        <f t="shared" si="4"/>
        <v>800</v>
      </c>
      <c r="J24" s="29"/>
      <c r="K24" s="29"/>
      <c r="L24" s="58">
        <f t="shared" si="5"/>
        <v>0</v>
      </c>
      <c r="M24" s="29"/>
      <c r="N24" s="29"/>
      <c r="O24" s="58">
        <f t="shared" si="6"/>
        <v>0</v>
      </c>
      <c r="P24" s="29"/>
      <c r="Q24" s="29"/>
      <c r="R24" s="58">
        <f t="shared" si="7"/>
        <v>0</v>
      </c>
      <c r="S24" s="29"/>
      <c r="T24" s="29"/>
      <c r="U24" s="58">
        <f t="shared" si="8"/>
        <v>0</v>
      </c>
      <c r="V24" s="29"/>
      <c r="W24" s="29">
        <v>1115</v>
      </c>
      <c r="X24" s="58">
        <f t="shared" si="9"/>
        <v>1115</v>
      </c>
      <c r="Y24" s="29"/>
      <c r="Z24" s="29">
        <v>63652</v>
      </c>
      <c r="AA24" s="58">
        <f t="shared" si="10"/>
        <v>63652</v>
      </c>
      <c r="AB24" s="29"/>
      <c r="AC24" s="29"/>
      <c r="AD24" s="58">
        <f t="shared" si="11"/>
        <v>0</v>
      </c>
      <c r="AE24" s="29"/>
      <c r="AF24" s="29"/>
      <c r="AG24" s="576">
        <f t="shared" si="12"/>
        <v>0</v>
      </c>
    </row>
    <row r="25" spans="1:33" s="44" customFormat="1" ht="12.75" customHeight="1" x14ac:dyDescent="0.25">
      <c r="A25" s="575" t="s">
        <v>66</v>
      </c>
      <c r="B25" s="1111" t="s">
        <v>156</v>
      </c>
      <c r="C25" s="1084"/>
      <c r="D25" s="905">
        <f t="shared" si="1"/>
        <v>5695</v>
      </c>
      <c r="E25" s="90">
        <f t="shared" si="2"/>
        <v>64783</v>
      </c>
      <c r="F25" s="652">
        <f t="shared" si="3"/>
        <v>70478</v>
      </c>
      <c r="G25" s="649">
        <f t="shared" ref="G25:AF25" si="16">+G24+G23+G22+G21+G20+G19+G18</f>
        <v>3458</v>
      </c>
      <c r="H25" s="58">
        <f t="shared" si="16"/>
        <v>0</v>
      </c>
      <c r="I25" s="58">
        <f t="shared" si="4"/>
        <v>3458</v>
      </c>
      <c r="J25" s="58">
        <f t="shared" si="16"/>
        <v>0</v>
      </c>
      <c r="K25" s="58">
        <f t="shared" si="16"/>
        <v>0</v>
      </c>
      <c r="L25" s="58">
        <f t="shared" si="5"/>
        <v>0</v>
      </c>
      <c r="M25" s="58">
        <f t="shared" si="16"/>
        <v>810</v>
      </c>
      <c r="N25" s="58">
        <f t="shared" si="16"/>
        <v>0</v>
      </c>
      <c r="O25" s="58">
        <f t="shared" si="6"/>
        <v>810</v>
      </c>
      <c r="P25" s="58">
        <f t="shared" si="16"/>
        <v>0</v>
      </c>
      <c r="Q25" s="58">
        <f t="shared" si="16"/>
        <v>0</v>
      </c>
      <c r="R25" s="58">
        <f t="shared" si="7"/>
        <v>0</v>
      </c>
      <c r="S25" s="58">
        <f t="shared" si="16"/>
        <v>0</v>
      </c>
      <c r="T25" s="58">
        <f t="shared" si="16"/>
        <v>0</v>
      </c>
      <c r="U25" s="58">
        <f t="shared" si="8"/>
        <v>0</v>
      </c>
      <c r="V25" s="58">
        <f t="shared" si="16"/>
        <v>1427</v>
      </c>
      <c r="W25" s="58">
        <f t="shared" si="16"/>
        <v>-269</v>
      </c>
      <c r="X25" s="58">
        <f t="shared" si="9"/>
        <v>1158</v>
      </c>
      <c r="Y25" s="58">
        <f t="shared" si="16"/>
        <v>0</v>
      </c>
      <c r="Z25" s="58">
        <f t="shared" si="16"/>
        <v>65052</v>
      </c>
      <c r="AA25" s="58">
        <f t="shared" si="10"/>
        <v>65052</v>
      </c>
      <c r="AB25" s="58">
        <f t="shared" si="16"/>
        <v>0</v>
      </c>
      <c r="AC25" s="58">
        <f t="shared" si="16"/>
        <v>0</v>
      </c>
      <c r="AD25" s="58">
        <f t="shared" si="11"/>
        <v>0</v>
      </c>
      <c r="AE25" s="58">
        <f t="shared" si="16"/>
        <v>0</v>
      </c>
      <c r="AF25" s="58">
        <f t="shared" si="16"/>
        <v>0</v>
      </c>
      <c r="AG25" s="576">
        <f t="shared" si="12"/>
        <v>0</v>
      </c>
    </row>
    <row r="26" spans="1:33" ht="12.75" customHeight="1" x14ac:dyDescent="0.3">
      <c r="A26" s="578" t="s">
        <v>68</v>
      </c>
      <c r="B26" s="1112" t="s">
        <v>67</v>
      </c>
      <c r="C26" s="1086"/>
      <c r="D26" s="905">
        <f t="shared" si="1"/>
        <v>0</v>
      </c>
      <c r="E26" s="90">
        <f t="shared" si="2"/>
        <v>110</v>
      </c>
      <c r="F26" s="652">
        <f t="shared" si="3"/>
        <v>110</v>
      </c>
      <c r="G26" s="31"/>
      <c r="H26" s="29"/>
      <c r="I26" s="58">
        <f t="shared" si="4"/>
        <v>0</v>
      </c>
      <c r="J26" s="29"/>
      <c r="K26" s="29"/>
      <c r="L26" s="58">
        <f t="shared" si="5"/>
        <v>0</v>
      </c>
      <c r="M26" s="29"/>
      <c r="N26" s="29"/>
      <c r="O26" s="58">
        <f t="shared" si="6"/>
        <v>0</v>
      </c>
      <c r="P26" s="29"/>
      <c r="Q26" s="29"/>
      <c r="R26" s="58">
        <f t="shared" si="7"/>
        <v>0</v>
      </c>
      <c r="S26" s="29"/>
      <c r="T26" s="29"/>
      <c r="U26" s="58">
        <f t="shared" si="8"/>
        <v>0</v>
      </c>
      <c r="V26" s="29"/>
      <c r="W26" s="29">
        <v>110</v>
      </c>
      <c r="X26" s="58">
        <f t="shared" si="9"/>
        <v>110</v>
      </c>
      <c r="Y26" s="29"/>
      <c r="Z26" s="29"/>
      <c r="AA26" s="58">
        <f t="shared" si="10"/>
        <v>0</v>
      </c>
      <c r="AB26" s="29"/>
      <c r="AC26" s="29"/>
      <c r="AD26" s="58">
        <f t="shared" si="11"/>
        <v>0</v>
      </c>
      <c r="AE26" s="29"/>
      <c r="AF26" s="29"/>
      <c r="AG26" s="576">
        <f t="shared" si="12"/>
        <v>0</v>
      </c>
    </row>
    <row r="27" spans="1:33" ht="12.75" customHeight="1" x14ac:dyDescent="0.3">
      <c r="A27" s="578" t="s">
        <v>70</v>
      </c>
      <c r="B27" s="1112" t="s">
        <v>69</v>
      </c>
      <c r="C27" s="1086"/>
      <c r="D27" s="905">
        <f t="shared" si="1"/>
        <v>517</v>
      </c>
      <c r="E27" s="90">
        <f t="shared" si="2"/>
        <v>-20</v>
      </c>
      <c r="F27" s="652">
        <f t="shared" si="3"/>
        <v>497</v>
      </c>
      <c r="G27" s="31">
        <v>390</v>
      </c>
      <c r="H27" s="29"/>
      <c r="I27" s="58">
        <f t="shared" si="4"/>
        <v>390</v>
      </c>
      <c r="J27" s="29"/>
      <c r="K27" s="29"/>
      <c r="L27" s="58">
        <f t="shared" si="5"/>
        <v>0</v>
      </c>
      <c r="M27" s="29">
        <v>100</v>
      </c>
      <c r="N27" s="29"/>
      <c r="O27" s="58">
        <f t="shared" si="6"/>
        <v>100</v>
      </c>
      <c r="P27" s="29"/>
      <c r="Q27" s="29"/>
      <c r="R27" s="58">
        <f t="shared" si="7"/>
        <v>0</v>
      </c>
      <c r="S27" s="29"/>
      <c r="T27" s="29"/>
      <c r="U27" s="58">
        <f t="shared" si="8"/>
        <v>0</v>
      </c>
      <c r="V27" s="29">
        <v>27</v>
      </c>
      <c r="W27" s="29">
        <v>-20</v>
      </c>
      <c r="X27" s="58">
        <f t="shared" si="9"/>
        <v>7</v>
      </c>
      <c r="Y27" s="29"/>
      <c r="Z27" s="29"/>
      <c r="AA27" s="58">
        <f t="shared" si="10"/>
        <v>0</v>
      </c>
      <c r="AB27" s="29"/>
      <c r="AC27" s="29"/>
      <c r="AD27" s="58">
        <f t="shared" si="11"/>
        <v>0</v>
      </c>
      <c r="AE27" s="29"/>
      <c r="AF27" s="29"/>
      <c r="AG27" s="576">
        <f t="shared" si="12"/>
        <v>0</v>
      </c>
    </row>
    <row r="28" spans="1:33" s="44" customFormat="1" ht="12.75" customHeight="1" x14ac:dyDescent="0.25">
      <c r="A28" s="575" t="s">
        <v>71</v>
      </c>
      <c r="B28" s="1111" t="s">
        <v>155</v>
      </c>
      <c r="C28" s="1084"/>
      <c r="D28" s="905">
        <f t="shared" si="1"/>
        <v>517</v>
      </c>
      <c r="E28" s="90">
        <f t="shared" si="2"/>
        <v>90</v>
      </c>
      <c r="F28" s="652">
        <f t="shared" si="3"/>
        <v>607</v>
      </c>
      <c r="G28" s="649">
        <f>SUM(G26:G27)</f>
        <v>390</v>
      </c>
      <c r="H28" s="58">
        <f t="shared" ref="H28:AC28" si="17">SUM(H26:H27)</f>
        <v>0</v>
      </c>
      <c r="I28" s="58">
        <f t="shared" si="4"/>
        <v>390</v>
      </c>
      <c r="J28" s="58">
        <f t="shared" si="17"/>
        <v>0</v>
      </c>
      <c r="K28" s="58">
        <f t="shared" si="17"/>
        <v>0</v>
      </c>
      <c r="L28" s="58">
        <f t="shared" si="5"/>
        <v>0</v>
      </c>
      <c r="M28" s="58">
        <f t="shared" si="17"/>
        <v>100</v>
      </c>
      <c r="N28" s="58">
        <f t="shared" si="17"/>
        <v>0</v>
      </c>
      <c r="O28" s="58">
        <f t="shared" si="6"/>
        <v>100</v>
      </c>
      <c r="P28" s="58">
        <f t="shared" si="17"/>
        <v>0</v>
      </c>
      <c r="Q28" s="58">
        <f t="shared" si="17"/>
        <v>0</v>
      </c>
      <c r="R28" s="58">
        <f t="shared" si="7"/>
        <v>0</v>
      </c>
      <c r="S28" s="58">
        <f t="shared" si="17"/>
        <v>0</v>
      </c>
      <c r="T28" s="58">
        <f t="shared" si="17"/>
        <v>0</v>
      </c>
      <c r="U28" s="58">
        <f t="shared" si="8"/>
        <v>0</v>
      </c>
      <c r="V28" s="58">
        <f t="shared" si="17"/>
        <v>27</v>
      </c>
      <c r="W28" s="58">
        <f t="shared" si="17"/>
        <v>90</v>
      </c>
      <c r="X28" s="58">
        <f t="shared" si="9"/>
        <v>117</v>
      </c>
      <c r="Y28" s="58">
        <f t="shared" si="17"/>
        <v>0</v>
      </c>
      <c r="Z28" s="58">
        <f t="shared" si="17"/>
        <v>0</v>
      </c>
      <c r="AA28" s="58">
        <f t="shared" si="10"/>
        <v>0</v>
      </c>
      <c r="AB28" s="58">
        <f t="shared" si="17"/>
        <v>0</v>
      </c>
      <c r="AC28" s="58">
        <f t="shared" si="17"/>
        <v>0</v>
      </c>
      <c r="AD28" s="58">
        <f t="shared" si="11"/>
        <v>0</v>
      </c>
      <c r="AE28" s="58">
        <f>SUM(AE26:AE27)</f>
        <v>0</v>
      </c>
      <c r="AF28" s="58">
        <f>SUM(AF26:AF27)</f>
        <v>0</v>
      </c>
      <c r="AG28" s="576">
        <f t="shared" si="12"/>
        <v>0</v>
      </c>
    </row>
    <row r="29" spans="1:33" ht="12.75" customHeight="1" x14ac:dyDescent="0.3">
      <c r="A29" s="578" t="s">
        <v>73</v>
      </c>
      <c r="B29" s="1112" t="s">
        <v>72</v>
      </c>
      <c r="C29" s="1086"/>
      <c r="D29" s="905">
        <f t="shared" si="1"/>
        <v>2920</v>
      </c>
      <c r="E29" s="90">
        <f t="shared" si="2"/>
        <v>305</v>
      </c>
      <c r="F29" s="652">
        <f t="shared" si="3"/>
        <v>3225</v>
      </c>
      <c r="G29" s="31">
        <f>105+216+718+851</f>
        <v>1890</v>
      </c>
      <c r="H29" s="29"/>
      <c r="I29" s="58">
        <f t="shared" si="4"/>
        <v>1890</v>
      </c>
      <c r="J29" s="29">
        <v>213</v>
      </c>
      <c r="K29" s="29"/>
      <c r="L29" s="58">
        <f t="shared" si="5"/>
        <v>213</v>
      </c>
      <c r="M29" s="29">
        <f>545-132</f>
        <v>413</v>
      </c>
      <c r="N29" s="29"/>
      <c r="O29" s="58">
        <f t="shared" si="6"/>
        <v>413</v>
      </c>
      <c r="P29" s="29"/>
      <c r="Q29" s="29"/>
      <c r="R29" s="58">
        <f t="shared" si="7"/>
        <v>0</v>
      </c>
      <c r="S29" s="29"/>
      <c r="T29" s="29"/>
      <c r="U29" s="58">
        <f t="shared" si="8"/>
        <v>0</v>
      </c>
      <c r="V29" s="29">
        <v>404</v>
      </c>
      <c r="W29" s="29">
        <v>-101</v>
      </c>
      <c r="X29" s="58">
        <f t="shared" si="9"/>
        <v>303</v>
      </c>
      <c r="Y29" s="29"/>
      <c r="Z29" s="29">
        <v>406</v>
      </c>
      <c r="AA29" s="58">
        <f t="shared" si="10"/>
        <v>406</v>
      </c>
      <c r="AB29" s="29"/>
      <c r="AC29" s="29"/>
      <c r="AD29" s="58">
        <f t="shared" si="11"/>
        <v>0</v>
      </c>
      <c r="AE29" s="29"/>
      <c r="AF29" s="29"/>
      <c r="AG29" s="576">
        <f t="shared" si="12"/>
        <v>0</v>
      </c>
    </row>
    <row r="30" spans="1:33" ht="12.75" customHeight="1" x14ac:dyDescent="0.3">
      <c r="A30" s="578" t="s">
        <v>75</v>
      </c>
      <c r="B30" s="1112" t="s">
        <v>74</v>
      </c>
      <c r="C30" s="1086"/>
      <c r="D30" s="905">
        <f t="shared" si="1"/>
        <v>189540</v>
      </c>
      <c r="E30" s="90">
        <f t="shared" si="2"/>
        <v>0</v>
      </c>
      <c r="F30" s="652">
        <f t="shared" si="3"/>
        <v>189540</v>
      </c>
      <c r="G30" s="31">
        <v>16000</v>
      </c>
      <c r="H30" s="29"/>
      <c r="I30" s="58">
        <f t="shared" si="4"/>
        <v>16000</v>
      </c>
      <c r="J30" s="29">
        <v>19132</v>
      </c>
      <c r="K30" s="29"/>
      <c r="L30" s="58">
        <f t="shared" si="5"/>
        <v>19132</v>
      </c>
      <c r="M30" s="29"/>
      <c r="N30" s="29"/>
      <c r="O30" s="58">
        <f t="shared" si="6"/>
        <v>0</v>
      </c>
      <c r="P30" s="29"/>
      <c r="Q30" s="29"/>
      <c r="R30" s="58">
        <f t="shared" si="7"/>
        <v>0</v>
      </c>
      <c r="S30" s="29"/>
      <c r="T30" s="29"/>
      <c r="U30" s="58">
        <f t="shared" si="8"/>
        <v>0</v>
      </c>
      <c r="V30" s="29"/>
      <c r="W30" s="29"/>
      <c r="X30" s="58">
        <f t="shared" si="9"/>
        <v>0</v>
      </c>
      <c r="Y30" s="29"/>
      <c r="Z30" s="29"/>
      <c r="AA30" s="58">
        <f t="shared" si="10"/>
        <v>0</v>
      </c>
      <c r="AB30" s="29">
        <v>121992</v>
      </c>
      <c r="AC30" s="29"/>
      <c r="AD30" s="58">
        <f t="shared" si="11"/>
        <v>121992</v>
      </c>
      <c r="AE30" s="29">
        <v>32416</v>
      </c>
      <c r="AF30" s="29"/>
      <c r="AG30" s="576">
        <f t="shared" si="12"/>
        <v>32416</v>
      </c>
    </row>
    <row r="31" spans="1:33" ht="12.75" customHeight="1" x14ac:dyDescent="0.3">
      <c r="A31" s="578" t="s">
        <v>76</v>
      </c>
      <c r="B31" s="1112" t="s">
        <v>154</v>
      </c>
      <c r="C31" s="1086"/>
      <c r="D31" s="905">
        <f t="shared" si="1"/>
        <v>0</v>
      </c>
      <c r="E31" s="90">
        <f t="shared" si="2"/>
        <v>0</v>
      </c>
      <c r="F31" s="652">
        <f t="shared" si="3"/>
        <v>0</v>
      </c>
      <c r="G31" s="31"/>
      <c r="H31" s="29"/>
      <c r="I31" s="58">
        <f t="shared" si="4"/>
        <v>0</v>
      </c>
      <c r="J31" s="29"/>
      <c r="K31" s="29"/>
      <c r="L31" s="58">
        <f t="shared" si="5"/>
        <v>0</v>
      </c>
      <c r="M31" s="29"/>
      <c r="N31" s="29"/>
      <c r="O31" s="58">
        <f t="shared" si="6"/>
        <v>0</v>
      </c>
      <c r="P31" s="29"/>
      <c r="Q31" s="29"/>
      <c r="R31" s="58">
        <f t="shared" si="7"/>
        <v>0</v>
      </c>
      <c r="S31" s="29"/>
      <c r="T31" s="29"/>
      <c r="U31" s="58">
        <f t="shared" si="8"/>
        <v>0</v>
      </c>
      <c r="V31" s="29"/>
      <c r="W31" s="29"/>
      <c r="X31" s="58">
        <f t="shared" si="9"/>
        <v>0</v>
      </c>
      <c r="Y31" s="29"/>
      <c r="Z31" s="29"/>
      <c r="AA31" s="58">
        <f t="shared" si="10"/>
        <v>0</v>
      </c>
      <c r="AB31" s="29"/>
      <c r="AC31" s="29"/>
      <c r="AD31" s="58">
        <f t="shared" si="11"/>
        <v>0</v>
      </c>
      <c r="AE31" s="29"/>
      <c r="AF31" s="29"/>
      <c r="AG31" s="576">
        <f t="shared" si="12"/>
        <v>0</v>
      </c>
    </row>
    <row r="32" spans="1:33" ht="12.75" customHeight="1" x14ac:dyDescent="0.3">
      <c r="A32" s="578" t="s">
        <v>77</v>
      </c>
      <c r="B32" s="1112" t="s">
        <v>153</v>
      </c>
      <c r="C32" s="1086"/>
      <c r="D32" s="905">
        <f t="shared" si="1"/>
        <v>0</v>
      </c>
      <c r="E32" s="90">
        <f t="shared" si="2"/>
        <v>0</v>
      </c>
      <c r="F32" s="652">
        <f t="shared" si="3"/>
        <v>0</v>
      </c>
      <c r="G32" s="31"/>
      <c r="H32" s="29"/>
      <c r="I32" s="58">
        <f t="shared" si="4"/>
        <v>0</v>
      </c>
      <c r="J32" s="29"/>
      <c r="K32" s="29"/>
      <c r="L32" s="58">
        <f t="shared" si="5"/>
        <v>0</v>
      </c>
      <c r="M32" s="29"/>
      <c r="N32" s="29"/>
      <c r="O32" s="58">
        <f t="shared" si="6"/>
        <v>0</v>
      </c>
      <c r="P32" s="29"/>
      <c r="Q32" s="29"/>
      <c r="R32" s="58">
        <f t="shared" si="7"/>
        <v>0</v>
      </c>
      <c r="S32" s="29"/>
      <c r="T32" s="29"/>
      <c r="U32" s="58">
        <f t="shared" si="8"/>
        <v>0</v>
      </c>
      <c r="V32" s="29"/>
      <c r="W32" s="29"/>
      <c r="X32" s="58">
        <f t="shared" si="9"/>
        <v>0</v>
      </c>
      <c r="Y32" s="29"/>
      <c r="Z32" s="29"/>
      <c r="AA32" s="58">
        <f t="shared" si="10"/>
        <v>0</v>
      </c>
      <c r="AB32" s="29"/>
      <c r="AC32" s="29"/>
      <c r="AD32" s="58">
        <f t="shared" si="11"/>
        <v>0</v>
      </c>
      <c r="AE32" s="29"/>
      <c r="AF32" s="29"/>
      <c r="AG32" s="576">
        <f t="shared" si="12"/>
        <v>0</v>
      </c>
    </row>
    <row r="33" spans="1:33" ht="12.75" customHeight="1" x14ac:dyDescent="0.3">
      <c r="A33" s="578" t="s">
        <v>79</v>
      </c>
      <c r="B33" s="1112" t="s">
        <v>78</v>
      </c>
      <c r="C33" s="1086"/>
      <c r="D33" s="905">
        <f t="shared" si="1"/>
        <v>4557</v>
      </c>
      <c r="E33" s="90">
        <f t="shared" si="2"/>
        <v>0</v>
      </c>
      <c r="F33" s="652">
        <f t="shared" si="3"/>
        <v>4557</v>
      </c>
      <c r="G33" s="31">
        <v>3150</v>
      </c>
      <c r="H33" s="29"/>
      <c r="I33" s="58">
        <f t="shared" si="4"/>
        <v>3150</v>
      </c>
      <c r="J33" s="29">
        <v>787</v>
      </c>
      <c r="K33" s="29"/>
      <c r="L33" s="58">
        <f t="shared" si="5"/>
        <v>787</v>
      </c>
      <c r="M33" s="29">
        <v>620</v>
      </c>
      <c r="N33" s="29"/>
      <c r="O33" s="58">
        <f t="shared" si="6"/>
        <v>620</v>
      </c>
      <c r="P33" s="29"/>
      <c r="Q33" s="29"/>
      <c r="R33" s="58">
        <f t="shared" si="7"/>
        <v>0</v>
      </c>
      <c r="S33" s="29"/>
      <c r="T33" s="29"/>
      <c r="U33" s="58">
        <f t="shared" si="8"/>
        <v>0</v>
      </c>
      <c r="V33" s="29"/>
      <c r="W33" s="29"/>
      <c r="X33" s="58">
        <f t="shared" si="9"/>
        <v>0</v>
      </c>
      <c r="Y33" s="29"/>
      <c r="Z33" s="29"/>
      <c r="AA33" s="58">
        <f t="shared" si="10"/>
        <v>0</v>
      </c>
      <c r="AB33" s="29"/>
      <c r="AC33" s="29"/>
      <c r="AD33" s="58">
        <f t="shared" si="11"/>
        <v>0</v>
      </c>
      <c r="AE33" s="29"/>
      <c r="AF33" s="29"/>
      <c r="AG33" s="576">
        <f t="shared" si="12"/>
        <v>0</v>
      </c>
    </row>
    <row r="34" spans="1:33" s="44" customFormat="1" ht="12.75" customHeight="1" x14ac:dyDescent="0.25">
      <c r="A34" s="575" t="s">
        <v>80</v>
      </c>
      <c r="B34" s="1111" t="s">
        <v>152</v>
      </c>
      <c r="C34" s="1084"/>
      <c r="D34" s="905">
        <f t="shared" si="1"/>
        <v>197017</v>
      </c>
      <c r="E34" s="90">
        <f t="shared" si="2"/>
        <v>305</v>
      </c>
      <c r="F34" s="652">
        <f t="shared" si="3"/>
        <v>197322</v>
      </c>
      <c r="G34" s="649">
        <f>SUM(G29:G33)</f>
        <v>21040</v>
      </c>
      <c r="H34" s="58">
        <f t="shared" ref="H34:AC34" si="18">SUM(H29:H33)</f>
        <v>0</v>
      </c>
      <c r="I34" s="58">
        <f t="shared" si="4"/>
        <v>21040</v>
      </c>
      <c r="J34" s="58">
        <f t="shared" si="18"/>
        <v>20132</v>
      </c>
      <c r="K34" s="58">
        <f t="shared" si="18"/>
        <v>0</v>
      </c>
      <c r="L34" s="58">
        <f t="shared" si="5"/>
        <v>20132</v>
      </c>
      <c r="M34" s="58">
        <f t="shared" ref="M34:N34" si="19">SUM(M29:M33)</f>
        <v>1033</v>
      </c>
      <c r="N34" s="58">
        <f t="shared" si="19"/>
        <v>0</v>
      </c>
      <c r="O34" s="58">
        <f t="shared" si="6"/>
        <v>1033</v>
      </c>
      <c r="P34" s="58">
        <f t="shared" ref="P34:V34" si="20">SUM(P29:P33)</f>
        <v>0</v>
      </c>
      <c r="Q34" s="58">
        <f t="shared" si="20"/>
        <v>0</v>
      </c>
      <c r="R34" s="58">
        <f t="shared" si="7"/>
        <v>0</v>
      </c>
      <c r="S34" s="58">
        <f t="shared" ref="S34:T34" si="21">SUM(S29:S33)</f>
        <v>0</v>
      </c>
      <c r="T34" s="58">
        <f t="shared" si="21"/>
        <v>0</v>
      </c>
      <c r="U34" s="58">
        <f t="shared" si="8"/>
        <v>0</v>
      </c>
      <c r="V34" s="58">
        <f t="shared" si="20"/>
        <v>404</v>
      </c>
      <c r="W34" s="58">
        <f t="shared" ref="W34" si="22">SUM(W29:W33)</f>
        <v>-101</v>
      </c>
      <c r="X34" s="58">
        <f t="shared" si="9"/>
        <v>303</v>
      </c>
      <c r="Y34" s="58">
        <f t="shared" ref="Y34:Z34" si="23">SUM(Y29:Y33)</f>
        <v>0</v>
      </c>
      <c r="Z34" s="58">
        <f t="shared" si="23"/>
        <v>406</v>
      </c>
      <c r="AA34" s="58">
        <f t="shared" si="10"/>
        <v>406</v>
      </c>
      <c r="AB34" s="58">
        <f t="shared" si="18"/>
        <v>121992</v>
      </c>
      <c r="AC34" s="58">
        <f t="shared" si="18"/>
        <v>0</v>
      </c>
      <c r="AD34" s="58">
        <f t="shared" si="11"/>
        <v>121992</v>
      </c>
      <c r="AE34" s="58">
        <f>SUM(AE29:AE33)</f>
        <v>32416</v>
      </c>
      <c r="AF34" s="58">
        <f>SUM(AF29:AF33)</f>
        <v>0</v>
      </c>
      <c r="AG34" s="576">
        <f t="shared" si="12"/>
        <v>32416</v>
      </c>
    </row>
    <row r="35" spans="1:33" s="44" customFormat="1" ht="12.75" customHeight="1" x14ac:dyDescent="0.25">
      <c r="A35" s="575" t="s">
        <v>81</v>
      </c>
      <c r="B35" s="1111" t="s">
        <v>151</v>
      </c>
      <c r="C35" s="1084"/>
      <c r="D35" s="905">
        <f t="shared" si="1"/>
        <v>203229</v>
      </c>
      <c r="E35" s="90">
        <f t="shared" si="2"/>
        <v>65281</v>
      </c>
      <c r="F35" s="652">
        <f t="shared" si="3"/>
        <v>268510</v>
      </c>
      <c r="G35" s="649">
        <f t="shared" ref="G35:AF35" si="24">+G34+G28+G25+G17+G14</f>
        <v>24888</v>
      </c>
      <c r="H35" s="58">
        <f t="shared" si="24"/>
        <v>0</v>
      </c>
      <c r="I35" s="58">
        <f t="shared" si="4"/>
        <v>24888</v>
      </c>
      <c r="J35" s="58">
        <f t="shared" si="24"/>
        <v>20132</v>
      </c>
      <c r="K35" s="58">
        <f t="shared" si="24"/>
        <v>0</v>
      </c>
      <c r="L35" s="58">
        <f t="shared" si="5"/>
        <v>20132</v>
      </c>
      <c r="M35" s="58">
        <f t="shared" si="24"/>
        <v>1943</v>
      </c>
      <c r="N35" s="58">
        <f t="shared" si="24"/>
        <v>0</v>
      </c>
      <c r="O35" s="58">
        <f t="shared" si="6"/>
        <v>1943</v>
      </c>
      <c r="P35" s="58">
        <f t="shared" ref="P35:V35" si="25">+P34+P28+P25+P17+P14</f>
        <v>0</v>
      </c>
      <c r="Q35" s="58">
        <f t="shared" si="25"/>
        <v>0</v>
      </c>
      <c r="R35" s="58">
        <f t="shared" si="7"/>
        <v>0</v>
      </c>
      <c r="S35" s="58">
        <f t="shared" ref="S35:T35" si="26">+S34+S28+S25+S17+S14</f>
        <v>0</v>
      </c>
      <c r="T35" s="58">
        <f t="shared" si="26"/>
        <v>0</v>
      </c>
      <c r="U35" s="58">
        <f t="shared" si="8"/>
        <v>0</v>
      </c>
      <c r="V35" s="58">
        <f t="shared" si="25"/>
        <v>1858</v>
      </c>
      <c r="W35" s="58">
        <f t="shared" ref="W35" si="27">+W34+W28+W25+W17+W14</f>
        <v>-280</v>
      </c>
      <c r="X35" s="58">
        <f t="shared" si="9"/>
        <v>1578</v>
      </c>
      <c r="Y35" s="58">
        <f t="shared" ref="Y35:Z35" si="28">+Y34+Y28+Y25+Y17+Y14</f>
        <v>0</v>
      </c>
      <c r="Z35" s="58">
        <f t="shared" si="28"/>
        <v>65561</v>
      </c>
      <c r="AA35" s="58">
        <f t="shared" si="10"/>
        <v>65561</v>
      </c>
      <c r="AB35" s="58">
        <f t="shared" si="24"/>
        <v>121992</v>
      </c>
      <c r="AC35" s="58">
        <f t="shared" si="24"/>
        <v>0</v>
      </c>
      <c r="AD35" s="58">
        <f t="shared" si="11"/>
        <v>121992</v>
      </c>
      <c r="AE35" s="58">
        <f t="shared" si="24"/>
        <v>32416</v>
      </c>
      <c r="AF35" s="58">
        <f t="shared" si="24"/>
        <v>0</v>
      </c>
      <c r="AG35" s="576">
        <f t="shared" si="12"/>
        <v>32416</v>
      </c>
    </row>
    <row r="36" spans="1:33" ht="12" customHeight="1" x14ac:dyDescent="0.3">
      <c r="A36" s="577"/>
      <c r="B36" s="1126"/>
      <c r="C36" s="1127"/>
      <c r="D36" s="889"/>
      <c r="E36" s="889"/>
      <c r="F36" s="912"/>
      <c r="G36" s="61"/>
      <c r="H36" s="61"/>
      <c r="I36" s="246"/>
      <c r="J36" s="61"/>
      <c r="K36" s="61"/>
      <c r="L36" s="246"/>
      <c r="M36" s="61"/>
      <c r="N36" s="61"/>
      <c r="O36" s="246"/>
      <c r="P36" s="61"/>
      <c r="Q36" s="61"/>
      <c r="R36" s="246"/>
      <c r="S36" s="61"/>
      <c r="T36" s="61"/>
      <c r="U36" s="246"/>
      <c r="V36" s="61"/>
      <c r="W36" s="61"/>
      <c r="X36" s="246"/>
      <c r="Y36" s="61"/>
      <c r="Z36" s="61"/>
      <c r="AA36" s="246"/>
      <c r="AB36" s="61"/>
      <c r="AC36" s="61"/>
      <c r="AD36" s="246"/>
      <c r="AE36" s="61"/>
      <c r="AF36" s="61"/>
      <c r="AG36" s="651"/>
    </row>
    <row r="37" spans="1:33" ht="12.75" customHeight="1" x14ac:dyDescent="0.3">
      <c r="A37" s="578" t="s">
        <v>96</v>
      </c>
      <c r="B37" s="1107" t="s">
        <v>95</v>
      </c>
      <c r="C37" s="1146"/>
      <c r="D37" s="905">
        <f t="shared" si="1"/>
        <v>0</v>
      </c>
      <c r="E37" s="90">
        <f t="shared" si="2"/>
        <v>0</v>
      </c>
      <c r="F37" s="652">
        <f t="shared" si="3"/>
        <v>0</v>
      </c>
      <c r="G37" s="31"/>
      <c r="H37" s="29"/>
      <c r="I37" s="58">
        <f t="shared" si="4"/>
        <v>0</v>
      </c>
      <c r="J37" s="29"/>
      <c r="K37" s="29"/>
      <c r="L37" s="58">
        <f t="shared" si="5"/>
        <v>0</v>
      </c>
      <c r="M37" s="29"/>
      <c r="N37" s="29"/>
      <c r="O37" s="58">
        <f t="shared" si="6"/>
        <v>0</v>
      </c>
      <c r="P37" s="29"/>
      <c r="Q37" s="29"/>
      <c r="R37" s="58">
        <f t="shared" si="7"/>
        <v>0</v>
      </c>
      <c r="S37" s="29"/>
      <c r="T37" s="29"/>
      <c r="U37" s="58">
        <f t="shared" si="8"/>
        <v>0</v>
      </c>
      <c r="V37" s="29"/>
      <c r="W37" s="29"/>
      <c r="X37" s="58">
        <f t="shared" si="9"/>
        <v>0</v>
      </c>
      <c r="Y37" s="29"/>
      <c r="Z37" s="29"/>
      <c r="AA37" s="58">
        <f t="shared" si="10"/>
        <v>0</v>
      </c>
      <c r="AB37" s="29"/>
      <c r="AC37" s="29"/>
      <c r="AD37" s="58">
        <f t="shared" si="11"/>
        <v>0</v>
      </c>
      <c r="AE37" s="29"/>
      <c r="AF37" s="29"/>
      <c r="AG37" s="576">
        <f t="shared" si="12"/>
        <v>0</v>
      </c>
    </row>
    <row r="38" spans="1:33" ht="12.75" customHeight="1" x14ac:dyDescent="0.3">
      <c r="A38" s="578" t="s">
        <v>98</v>
      </c>
      <c r="B38" s="1107" t="s">
        <v>97</v>
      </c>
      <c r="C38" s="1146"/>
      <c r="D38" s="905">
        <f t="shared" si="1"/>
        <v>0</v>
      </c>
      <c r="E38" s="90">
        <f t="shared" si="2"/>
        <v>0</v>
      </c>
      <c r="F38" s="652">
        <f t="shared" si="3"/>
        <v>0</v>
      </c>
      <c r="G38" s="31"/>
      <c r="H38" s="29"/>
      <c r="I38" s="58">
        <f t="shared" si="4"/>
        <v>0</v>
      </c>
      <c r="J38" s="29"/>
      <c r="K38" s="29"/>
      <c r="L38" s="58">
        <f t="shared" si="5"/>
        <v>0</v>
      </c>
      <c r="M38" s="29"/>
      <c r="N38" s="29"/>
      <c r="O38" s="58">
        <f t="shared" si="6"/>
        <v>0</v>
      </c>
      <c r="P38" s="29"/>
      <c r="Q38" s="29"/>
      <c r="R38" s="58">
        <f t="shared" si="7"/>
        <v>0</v>
      </c>
      <c r="S38" s="29"/>
      <c r="T38" s="29"/>
      <c r="U38" s="58">
        <f t="shared" si="8"/>
        <v>0</v>
      </c>
      <c r="V38" s="29"/>
      <c r="W38" s="29"/>
      <c r="X38" s="58">
        <f t="shared" si="9"/>
        <v>0</v>
      </c>
      <c r="Y38" s="29"/>
      <c r="Z38" s="29"/>
      <c r="AA38" s="58">
        <f t="shared" si="10"/>
        <v>0</v>
      </c>
      <c r="AB38" s="29"/>
      <c r="AC38" s="29"/>
      <c r="AD38" s="58">
        <f t="shared" si="11"/>
        <v>0</v>
      </c>
      <c r="AE38" s="29"/>
      <c r="AF38" s="29"/>
      <c r="AG38" s="576">
        <f t="shared" si="12"/>
        <v>0</v>
      </c>
    </row>
    <row r="39" spans="1:33" ht="23.25" customHeight="1" x14ac:dyDescent="0.3">
      <c r="A39" s="578" t="s">
        <v>101</v>
      </c>
      <c r="B39" s="1107" t="s">
        <v>165</v>
      </c>
      <c r="C39" s="1146"/>
      <c r="D39" s="905">
        <f t="shared" si="1"/>
        <v>0</v>
      </c>
      <c r="E39" s="90">
        <f t="shared" si="2"/>
        <v>0</v>
      </c>
      <c r="F39" s="652">
        <f t="shared" si="3"/>
        <v>0</v>
      </c>
      <c r="G39" s="31"/>
      <c r="H39" s="29"/>
      <c r="I39" s="58">
        <f t="shared" si="4"/>
        <v>0</v>
      </c>
      <c r="J39" s="29"/>
      <c r="K39" s="29"/>
      <c r="L39" s="58">
        <f t="shared" si="5"/>
        <v>0</v>
      </c>
      <c r="M39" s="29"/>
      <c r="N39" s="29"/>
      <c r="O39" s="58">
        <f t="shared" si="6"/>
        <v>0</v>
      </c>
      <c r="P39" s="29"/>
      <c r="Q39" s="29"/>
      <c r="R39" s="58">
        <f t="shared" si="7"/>
        <v>0</v>
      </c>
      <c r="S39" s="29"/>
      <c r="T39" s="29"/>
      <c r="U39" s="58">
        <f t="shared" si="8"/>
        <v>0</v>
      </c>
      <c r="V39" s="29"/>
      <c r="W39" s="29"/>
      <c r="X39" s="58">
        <f t="shared" si="9"/>
        <v>0</v>
      </c>
      <c r="Y39" s="29"/>
      <c r="Z39" s="29"/>
      <c r="AA39" s="58">
        <f t="shared" si="10"/>
        <v>0</v>
      </c>
      <c r="AB39" s="29"/>
      <c r="AC39" s="29"/>
      <c r="AD39" s="58">
        <f t="shared" si="11"/>
        <v>0</v>
      </c>
      <c r="AE39" s="29"/>
      <c r="AF39" s="29"/>
      <c r="AG39" s="576">
        <f t="shared" si="12"/>
        <v>0</v>
      </c>
    </row>
    <row r="40" spans="1:33" ht="25.5" customHeight="1" x14ac:dyDescent="0.3">
      <c r="A40" s="578" t="s">
        <v>103</v>
      </c>
      <c r="B40" s="1107" t="s">
        <v>102</v>
      </c>
      <c r="C40" s="1146"/>
      <c r="D40" s="905">
        <f t="shared" si="1"/>
        <v>0</v>
      </c>
      <c r="E40" s="90">
        <f t="shared" si="2"/>
        <v>0</v>
      </c>
      <c r="F40" s="652">
        <f t="shared" si="3"/>
        <v>0</v>
      </c>
      <c r="G40" s="31"/>
      <c r="H40" s="29"/>
      <c r="I40" s="58">
        <f t="shared" si="4"/>
        <v>0</v>
      </c>
      <c r="J40" s="29"/>
      <c r="K40" s="29"/>
      <c r="L40" s="58">
        <f t="shared" si="5"/>
        <v>0</v>
      </c>
      <c r="M40" s="29"/>
      <c r="N40" s="29"/>
      <c r="O40" s="58">
        <f t="shared" si="6"/>
        <v>0</v>
      </c>
      <c r="P40" s="29"/>
      <c r="Q40" s="29"/>
      <c r="R40" s="58">
        <f t="shared" si="7"/>
        <v>0</v>
      </c>
      <c r="S40" s="29"/>
      <c r="T40" s="29"/>
      <c r="U40" s="58">
        <f t="shared" si="8"/>
        <v>0</v>
      </c>
      <c r="V40" s="29"/>
      <c r="W40" s="29"/>
      <c r="X40" s="58">
        <f t="shared" si="9"/>
        <v>0</v>
      </c>
      <c r="Y40" s="29"/>
      <c r="Z40" s="29"/>
      <c r="AA40" s="58">
        <f t="shared" si="10"/>
        <v>0</v>
      </c>
      <c r="AB40" s="29"/>
      <c r="AC40" s="29"/>
      <c r="AD40" s="58">
        <f t="shared" si="11"/>
        <v>0</v>
      </c>
      <c r="AE40" s="29"/>
      <c r="AF40" s="29"/>
      <c r="AG40" s="576">
        <f t="shared" si="12"/>
        <v>0</v>
      </c>
    </row>
    <row r="41" spans="1:33" ht="27" customHeight="1" x14ac:dyDescent="0.3">
      <c r="A41" s="578" t="s">
        <v>107</v>
      </c>
      <c r="B41" s="1107" t="s">
        <v>164</v>
      </c>
      <c r="C41" s="1146"/>
      <c r="D41" s="905">
        <f t="shared" si="1"/>
        <v>0</v>
      </c>
      <c r="E41" s="90">
        <f t="shared" si="2"/>
        <v>0</v>
      </c>
      <c r="F41" s="652">
        <f t="shared" si="3"/>
        <v>0</v>
      </c>
      <c r="G41" s="31"/>
      <c r="H41" s="29"/>
      <c r="I41" s="58">
        <f t="shared" si="4"/>
        <v>0</v>
      </c>
      <c r="J41" s="29"/>
      <c r="K41" s="29"/>
      <c r="L41" s="58">
        <f t="shared" si="5"/>
        <v>0</v>
      </c>
      <c r="M41" s="29"/>
      <c r="N41" s="29"/>
      <c r="O41" s="58">
        <f t="shared" si="6"/>
        <v>0</v>
      </c>
      <c r="P41" s="29"/>
      <c r="Q41" s="29"/>
      <c r="R41" s="58">
        <f t="shared" si="7"/>
        <v>0</v>
      </c>
      <c r="S41" s="29"/>
      <c r="T41" s="29"/>
      <c r="U41" s="58">
        <f t="shared" si="8"/>
        <v>0</v>
      </c>
      <c r="V41" s="29"/>
      <c r="W41" s="29"/>
      <c r="X41" s="58">
        <f t="shared" si="9"/>
        <v>0</v>
      </c>
      <c r="Y41" s="29"/>
      <c r="Z41" s="29"/>
      <c r="AA41" s="58">
        <f t="shared" si="10"/>
        <v>0</v>
      </c>
      <c r="AB41" s="29"/>
      <c r="AC41" s="29"/>
      <c r="AD41" s="58">
        <f t="shared" si="11"/>
        <v>0</v>
      </c>
      <c r="AE41" s="29"/>
      <c r="AF41" s="29"/>
      <c r="AG41" s="576">
        <f t="shared" si="12"/>
        <v>0</v>
      </c>
    </row>
    <row r="42" spans="1:33" ht="12.75" customHeight="1" x14ac:dyDescent="0.3">
      <c r="A42" s="578" t="s">
        <v>634</v>
      </c>
      <c r="B42" s="1112" t="s">
        <v>106</v>
      </c>
      <c r="C42" s="1086"/>
      <c r="D42" s="905">
        <f t="shared" si="1"/>
        <v>0</v>
      </c>
      <c r="E42" s="90">
        <f t="shared" si="2"/>
        <v>0</v>
      </c>
      <c r="F42" s="652">
        <f t="shared" si="3"/>
        <v>0</v>
      </c>
      <c r="G42" s="31"/>
      <c r="H42" s="29"/>
      <c r="I42" s="58">
        <f t="shared" si="4"/>
        <v>0</v>
      </c>
      <c r="J42" s="29"/>
      <c r="K42" s="29"/>
      <c r="L42" s="58">
        <f t="shared" si="5"/>
        <v>0</v>
      </c>
      <c r="M42" s="29"/>
      <c r="N42" s="29"/>
      <c r="O42" s="58">
        <f t="shared" si="6"/>
        <v>0</v>
      </c>
      <c r="P42" s="29"/>
      <c r="Q42" s="29"/>
      <c r="R42" s="58">
        <f t="shared" si="7"/>
        <v>0</v>
      </c>
      <c r="S42" s="29"/>
      <c r="T42" s="29"/>
      <c r="U42" s="58">
        <f t="shared" si="8"/>
        <v>0</v>
      </c>
      <c r="V42" s="29"/>
      <c r="W42" s="29"/>
      <c r="X42" s="58">
        <f t="shared" si="9"/>
        <v>0</v>
      </c>
      <c r="Y42" s="29"/>
      <c r="Z42" s="29"/>
      <c r="AA42" s="58">
        <f t="shared" si="10"/>
        <v>0</v>
      </c>
      <c r="AB42" s="29"/>
      <c r="AC42" s="29"/>
      <c r="AD42" s="58">
        <f t="shared" si="11"/>
        <v>0</v>
      </c>
      <c r="AE42" s="29"/>
      <c r="AF42" s="29"/>
      <c r="AG42" s="576">
        <f t="shared" si="12"/>
        <v>0</v>
      </c>
    </row>
    <row r="43" spans="1:33" s="44" customFormat="1" ht="12.75" customHeight="1" x14ac:dyDescent="0.25">
      <c r="A43" s="575" t="s">
        <v>108</v>
      </c>
      <c r="B43" s="1111" t="s">
        <v>163</v>
      </c>
      <c r="C43" s="1084"/>
      <c r="D43" s="905">
        <f t="shared" si="1"/>
        <v>0</v>
      </c>
      <c r="E43" s="90">
        <f t="shared" si="2"/>
        <v>0</v>
      </c>
      <c r="F43" s="652">
        <f t="shared" si="3"/>
        <v>0</v>
      </c>
      <c r="G43" s="649"/>
      <c r="H43" s="58"/>
      <c r="I43" s="58">
        <f t="shared" si="4"/>
        <v>0</v>
      </c>
      <c r="J43" s="58"/>
      <c r="K43" s="58"/>
      <c r="L43" s="58">
        <f t="shared" si="5"/>
        <v>0</v>
      </c>
      <c r="M43" s="58"/>
      <c r="N43" s="58"/>
      <c r="O43" s="58">
        <f t="shared" si="6"/>
        <v>0</v>
      </c>
      <c r="P43" s="58"/>
      <c r="Q43" s="58"/>
      <c r="R43" s="58">
        <f t="shared" si="7"/>
        <v>0</v>
      </c>
      <c r="S43" s="58"/>
      <c r="T43" s="58"/>
      <c r="U43" s="58">
        <f t="shared" si="8"/>
        <v>0</v>
      </c>
      <c r="V43" s="58"/>
      <c r="W43" s="58"/>
      <c r="X43" s="58">
        <f t="shared" si="9"/>
        <v>0</v>
      </c>
      <c r="Y43" s="58"/>
      <c r="Z43" s="58"/>
      <c r="AA43" s="58">
        <f t="shared" si="10"/>
        <v>0</v>
      </c>
      <c r="AB43" s="58"/>
      <c r="AC43" s="58"/>
      <c r="AD43" s="58">
        <f t="shared" si="11"/>
        <v>0</v>
      </c>
      <c r="AE43" s="58"/>
      <c r="AF43" s="58"/>
      <c r="AG43" s="576">
        <f t="shared" si="12"/>
        <v>0</v>
      </c>
    </row>
    <row r="44" spans="1:33" ht="12" customHeight="1" x14ac:dyDescent="0.3">
      <c r="A44" s="577"/>
      <c r="B44" s="880"/>
      <c r="C44" s="356"/>
      <c r="D44" s="889"/>
      <c r="E44" s="889"/>
      <c r="F44" s="912"/>
      <c r="G44" s="61"/>
      <c r="H44" s="61"/>
      <c r="I44" s="246">
        <f t="shared" si="4"/>
        <v>0</v>
      </c>
      <c r="J44" s="61"/>
      <c r="K44" s="61"/>
      <c r="L44" s="246">
        <f t="shared" si="5"/>
        <v>0</v>
      </c>
      <c r="M44" s="61"/>
      <c r="N44" s="61"/>
      <c r="O44" s="246">
        <f t="shared" si="6"/>
        <v>0</v>
      </c>
      <c r="P44" s="61"/>
      <c r="Q44" s="61"/>
      <c r="R44" s="246">
        <f t="shared" si="7"/>
        <v>0</v>
      </c>
      <c r="S44" s="61"/>
      <c r="T44" s="61"/>
      <c r="U44" s="246">
        <f t="shared" si="8"/>
        <v>0</v>
      </c>
      <c r="V44" s="61"/>
      <c r="W44" s="61"/>
      <c r="X44" s="246">
        <f t="shared" si="9"/>
        <v>0</v>
      </c>
      <c r="Y44" s="61"/>
      <c r="Z44" s="61"/>
      <c r="AA44" s="246">
        <f t="shared" si="10"/>
        <v>0</v>
      </c>
      <c r="AB44" s="61"/>
      <c r="AC44" s="61"/>
      <c r="AD44" s="246">
        <f t="shared" si="11"/>
        <v>0</v>
      </c>
      <c r="AE44" s="61"/>
      <c r="AF44" s="61"/>
      <c r="AG44" s="651">
        <f t="shared" si="12"/>
        <v>0</v>
      </c>
    </row>
    <row r="45" spans="1:33" ht="12.75" customHeight="1" x14ac:dyDescent="0.3">
      <c r="A45" s="578" t="s">
        <v>110</v>
      </c>
      <c r="B45" s="1112" t="s">
        <v>109</v>
      </c>
      <c r="C45" s="1086"/>
      <c r="D45" s="905">
        <f t="shared" si="1"/>
        <v>0</v>
      </c>
      <c r="E45" s="90">
        <f t="shared" si="2"/>
        <v>4571</v>
      </c>
      <c r="F45" s="652">
        <f t="shared" si="3"/>
        <v>4571</v>
      </c>
      <c r="G45" s="31"/>
      <c r="H45" s="29">
        <v>2658</v>
      </c>
      <c r="I45" s="58">
        <f t="shared" si="4"/>
        <v>2658</v>
      </c>
      <c r="J45" s="29"/>
      <c r="K45" s="29"/>
      <c r="L45" s="58">
        <f t="shared" si="5"/>
        <v>0</v>
      </c>
      <c r="M45" s="29"/>
      <c r="N45" s="29"/>
      <c r="O45" s="58">
        <f t="shared" si="6"/>
        <v>0</v>
      </c>
      <c r="P45" s="29"/>
      <c r="Q45" s="29">
        <v>1913</v>
      </c>
      <c r="R45" s="58">
        <f t="shared" si="7"/>
        <v>1913</v>
      </c>
      <c r="S45" s="29"/>
      <c r="T45" s="29"/>
      <c r="U45" s="58">
        <f t="shared" si="8"/>
        <v>0</v>
      </c>
      <c r="V45" s="29"/>
      <c r="W45" s="29"/>
      <c r="X45" s="58">
        <f t="shared" si="9"/>
        <v>0</v>
      </c>
      <c r="Y45" s="29"/>
      <c r="Z45" s="29"/>
      <c r="AA45" s="58">
        <f t="shared" si="10"/>
        <v>0</v>
      </c>
      <c r="AB45" s="29"/>
      <c r="AC45" s="29"/>
      <c r="AD45" s="58">
        <f t="shared" si="11"/>
        <v>0</v>
      </c>
      <c r="AE45" s="29"/>
      <c r="AF45" s="29"/>
      <c r="AG45" s="576">
        <f t="shared" si="12"/>
        <v>0</v>
      </c>
    </row>
    <row r="46" spans="1:33" ht="12.75" customHeight="1" x14ac:dyDescent="0.3">
      <c r="A46" s="578" t="s">
        <v>111</v>
      </c>
      <c r="B46" s="1112" t="s">
        <v>162</v>
      </c>
      <c r="C46" s="1086"/>
      <c r="D46" s="905">
        <f t="shared" si="1"/>
        <v>891688</v>
      </c>
      <c r="E46" s="90">
        <f t="shared" si="2"/>
        <v>-2869</v>
      </c>
      <c r="F46" s="652">
        <f t="shared" si="3"/>
        <v>888819</v>
      </c>
      <c r="G46" s="31">
        <v>155042</v>
      </c>
      <c r="H46" s="29">
        <v>-2658</v>
      </c>
      <c r="I46" s="58">
        <f t="shared" si="4"/>
        <v>152384</v>
      </c>
      <c r="J46" s="29">
        <f>70861+2177+787+30000</f>
        <v>103825</v>
      </c>
      <c r="K46" s="29">
        <v>-211</v>
      </c>
      <c r="L46" s="58">
        <f t="shared" si="5"/>
        <v>103614</v>
      </c>
      <c r="M46" s="29">
        <f>59255-490</f>
        <v>58765</v>
      </c>
      <c r="N46" s="29"/>
      <c r="O46" s="58">
        <f t="shared" si="6"/>
        <v>58765</v>
      </c>
      <c r="P46" s="29"/>
      <c r="Q46" s="29"/>
      <c r="R46" s="58">
        <f t="shared" si="7"/>
        <v>0</v>
      </c>
      <c r="S46" s="29"/>
      <c r="T46" s="29"/>
      <c r="U46" s="58">
        <f t="shared" si="8"/>
        <v>0</v>
      </c>
      <c r="V46" s="29"/>
      <c r="W46" s="29"/>
      <c r="X46" s="58">
        <f t="shared" si="9"/>
        <v>0</v>
      </c>
      <c r="Y46" s="29"/>
      <c r="Z46" s="29"/>
      <c r="AA46" s="58">
        <f t="shared" si="10"/>
        <v>0</v>
      </c>
      <c r="AB46" s="29">
        <v>451823</v>
      </c>
      <c r="AC46" s="29"/>
      <c r="AD46" s="58">
        <f t="shared" si="11"/>
        <v>451823</v>
      </c>
      <c r="AE46" s="29">
        <f>120060+2173</f>
        <v>122233</v>
      </c>
      <c r="AF46" s="29"/>
      <c r="AG46" s="576">
        <f t="shared" si="12"/>
        <v>122233</v>
      </c>
    </row>
    <row r="47" spans="1:33" ht="12.75" customHeight="1" x14ac:dyDescent="0.3">
      <c r="A47" s="578" t="s">
        <v>114</v>
      </c>
      <c r="B47" s="1112" t="s">
        <v>113</v>
      </c>
      <c r="C47" s="1086"/>
      <c r="D47" s="905">
        <f t="shared" si="1"/>
        <v>0</v>
      </c>
      <c r="E47" s="90">
        <f t="shared" si="2"/>
        <v>0</v>
      </c>
      <c r="F47" s="652">
        <f t="shared" si="3"/>
        <v>0</v>
      </c>
      <c r="G47" s="31"/>
      <c r="H47" s="29"/>
      <c r="I47" s="58">
        <f t="shared" si="4"/>
        <v>0</v>
      </c>
      <c r="J47" s="29"/>
      <c r="K47" s="29"/>
      <c r="L47" s="58">
        <f t="shared" si="5"/>
        <v>0</v>
      </c>
      <c r="M47" s="29"/>
      <c r="N47" s="29"/>
      <c r="O47" s="58">
        <f t="shared" si="6"/>
        <v>0</v>
      </c>
      <c r="P47" s="29"/>
      <c r="Q47" s="29"/>
      <c r="R47" s="58">
        <f t="shared" si="7"/>
        <v>0</v>
      </c>
      <c r="S47" s="29"/>
      <c r="T47" s="29"/>
      <c r="U47" s="58">
        <f t="shared" si="8"/>
        <v>0</v>
      </c>
      <c r="V47" s="29"/>
      <c r="W47" s="29"/>
      <c r="X47" s="58">
        <f t="shared" si="9"/>
        <v>0</v>
      </c>
      <c r="Y47" s="29"/>
      <c r="Z47" s="29"/>
      <c r="AA47" s="58">
        <f t="shared" si="10"/>
        <v>0</v>
      </c>
      <c r="AB47" s="29"/>
      <c r="AC47" s="29"/>
      <c r="AD47" s="58">
        <f t="shared" si="11"/>
        <v>0</v>
      </c>
      <c r="AE47" s="29"/>
      <c r="AF47" s="29"/>
      <c r="AG47" s="576">
        <f t="shared" si="12"/>
        <v>0</v>
      </c>
    </row>
    <row r="48" spans="1:33" ht="12.75" customHeight="1" x14ac:dyDescent="0.3">
      <c r="A48" s="578" t="s">
        <v>116</v>
      </c>
      <c r="B48" s="1112" t="s">
        <v>115</v>
      </c>
      <c r="C48" s="1086"/>
      <c r="D48" s="905">
        <f t="shared" si="1"/>
        <v>796</v>
      </c>
      <c r="E48" s="90">
        <f t="shared" si="2"/>
        <v>0</v>
      </c>
      <c r="F48" s="652">
        <f t="shared" si="3"/>
        <v>796</v>
      </c>
      <c r="G48" s="31"/>
      <c r="H48" s="29"/>
      <c r="I48" s="58">
        <f t="shared" si="4"/>
        <v>0</v>
      </c>
      <c r="J48" s="29">
        <v>796</v>
      </c>
      <c r="K48" s="29"/>
      <c r="L48" s="58">
        <f t="shared" si="5"/>
        <v>796</v>
      </c>
      <c r="M48" s="29"/>
      <c r="N48" s="29"/>
      <c r="O48" s="58">
        <f t="shared" si="6"/>
        <v>0</v>
      </c>
      <c r="P48" s="29"/>
      <c r="Q48" s="29"/>
      <c r="R48" s="58">
        <f t="shared" si="7"/>
        <v>0</v>
      </c>
      <c r="S48" s="29"/>
      <c r="T48" s="29"/>
      <c r="U48" s="58">
        <f t="shared" si="8"/>
        <v>0</v>
      </c>
      <c r="V48" s="29"/>
      <c r="W48" s="29"/>
      <c r="X48" s="58">
        <f t="shared" si="9"/>
        <v>0</v>
      </c>
      <c r="Y48" s="29"/>
      <c r="Z48" s="29"/>
      <c r="AA48" s="58">
        <f t="shared" si="10"/>
        <v>0</v>
      </c>
      <c r="AB48" s="29"/>
      <c r="AC48" s="29"/>
      <c r="AD48" s="58">
        <f t="shared" si="11"/>
        <v>0</v>
      </c>
      <c r="AE48" s="29"/>
      <c r="AF48" s="29"/>
      <c r="AG48" s="576">
        <f t="shared" si="12"/>
        <v>0</v>
      </c>
    </row>
    <row r="49" spans="1:35" ht="12.75" customHeight="1" x14ac:dyDescent="0.3">
      <c r="A49" s="578" t="s">
        <v>118</v>
      </c>
      <c r="B49" s="1112" t="s">
        <v>117</v>
      </c>
      <c r="C49" s="1086"/>
      <c r="D49" s="905">
        <f t="shared" si="1"/>
        <v>0</v>
      </c>
      <c r="E49" s="90">
        <f t="shared" si="2"/>
        <v>0</v>
      </c>
      <c r="F49" s="652">
        <f t="shared" si="3"/>
        <v>0</v>
      </c>
      <c r="G49" s="31"/>
      <c r="H49" s="29"/>
      <c r="I49" s="58">
        <f t="shared" si="4"/>
        <v>0</v>
      </c>
      <c r="J49" s="29"/>
      <c r="K49" s="29"/>
      <c r="L49" s="58">
        <f t="shared" si="5"/>
        <v>0</v>
      </c>
      <c r="M49" s="29"/>
      <c r="N49" s="29"/>
      <c r="O49" s="58">
        <f t="shared" si="6"/>
        <v>0</v>
      </c>
      <c r="P49" s="29"/>
      <c r="Q49" s="29"/>
      <c r="R49" s="58">
        <f t="shared" si="7"/>
        <v>0</v>
      </c>
      <c r="S49" s="29"/>
      <c r="T49" s="29"/>
      <c r="U49" s="58">
        <f t="shared" si="8"/>
        <v>0</v>
      </c>
      <c r="V49" s="29"/>
      <c r="W49" s="29"/>
      <c r="X49" s="58">
        <f t="shared" si="9"/>
        <v>0</v>
      </c>
      <c r="Y49" s="29"/>
      <c r="Z49" s="29"/>
      <c r="AA49" s="58">
        <f t="shared" si="10"/>
        <v>0</v>
      </c>
      <c r="AB49" s="29"/>
      <c r="AC49" s="29"/>
      <c r="AD49" s="58">
        <f t="shared" si="11"/>
        <v>0</v>
      </c>
      <c r="AE49" s="29"/>
      <c r="AF49" s="29"/>
      <c r="AG49" s="576">
        <f t="shared" si="12"/>
        <v>0</v>
      </c>
    </row>
    <row r="50" spans="1:35" ht="12.75" customHeight="1" x14ac:dyDescent="0.3">
      <c r="A50" s="578" t="s">
        <v>120</v>
      </c>
      <c r="B50" s="1112" t="s">
        <v>119</v>
      </c>
      <c r="C50" s="1086"/>
      <c r="D50" s="905">
        <f t="shared" si="1"/>
        <v>0</v>
      </c>
      <c r="E50" s="90">
        <f t="shared" si="2"/>
        <v>0</v>
      </c>
      <c r="F50" s="652">
        <f t="shared" si="3"/>
        <v>0</v>
      </c>
      <c r="G50" s="31"/>
      <c r="H50" s="29"/>
      <c r="I50" s="58">
        <f t="shared" si="4"/>
        <v>0</v>
      </c>
      <c r="J50" s="29"/>
      <c r="K50" s="29"/>
      <c r="L50" s="58">
        <f t="shared" si="5"/>
        <v>0</v>
      </c>
      <c r="M50" s="29"/>
      <c r="N50" s="29"/>
      <c r="O50" s="58">
        <f t="shared" si="6"/>
        <v>0</v>
      </c>
      <c r="P50" s="29"/>
      <c r="Q50" s="29"/>
      <c r="R50" s="58">
        <f t="shared" si="7"/>
        <v>0</v>
      </c>
      <c r="S50" s="29"/>
      <c r="T50" s="29"/>
      <c r="U50" s="58">
        <f t="shared" si="8"/>
        <v>0</v>
      </c>
      <c r="V50" s="29"/>
      <c r="W50" s="29"/>
      <c r="X50" s="58">
        <f t="shared" si="9"/>
        <v>0</v>
      </c>
      <c r="Y50" s="29"/>
      <c r="Z50" s="29"/>
      <c r="AA50" s="58">
        <f t="shared" si="10"/>
        <v>0</v>
      </c>
      <c r="AB50" s="29"/>
      <c r="AC50" s="29"/>
      <c r="AD50" s="58">
        <f t="shared" si="11"/>
        <v>0</v>
      </c>
      <c r="AE50" s="29"/>
      <c r="AF50" s="29"/>
      <c r="AG50" s="576">
        <f t="shared" si="12"/>
        <v>0</v>
      </c>
    </row>
    <row r="51" spans="1:35" ht="12.75" customHeight="1" x14ac:dyDescent="0.3">
      <c r="A51" s="578" t="s">
        <v>122</v>
      </c>
      <c r="B51" s="1112" t="s">
        <v>121</v>
      </c>
      <c r="C51" s="1086"/>
      <c r="D51" s="905">
        <f t="shared" si="1"/>
        <v>43328</v>
      </c>
      <c r="E51" s="90">
        <f t="shared" si="2"/>
        <v>727</v>
      </c>
      <c r="F51" s="652">
        <f t="shared" si="3"/>
        <v>44055</v>
      </c>
      <c r="G51" s="31">
        <v>25860</v>
      </c>
      <c r="H51" s="29"/>
      <c r="I51" s="58">
        <f t="shared" si="4"/>
        <v>25860</v>
      </c>
      <c r="J51" s="29">
        <v>1015</v>
      </c>
      <c r="K51" s="29">
        <v>211</v>
      </c>
      <c r="L51" s="58">
        <f t="shared" si="5"/>
        <v>1226</v>
      </c>
      <c r="M51" s="29">
        <f>15999-133</f>
        <v>15866</v>
      </c>
      <c r="N51" s="29"/>
      <c r="O51" s="58">
        <f t="shared" si="6"/>
        <v>15866</v>
      </c>
      <c r="P51" s="29"/>
      <c r="Q51" s="29">
        <v>516</v>
      </c>
      <c r="R51" s="58">
        <f t="shared" si="7"/>
        <v>516</v>
      </c>
      <c r="S51" s="29"/>
      <c r="T51" s="29"/>
      <c r="U51" s="58">
        <f t="shared" si="8"/>
        <v>0</v>
      </c>
      <c r="V51" s="29"/>
      <c r="W51" s="29"/>
      <c r="X51" s="58">
        <f t="shared" si="9"/>
        <v>0</v>
      </c>
      <c r="Y51" s="29"/>
      <c r="Z51" s="29"/>
      <c r="AA51" s="58">
        <f t="shared" si="10"/>
        <v>0</v>
      </c>
      <c r="AB51" s="29"/>
      <c r="AC51" s="29"/>
      <c r="AD51" s="58">
        <f t="shared" si="11"/>
        <v>0</v>
      </c>
      <c r="AE51" s="29">
        <v>587</v>
      </c>
      <c r="AF51" s="29"/>
      <c r="AG51" s="576">
        <f t="shared" si="12"/>
        <v>587</v>
      </c>
    </row>
    <row r="52" spans="1:35" s="44" customFormat="1" ht="12.75" customHeight="1" x14ac:dyDescent="0.25">
      <c r="A52" s="575" t="s">
        <v>123</v>
      </c>
      <c r="B52" s="1111" t="s">
        <v>161</v>
      </c>
      <c r="C52" s="1084"/>
      <c r="D52" s="905">
        <f t="shared" si="1"/>
        <v>935812</v>
      </c>
      <c r="E52" s="90">
        <f t="shared" si="2"/>
        <v>2429</v>
      </c>
      <c r="F52" s="652">
        <f t="shared" si="3"/>
        <v>938241</v>
      </c>
      <c r="G52" s="649">
        <f t="shared" ref="G52:AF52" si="29">+G51+G50+G49+G48+G47+G46+G45</f>
        <v>180902</v>
      </c>
      <c r="H52" s="58">
        <f t="shared" si="29"/>
        <v>0</v>
      </c>
      <c r="I52" s="58">
        <f t="shared" si="4"/>
        <v>180902</v>
      </c>
      <c r="J52" s="58">
        <f t="shared" si="29"/>
        <v>105636</v>
      </c>
      <c r="K52" s="58">
        <f t="shared" si="29"/>
        <v>0</v>
      </c>
      <c r="L52" s="58">
        <f t="shared" si="5"/>
        <v>105636</v>
      </c>
      <c r="M52" s="58">
        <f t="shared" si="29"/>
        <v>74631</v>
      </c>
      <c r="N52" s="58">
        <f t="shared" si="29"/>
        <v>0</v>
      </c>
      <c r="O52" s="58">
        <f t="shared" si="6"/>
        <v>74631</v>
      </c>
      <c r="P52" s="58">
        <f t="shared" si="29"/>
        <v>0</v>
      </c>
      <c r="Q52" s="58">
        <f t="shared" si="29"/>
        <v>2429</v>
      </c>
      <c r="R52" s="58">
        <f t="shared" si="7"/>
        <v>2429</v>
      </c>
      <c r="S52" s="58">
        <f t="shared" si="29"/>
        <v>0</v>
      </c>
      <c r="T52" s="58">
        <f t="shared" si="29"/>
        <v>0</v>
      </c>
      <c r="U52" s="58">
        <f t="shared" si="8"/>
        <v>0</v>
      </c>
      <c r="V52" s="58">
        <f t="shared" si="29"/>
        <v>0</v>
      </c>
      <c r="W52" s="58">
        <f t="shared" si="29"/>
        <v>0</v>
      </c>
      <c r="X52" s="58">
        <f t="shared" si="9"/>
        <v>0</v>
      </c>
      <c r="Y52" s="58">
        <f t="shared" si="29"/>
        <v>0</v>
      </c>
      <c r="Z52" s="58">
        <f t="shared" si="29"/>
        <v>0</v>
      </c>
      <c r="AA52" s="58">
        <f t="shared" si="10"/>
        <v>0</v>
      </c>
      <c r="AB52" s="58">
        <f t="shared" si="29"/>
        <v>451823</v>
      </c>
      <c r="AC52" s="58">
        <f t="shared" si="29"/>
        <v>0</v>
      </c>
      <c r="AD52" s="58">
        <f t="shared" si="11"/>
        <v>451823</v>
      </c>
      <c r="AE52" s="58">
        <f t="shared" si="29"/>
        <v>122820</v>
      </c>
      <c r="AF52" s="58">
        <f t="shared" si="29"/>
        <v>0</v>
      </c>
      <c r="AG52" s="576">
        <f t="shared" si="12"/>
        <v>122820</v>
      </c>
    </row>
    <row r="53" spans="1:35" x14ac:dyDescent="0.3">
      <c r="A53" s="577"/>
      <c r="B53" s="880"/>
      <c r="C53" s="356"/>
      <c r="D53" s="889"/>
      <c r="E53" s="889"/>
      <c r="F53" s="912"/>
      <c r="G53" s="61"/>
      <c r="H53" s="61"/>
      <c r="I53" s="246"/>
      <c r="J53" s="61"/>
      <c r="K53" s="61"/>
      <c r="L53" s="246"/>
      <c r="M53" s="61"/>
      <c r="N53" s="61"/>
      <c r="O53" s="246"/>
      <c r="P53" s="61"/>
      <c r="Q53" s="61"/>
      <c r="R53" s="246"/>
      <c r="S53" s="61"/>
      <c r="T53" s="61"/>
      <c r="U53" s="246"/>
      <c r="V53" s="61"/>
      <c r="W53" s="61"/>
      <c r="X53" s="246"/>
      <c r="Y53" s="61"/>
      <c r="Z53" s="61"/>
      <c r="AA53" s="246"/>
      <c r="AB53" s="61"/>
      <c r="AC53" s="61"/>
      <c r="AD53" s="246"/>
      <c r="AE53" s="61"/>
      <c r="AF53" s="61"/>
      <c r="AG53" s="651"/>
    </row>
    <row r="54" spans="1:35" ht="12.75" customHeight="1" x14ac:dyDescent="0.3">
      <c r="A54" s="578" t="s">
        <v>125</v>
      </c>
      <c r="B54" s="1112" t="s">
        <v>124</v>
      </c>
      <c r="C54" s="1086"/>
      <c r="D54" s="905">
        <f t="shared" si="1"/>
        <v>0</v>
      </c>
      <c r="E54" s="90">
        <f t="shared" si="2"/>
        <v>24745</v>
      </c>
      <c r="F54" s="652">
        <f t="shared" si="3"/>
        <v>24745</v>
      </c>
      <c r="G54" s="31"/>
      <c r="H54" s="29"/>
      <c r="I54" s="58">
        <f t="shared" si="4"/>
        <v>0</v>
      </c>
      <c r="J54" s="29"/>
      <c r="K54" s="29"/>
      <c r="L54" s="58">
        <f t="shared" si="5"/>
        <v>0</v>
      </c>
      <c r="M54" s="29"/>
      <c r="N54" s="29"/>
      <c r="O54" s="58">
        <f t="shared" si="6"/>
        <v>0</v>
      </c>
      <c r="P54" s="29"/>
      <c r="Q54" s="29"/>
      <c r="R54" s="58">
        <f t="shared" si="7"/>
        <v>0</v>
      </c>
      <c r="S54" s="29"/>
      <c r="T54" s="29">
        <v>24745</v>
      </c>
      <c r="U54" s="58">
        <f t="shared" si="8"/>
        <v>24745</v>
      </c>
      <c r="V54" s="29"/>
      <c r="W54" s="29"/>
      <c r="X54" s="58">
        <f t="shared" si="9"/>
        <v>0</v>
      </c>
      <c r="Y54" s="29"/>
      <c r="Z54" s="29"/>
      <c r="AA54" s="58">
        <f t="shared" si="10"/>
        <v>0</v>
      </c>
      <c r="AB54" s="29"/>
      <c r="AC54" s="29"/>
      <c r="AD54" s="58">
        <f t="shared" si="11"/>
        <v>0</v>
      </c>
      <c r="AE54" s="29"/>
      <c r="AF54" s="29"/>
      <c r="AG54" s="576">
        <f t="shared" si="12"/>
        <v>0</v>
      </c>
    </row>
    <row r="55" spans="1:35" ht="12.75" customHeight="1" x14ac:dyDescent="0.3">
      <c r="A55" s="578" t="s">
        <v>127</v>
      </c>
      <c r="B55" s="1112" t="s">
        <v>126</v>
      </c>
      <c r="C55" s="1086"/>
      <c r="D55" s="905">
        <f t="shared" si="1"/>
        <v>0</v>
      </c>
      <c r="E55" s="90">
        <f t="shared" si="2"/>
        <v>0</v>
      </c>
      <c r="F55" s="652">
        <f t="shared" si="3"/>
        <v>0</v>
      </c>
      <c r="G55" s="31"/>
      <c r="H55" s="29"/>
      <c r="I55" s="58">
        <f t="shared" si="4"/>
        <v>0</v>
      </c>
      <c r="J55" s="29"/>
      <c r="K55" s="29"/>
      <c r="L55" s="58">
        <f t="shared" si="5"/>
        <v>0</v>
      </c>
      <c r="M55" s="29"/>
      <c r="N55" s="29"/>
      <c r="O55" s="58">
        <f t="shared" si="6"/>
        <v>0</v>
      </c>
      <c r="P55" s="29"/>
      <c r="Q55" s="29"/>
      <c r="R55" s="58">
        <f t="shared" si="7"/>
        <v>0</v>
      </c>
      <c r="S55" s="29"/>
      <c r="T55" s="29"/>
      <c r="U55" s="58">
        <f t="shared" si="8"/>
        <v>0</v>
      </c>
      <c r="V55" s="29"/>
      <c r="W55" s="29"/>
      <c r="X55" s="58">
        <f t="shared" si="9"/>
        <v>0</v>
      </c>
      <c r="Y55" s="29"/>
      <c r="Z55" s="29"/>
      <c r="AA55" s="58">
        <f t="shared" si="10"/>
        <v>0</v>
      </c>
      <c r="AB55" s="29"/>
      <c r="AC55" s="29"/>
      <c r="AD55" s="58">
        <f t="shared" si="11"/>
        <v>0</v>
      </c>
      <c r="AE55" s="29"/>
      <c r="AF55" s="29"/>
      <c r="AG55" s="576">
        <f t="shared" si="12"/>
        <v>0</v>
      </c>
    </row>
    <row r="56" spans="1:35" ht="12.75" customHeight="1" x14ac:dyDescent="0.3">
      <c r="A56" s="578" t="s">
        <v>129</v>
      </c>
      <c r="B56" s="1112" t="s">
        <v>128</v>
      </c>
      <c r="C56" s="1086"/>
      <c r="D56" s="905">
        <f t="shared" si="1"/>
        <v>0</v>
      </c>
      <c r="E56" s="90">
        <f t="shared" si="2"/>
        <v>0</v>
      </c>
      <c r="F56" s="652">
        <f t="shared" si="3"/>
        <v>0</v>
      </c>
      <c r="G56" s="31"/>
      <c r="H56" s="29"/>
      <c r="I56" s="58">
        <f t="shared" si="4"/>
        <v>0</v>
      </c>
      <c r="J56" s="29"/>
      <c r="K56" s="29"/>
      <c r="L56" s="58">
        <f t="shared" si="5"/>
        <v>0</v>
      </c>
      <c r="M56" s="29"/>
      <c r="N56" s="29"/>
      <c r="O56" s="58">
        <f t="shared" si="6"/>
        <v>0</v>
      </c>
      <c r="P56" s="29"/>
      <c r="Q56" s="29"/>
      <c r="R56" s="58">
        <f t="shared" si="7"/>
        <v>0</v>
      </c>
      <c r="S56" s="29"/>
      <c r="T56" s="29"/>
      <c r="U56" s="58">
        <f t="shared" si="8"/>
        <v>0</v>
      </c>
      <c r="V56" s="29"/>
      <c r="W56" s="29"/>
      <c r="X56" s="58">
        <f t="shared" si="9"/>
        <v>0</v>
      </c>
      <c r="Y56" s="29"/>
      <c r="Z56" s="29"/>
      <c r="AA56" s="58">
        <f t="shared" si="10"/>
        <v>0</v>
      </c>
      <c r="AB56" s="29"/>
      <c r="AC56" s="29"/>
      <c r="AD56" s="58">
        <f t="shared" si="11"/>
        <v>0</v>
      </c>
      <c r="AE56" s="29"/>
      <c r="AF56" s="29"/>
      <c r="AG56" s="576">
        <f t="shared" si="12"/>
        <v>0</v>
      </c>
    </row>
    <row r="57" spans="1:35" ht="12.75" customHeight="1" x14ac:dyDescent="0.3">
      <c r="A57" s="578" t="s">
        <v>131</v>
      </c>
      <c r="B57" s="1112" t="s">
        <v>130</v>
      </c>
      <c r="C57" s="1086"/>
      <c r="D57" s="905">
        <f t="shared" si="1"/>
        <v>0</v>
      </c>
      <c r="E57" s="90">
        <f t="shared" si="2"/>
        <v>0</v>
      </c>
      <c r="F57" s="652">
        <f t="shared" si="3"/>
        <v>0</v>
      </c>
      <c r="G57" s="31"/>
      <c r="H57" s="29"/>
      <c r="I57" s="58">
        <f t="shared" si="4"/>
        <v>0</v>
      </c>
      <c r="J57" s="29"/>
      <c r="K57" s="29"/>
      <c r="L57" s="58">
        <f t="shared" si="5"/>
        <v>0</v>
      </c>
      <c r="M57" s="29"/>
      <c r="N57" s="29"/>
      <c r="O57" s="58">
        <f t="shared" si="6"/>
        <v>0</v>
      </c>
      <c r="P57" s="29"/>
      <c r="Q57" s="29"/>
      <c r="R57" s="58">
        <f t="shared" si="7"/>
        <v>0</v>
      </c>
      <c r="S57" s="29"/>
      <c r="T57" s="29"/>
      <c r="U57" s="58">
        <f t="shared" si="8"/>
        <v>0</v>
      </c>
      <c r="V57" s="29"/>
      <c r="W57" s="29"/>
      <c r="X57" s="58">
        <f t="shared" si="9"/>
        <v>0</v>
      </c>
      <c r="Y57" s="29"/>
      <c r="Z57" s="29"/>
      <c r="AA57" s="58">
        <f t="shared" si="10"/>
        <v>0</v>
      </c>
      <c r="AB57" s="29"/>
      <c r="AC57" s="29"/>
      <c r="AD57" s="58">
        <f t="shared" si="11"/>
        <v>0</v>
      </c>
      <c r="AE57" s="29"/>
      <c r="AF57" s="29"/>
      <c r="AG57" s="576">
        <f t="shared" si="12"/>
        <v>0</v>
      </c>
    </row>
    <row r="58" spans="1:35" s="44" customFormat="1" ht="12.75" customHeight="1" x14ac:dyDescent="0.25">
      <c r="A58" s="575" t="s">
        <v>132</v>
      </c>
      <c r="B58" s="1111" t="s">
        <v>160</v>
      </c>
      <c r="C58" s="1084"/>
      <c r="D58" s="905">
        <f t="shared" si="1"/>
        <v>0</v>
      </c>
      <c r="E58" s="90">
        <f t="shared" si="2"/>
        <v>24745</v>
      </c>
      <c r="F58" s="652">
        <f t="shared" si="3"/>
        <v>24745</v>
      </c>
      <c r="G58" s="649">
        <f>SUM(G54:G57)</f>
        <v>0</v>
      </c>
      <c r="H58" s="58">
        <f t="shared" ref="H58:AF58" si="30">SUM(H54:H57)</f>
        <v>0</v>
      </c>
      <c r="I58" s="58">
        <f t="shared" si="4"/>
        <v>0</v>
      </c>
      <c r="J58" s="58">
        <f t="shared" si="30"/>
        <v>0</v>
      </c>
      <c r="K58" s="58">
        <f t="shared" si="30"/>
        <v>0</v>
      </c>
      <c r="L58" s="58">
        <f t="shared" si="5"/>
        <v>0</v>
      </c>
      <c r="M58" s="58">
        <f t="shared" si="30"/>
        <v>0</v>
      </c>
      <c r="N58" s="58">
        <f t="shared" si="30"/>
        <v>0</v>
      </c>
      <c r="O58" s="58">
        <f t="shared" si="6"/>
        <v>0</v>
      </c>
      <c r="P58" s="58">
        <f t="shared" si="30"/>
        <v>0</v>
      </c>
      <c r="Q58" s="58">
        <f t="shared" si="30"/>
        <v>0</v>
      </c>
      <c r="R58" s="58">
        <f t="shared" si="7"/>
        <v>0</v>
      </c>
      <c r="S58" s="58">
        <f t="shared" si="30"/>
        <v>0</v>
      </c>
      <c r="T58" s="58">
        <f t="shared" si="30"/>
        <v>24745</v>
      </c>
      <c r="U58" s="58">
        <f t="shared" si="8"/>
        <v>24745</v>
      </c>
      <c r="V58" s="58">
        <f t="shared" si="30"/>
        <v>0</v>
      </c>
      <c r="W58" s="58">
        <f t="shared" si="30"/>
        <v>0</v>
      </c>
      <c r="X58" s="58">
        <f t="shared" si="9"/>
        <v>0</v>
      </c>
      <c r="Y58" s="58">
        <f t="shared" si="30"/>
        <v>0</v>
      </c>
      <c r="Z58" s="58">
        <f t="shared" si="30"/>
        <v>0</v>
      </c>
      <c r="AA58" s="58">
        <f t="shared" si="10"/>
        <v>0</v>
      </c>
      <c r="AB58" s="58">
        <f t="shared" si="30"/>
        <v>0</v>
      </c>
      <c r="AC58" s="58">
        <f t="shared" si="30"/>
        <v>0</v>
      </c>
      <c r="AD58" s="58">
        <f t="shared" si="11"/>
        <v>0</v>
      </c>
      <c r="AE58" s="58">
        <f t="shared" si="30"/>
        <v>0</v>
      </c>
      <c r="AF58" s="58">
        <f t="shared" si="30"/>
        <v>0</v>
      </c>
      <c r="AG58" s="576">
        <f t="shared" si="12"/>
        <v>0</v>
      </c>
    </row>
    <row r="59" spans="1:35" x14ac:dyDescent="0.3">
      <c r="A59" s="577"/>
      <c r="B59" s="880"/>
      <c r="C59" s="356"/>
      <c r="D59" s="889"/>
      <c r="E59" s="889"/>
      <c r="F59" s="912"/>
      <c r="G59" s="61"/>
      <c r="H59" s="61"/>
      <c r="I59" s="246">
        <f t="shared" si="4"/>
        <v>0</v>
      </c>
      <c r="J59" s="61"/>
      <c r="K59" s="61"/>
      <c r="L59" s="246">
        <f t="shared" si="5"/>
        <v>0</v>
      </c>
      <c r="M59" s="61"/>
      <c r="N59" s="61"/>
      <c r="O59" s="246">
        <f t="shared" si="6"/>
        <v>0</v>
      </c>
      <c r="P59" s="61"/>
      <c r="Q59" s="61"/>
      <c r="R59" s="246">
        <f t="shared" si="7"/>
        <v>0</v>
      </c>
      <c r="S59" s="61"/>
      <c r="T59" s="61"/>
      <c r="U59" s="246">
        <f t="shared" si="8"/>
        <v>0</v>
      </c>
      <c r="V59" s="61"/>
      <c r="W59" s="61"/>
      <c r="X59" s="246">
        <f t="shared" si="9"/>
        <v>0</v>
      </c>
      <c r="Y59" s="61"/>
      <c r="Z59" s="61"/>
      <c r="AA59" s="246">
        <f t="shared" si="10"/>
        <v>0</v>
      </c>
      <c r="AB59" s="61"/>
      <c r="AC59" s="61"/>
      <c r="AD59" s="246">
        <f t="shared" si="11"/>
        <v>0</v>
      </c>
      <c r="AE59" s="61"/>
      <c r="AF59" s="61"/>
      <c r="AG59" s="651">
        <f t="shared" si="12"/>
        <v>0</v>
      </c>
      <c r="AI59" s="354"/>
    </row>
    <row r="60" spans="1:35" x14ac:dyDescent="0.3">
      <c r="A60" s="578" t="s">
        <v>381</v>
      </c>
      <c r="B60" s="1147" t="s">
        <v>382</v>
      </c>
      <c r="C60" s="1148"/>
      <c r="D60" s="905">
        <f t="shared" si="1"/>
        <v>0</v>
      </c>
      <c r="E60" s="90">
        <f t="shared" si="2"/>
        <v>0</v>
      </c>
      <c r="F60" s="652">
        <f t="shared" si="3"/>
        <v>0</v>
      </c>
      <c r="G60" s="31"/>
      <c r="H60" s="29"/>
      <c r="I60" s="58">
        <f t="shared" si="4"/>
        <v>0</v>
      </c>
      <c r="J60" s="29"/>
      <c r="K60" s="29"/>
      <c r="L60" s="58">
        <f t="shared" si="5"/>
        <v>0</v>
      </c>
      <c r="M60" s="29"/>
      <c r="N60" s="29"/>
      <c r="O60" s="58">
        <f t="shared" si="6"/>
        <v>0</v>
      </c>
      <c r="P60" s="29"/>
      <c r="Q60" s="29"/>
      <c r="R60" s="58">
        <f t="shared" si="7"/>
        <v>0</v>
      </c>
      <c r="S60" s="29"/>
      <c r="T60" s="29"/>
      <c r="U60" s="58">
        <f t="shared" si="8"/>
        <v>0</v>
      </c>
      <c r="V60" s="29"/>
      <c r="W60" s="29"/>
      <c r="X60" s="58">
        <f t="shared" si="9"/>
        <v>0</v>
      </c>
      <c r="Y60" s="29"/>
      <c r="Z60" s="29"/>
      <c r="AA60" s="58">
        <f t="shared" si="10"/>
        <v>0</v>
      </c>
      <c r="AB60" s="29"/>
      <c r="AC60" s="29"/>
      <c r="AD60" s="58">
        <f t="shared" si="11"/>
        <v>0</v>
      </c>
      <c r="AE60" s="29"/>
      <c r="AF60" s="29"/>
      <c r="AG60" s="576">
        <f t="shared" si="12"/>
        <v>0</v>
      </c>
    </row>
    <row r="61" spans="1:35" x14ac:dyDescent="0.3">
      <c r="A61" s="578" t="s">
        <v>394</v>
      </c>
      <c r="B61" s="1112" t="s">
        <v>395</v>
      </c>
      <c r="C61" s="1086"/>
      <c r="D61" s="905">
        <f t="shared" si="1"/>
        <v>0</v>
      </c>
      <c r="E61" s="90">
        <f t="shared" si="2"/>
        <v>0</v>
      </c>
      <c r="F61" s="652">
        <f t="shared" si="3"/>
        <v>0</v>
      </c>
      <c r="G61" s="31"/>
      <c r="H61" s="29"/>
      <c r="I61" s="58">
        <f t="shared" si="4"/>
        <v>0</v>
      </c>
      <c r="J61" s="29"/>
      <c r="K61" s="29"/>
      <c r="L61" s="58">
        <f t="shared" si="5"/>
        <v>0</v>
      </c>
      <c r="M61" s="29"/>
      <c r="N61" s="29"/>
      <c r="O61" s="58">
        <f t="shared" si="6"/>
        <v>0</v>
      </c>
      <c r="P61" s="29"/>
      <c r="Q61" s="29"/>
      <c r="R61" s="58">
        <f t="shared" si="7"/>
        <v>0</v>
      </c>
      <c r="S61" s="29"/>
      <c r="T61" s="29"/>
      <c r="U61" s="58">
        <f t="shared" si="8"/>
        <v>0</v>
      </c>
      <c r="V61" s="29"/>
      <c r="W61" s="29"/>
      <c r="X61" s="58">
        <f t="shared" si="9"/>
        <v>0</v>
      </c>
      <c r="Y61" s="29"/>
      <c r="Z61" s="29"/>
      <c r="AA61" s="58">
        <f t="shared" si="10"/>
        <v>0</v>
      </c>
      <c r="AB61" s="29"/>
      <c r="AC61" s="29"/>
      <c r="AD61" s="58">
        <f t="shared" si="11"/>
        <v>0</v>
      </c>
      <c r="AE61" s="29"/>
      <c r="AF61" s="29"/>
      <c r="AG61" s="576">
        <f t="shared" si="12"/>
        <v>0</v>
      </c>
    </row>
    <row r="62" spans="1:35" ht="12.75" customHeight="1" x14ac:dyDescent="0.3">
      <c r="A62" s="578" t="s">
        <v>133</v>
      </c>
      <c r="B62" s="1112" t="s">
        <v>396</v>
      </c>
      <c r="C62" s="1086"/>
      <c r="D62" s="905">
        <f t="shared" si="1"/>
        <v>0</v>
      </c>
      <c r="E62" s="90">
        <f t="shared" si="2"/>
        <v>0</v>
      </c>
      <c r="F62" s="652">
        <f t="shared" si="3"/>
        <v>0</v>
      </c>
      <c r="G62" s="31"/>
      <c r="H62" s="29"/>
      <c r="I62" s="58">
        <f t="shared" si="4"/>
        <v>0</v>
      </c>
      <c r="J62" s="29"/>
      <c r="K62" s="29"/>
      <c r="L62" s="58">
        <f t="shared" si="5"/>
        <v>0</v>
      </c>
      <c r="M62" s="29"/>
      <c r="N62" s="29"/>
      <c r="O62" s="58">
        <f t="shared" si="6"/>
        <v>0</v>
      </c>
      <c r="P62" s="29"/>
      <c r="Q62" s="29"/>
      <c r="R62" s="58">
        <f t="shared" si="7"/>
        <v>0</v>
      </c>
      <c r="S62" s="29"/>
      <c r="T62" s="29"/>
      <c r="U62" s="58">
        <f t="shared" si="8"/>
        <v>0</v>
      </c>
      <c r="V62" s="29"/>
      <c r="W62" s="29"/>
      <c r="X62" s="58">
        <f t="shared" si="9"/>
        <v>0</v>
      </c>
      <c r="Y62" s="29"/>
      <c r="Z62" s="29"/>
      <c r="AA62" s="58">
        <f t="shared" si="10"/>
        <v>0</v>
      </c>
      <c r="AB62" s="29"/>
      <c r="AC62" s="29"/>
      <c r="AD62" s="58">
        <f t="shared" si="11"/>
        <v>0</v>
      </c>
      <c r="AE62" s="29"/>
      <c r="AF62" s="29"/>
      <c r="AG62" s="576">
        <f t="shared" si="12"/>
        <v>0</v>
      </c>
    </row>
    <row r="63" spans="1:35" s="44" customFormat="1" ht="12.75" customHeight="1" x14ac:dyDescent="0.25">
      <c r="A63" s="575" t="s">
        <v>134</v>
      </c>
      <c r="B63" s="1111" t="s">
        <v>158</v>
      </c>
      <c r="C63" s="1084"/>
      <c r="D63" s="905">
        <f t="shared" si="1"/>
        <v>0</v>
      </c>
      <c r="E63" s="90">
        <f t="shared" si="2"/>
        <v>0</v>
      </c>
      <c r="F63" s="652">
        <f t="shared" si="3"/>
        <v>0</v>
      </c>
      <c r="G63" s="649">
        <f t="shared" ref="G63:AF63" si="31">SUM(G60:G62)</f>
        <v>0</v>
      </c>
      <c r="H63" s="58">
        <f t="shared" si="31"/>
        <v>0</v>
      </c>
      <c r="I63" s="58">
        <f t="shared" si="4"/>
        <v>0</v>
      </c>
      <c r="J63" s="58">
        <f t="shared" si="31"/>
        <v>0</v>
      </c>
      <c r="K63" s="58">
        <f t="shared" si="31"/>
        <v>0</v>
      </c>
      <c r="L63" s="58">
        <f t="shared" si="5"/>
        <v>0</v>
      </c>
      <c r="M63" s="58">
        <f t="shared" si="31"/>
        <v>0</v>
      </c>
      <c r="N63" s="58">
        <f t="shared" si="31"/>
        <v>0</v>
      </c>
      <c r="O63" s="58">
        <f t="shared" si="6"/>
        <v>0</v>
      </c>
      <c r="P63" s="58">
        <f t="shared" si="31"/>
        <v>0</v>
      </c>
      <c r="Q63" s="58">
        <f t="shared" si="31"/>
        <v>0</v>
      </c>
      <c r="R63" s="58">
        <f t="shared" si="7"/>
        <v>0</v>
      </c>
      <c r="S63" s="58">
        <f t="shared" si="31"/>
        <v>0</v>
      </c>
      <c r="T63" s="58">
        <f t="shared" si="31"/>
        <v>0</v>
      </c>
      <c r="U63" s="58">
        <f t="shared" si="8"/>
        <v>0</v>
      </c>
      <c r="V63" s="58">
        <f t="shared" si="31"/>
        <v>0</v>
      </c>
      <c r="W63" s="58">
        <f t="shared" si="31"/>
        <v>0</v>
      </c>
      <c r="X63" s="58">
        <f t="shared" si="9"/>
        <v>0</v>
      </c>
      <c r="Y63" s="58">
        <f t="shared" si="31"/>
        <v>0</v>
      </c>
      <c r="Z63" s="58">
        <f t="shared" si="31"/>
        <v>0</v>
      </c>
      <c r="AA63" s="58">
        <f t="shared" si="10"/>
        <v>0</v>
      </c>
      <c r="AB63" s="58">
        <f t="shared" si="31"/>
        <v>0</v>
      </c>
      <c r="AC63" s="58">
        <f t="shared" si="31"/>
        <v>0</v>
      </c>
      <c r="AD63" s="58">
        <f t="shared" si="11"/>
        <v>0</v>
      </c>
      <c r="AE63" s="58">
        <f t="shared" si="31"/>
        <v>0</v>
      </c>
      <c r="AF63" s="58">
        <f t="shared" si="31"/>
        <v>0</v>
      </c>
      <c r="AG63" s="576">
        <f t="shared" si="12"/>
        <v>0</v>
      </c>
    </row>
    <row r="64" spans="1:35" x14ac:dyDescent="0.3">
      <c r="A64" s="577"/>
      <c r="B64" s="574"/>
      <c r="C64" s="907"/>
      <c r="D64" s="889"/>
      <c r="E64" s="889"/>
      <c r="F64" s="912"/>
      <c r="G64" s="61"/>
      <c r="H64" s="61"/>
      <c r="I64" s="246"/>
      <c r="J64" s="61"/>
      <c r="K64" s="61"/>
      <c r="L64" s="246"/>
      <c r="M64" s="61"/>
      <c r="N64" s="61"/>
      <c r="O64" s="246"/>
      <c r="P64" s="61"/>
      <c r="Q64" s="61"/>
      <c r="R64" s="246"/>
      <c r="S64" s="61"/>
      <c r="T64" s="61"/>
      <c r="U64" s="246"/>
      <c r="V64" s="61"/>
      <c r="W64" s="61"/>
      <c r="X64" s="246"/>
      <c r="Y64" s="61"/>
      <c r="Z64" s="61"/>
      <c r="AA64" s="246"/>
      <c r="AB64" s="61"/>
      <c r="AC64" s="61"/>
      <c r="AD64" s="246"/>
      <c r="AE64" s="61"/>
      <c r="AF64" s="61"/>
      <c r="AG64" s="651"/>
    </row>
    <row r="65" spans="1:33" s="44" customFormat="1" ht="12.75" customHeight="1" thickBot="1" x14ac:dyDescent="0.3">
      <c r="A65" s="899" t="s">
        <v>135</v>
      </c>
      <c r="B65" s="1144" t="s">
        <v>157</v>
      </c>
      <c r="C65" s="1145"/>
      <c r="D65" s="906">
        <f t="shared" si="1"/>
        <v>1140144</v>
      </c>
      <c r="E65" s="900">
        <f t="shared" si="2"/>
        <v>92735</v>
      </c>
      <c r="F65" s="914">
        <f t="shared" si="3"/>
        <v>1232879</v>
      </c>
      <c r="G65" s="909">
        <f t="shared" ref="G65:AF65" si="32">+G63+G58+G52+G43+G35+G9+G7</f>
        <v>205790</v>
      </c>
      <c r="H65" s="901">
        <f t="shared" si="32"/>
        <v>0</v>
      </c>
      <c r="I65" s="901">
        <f t="shared" si="4"/>
        <v>205790</v>
      </c>
      <c r="J65" s="901">
        <f t="shared" si="32"/>
        <v>125768</v>
      </c>
      <c r="K65" s="901">
        <f t="shared" si="32"/>
        <v>0</v>
      </c>
      <c r="L65" s="901">
        <f t="shared" si="5"/>
        <v>125768</v>
      </c>
      <c r="M65" s="901">
        <f t="shared" si="32"/>
        <v>76574</v>
      </c>
      <c r="N65" s="901">
        <f t="shared" si="32"/>
        <v>0</v>
      </c>
      <c r="O65" s="901">
        <f t="shared" si="6"/>
        <v>76574</v>
      </c>
      <c r="P65" s="901">
        <f t="shared" si="32"/>
        <v>0</v>
      </c>
      <c r="Q65" s="901">
        <f t="shared" si="32"/>
        <v>2429</v>
      </c>
      <c r="R65" s="901">
        <f t="shared" si="7"/>
        <v>2429</v>
      </c>
      <c r="S65" s="901">
        <f t="shared" si="32"/>
        <v>0</v>
      </c>
      <c r="T65" s="901">
        <f t="shared" si="32"/>
        <v>24745</v>
      </c>
      <c r="U65" s="901">
        <f t="shared" si="8"/>
        <v>24745</v>
      </c>
      <c r="V65" s="901">
        <f t="shared" si="32"/>
        <v>2961</v>
      </c>
      <c r="W65" s="901">
        <f>+W63+W58+W52+W43+W35+W9+W7</f>
        <v>0</v>
      </c>
      <c r="X65" s="901">
        <f t="shared" si="9"/>
        <v>2961</v>
      </c>
      <c r="Y65" s="901">
        <f t="shared" si="32"/>
        <v>0</v>
      </c>
      <c r="Z65" s="901">
        <f t="shared" si="32"/>
        <v>65561</v>
      </c>
      <c r="AA65" s="901">
        <f t="shared" si="10"/>
        <v>65561</v>
      </c>
      <c r="AB65" s="901">
        <f t="shared" si="32"/>
        <v>573815</v>
      </c>
      <c r="AC65" s="901">
        <f t="shared" si="32"/>
        <v>0</v>
      </c>
      <c r="AD65" s="901">
        <f t="shared" si="11"/>
        <v>573815</v>
      </c>
      <c r="AE65" s="901">
        <f t="shared" si="32"/>
        <v>155236</v>
      </c>
      <c r="AF65" s="901">
        <f t="shared" si="32"/>
        <v>0</v>
      </c>
      <c r="AG65" s="903">
        <f t="shared" si="12"/>
        <v>155236</v>
      </c>
    </row>
  </sheetData>
  <mergeCells count="77">
    <mergeCell ref="B54:C54"/>
    <mergeCell ref="B41:C41"/>
    <mergeCell ref="B42:C42"/>
    <mergeCell ref="B43:C43"/>
    <mergeCell ref="B45:C45"/>
    <mergeCell ref="B46:C46"/>
    <mergeCell ref="B47:C47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29:C29"/>
    <mergeCell ref="B32:C32"/>
    <mergeCell ref="B33:C33"/>
    <mergeCell ref="B34:C34"/>
    <mergeCell ref="B30:C30"/>
    <mergeCell ref="B31:C31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3" orientation="landscape" cellComments="asDisplayed" r:id="rId1"/>
  <headerFooter>
    <oddHeader>&amp;C&amp;"Times New Roman,Félkövér"&amp;12Martonvásár Város Önkormányzatának kiadásai 2017.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A7" zoomScaleNormal="100" workbookViewId="0">
      <selection activeCell="I16" sqref="I16"/>
    </sheetView>
  </sheetViews>
  <sheetFormatPr defaultColWidth="9.109375" defaultRowHeight="13.2" x14ac:dyDescent="0.25"/>
  <cols>
    <col min="1" max="1" width="7.33203125" style="26" customWidth="1"/>
    <col min="2" max="2" width="7.109375" style="27" customWidth="1"/>
    <col min="3" max="3" width="32" style="27" customWidth="1"/>
    <col min="4" max="7" width="7.6640625" style="18" customWidth="1"/>
    <col min="8" max="8" width="6.6640625" style="18" customWidth="1"/>
    <col min="9" max="9" width="7.44140625" style="18" customWidth="1"/>
    <col min="10" max="10" width="7.33203125" style="18" customWidth="1"/>
    <col min="11" max="11" width="7.6640625" style="18" customWidth="1"/>
    <col min="12" max="12" width="7" style="18" customWidth="1"/>
    <col min="13" max="13" width="7.6640625" style="18" customWidth="1"/>
    <col min="14" max="14" width="7.44140625" style="18" customWidth="1"/>
    <col min="15" max="15" width="7.6640625" style="18" customWidth="1"/>
    <col min="16" max="16" width="7.6640625" style="18" hidden="1" customWidth="1"/>
    <col min="17" max="17" width="6.6640625" style="18" hidden="1" customWidth="1"/>
    <col min="18" max="19" width="7.6640625" style="18" hidden="1" customWidth="1"/>
    <col min="20" max="20" width="6.88671875" style="18" hidden="1" customWidth="1"/>
    <col min="21" max="21" width="7.109375" style="18" hidden="1" customWidth="1"/>
    <col min="22" max="16384" width="9.109375" style="18"/>
  </cols>
  <sheetData>
    <row r="1" spans="1:21" s="1" customFormat="1" ht="15" thickBot="1" x14ac:dyDescent="0.35">
      <c r="A1" s="26"/>
      <c r="B1" s="27"/>
      <c r="C1" s="27"/>
      <c r="S1" s="1117" t="s">
        <v>393</v>
      </c>
      <c r="T1" s="1117"/>
      <c r="U1" s="1117"/>
    </row>
    <row r="2" spans="1:21" s="33" customFormat="1" ht="33.75" customHeight="1" x14ac:dyDescent="0.3">
      <c r="A2" s="1131" t="s">
        <v>0</v>
      </c>
      <c r="B2" s="1133" t="s">
        <v>182</v>
      </c>
      <c r="C2" s="1134"/>
      <c r="D2" s="1157" t="s">
        <v>180</v>
      </c>
      <c r="E2" s="1158"/>
      <c r="F2" s="1159"/>
      <c r="G2" s="1139" t="s">
        <v>186</v>
      </c>
      <c r="H2" s="1122"/>
      <c r="I2" s="1122"/>
      <c r="J2" s="1122" t="s">
        <v>187</v>
      </c>
      <c r="K2" s="1122"/>
      <c r="L2" s="1122"/>
      <c r="M2" s="1153" t="s">
        <v>188</v>
      </c>
      <c r="N2" s="1153"/>
      <c r="O2" s="1154"/>
      <c r="P2" s="1155" t="s">
        <v>191</v>
      </c>
      <c r="Q2" s="1156"/>
      <c r="R2" s="1156"/>
      <c r="S2" s="1156" t="s">
        <v>192</v>
      </c>
      <c r="T2" s="1156"/>
      <c r="U2" s="1156"/>
    </row>
    <row r="3" spans="1:21" s="33" customFormat="1" x14ac:dyDescent="0.3">
      <c r="A3" s="1132"/>
      <c r="B3" s="1110"/>
      <c r="C3" s="1135"/>
      <c r="D3" s="1160"/>
      <c r="E3" s="1161"/>
      <c r="F3" s="1162"/>
      <c r="G3" s="1143" t="s">
        <v>189</v>
      </c>
      <c r="H3" s="1123"/>
      <c r="I3" s="1123"/>
      <c r="J3" s="1123" t="s">
        <v>189</v>
      </c>
      <c r="K3" s="1123"/>
      <c r="L3" s="1123"/>
      <c r="M3" s="1123" t="s">
        <v>190</v>
      </c>
      <c r="N3" s="1123"/>
      <c r="O3" s="1130"/>
      <c r="P3" s="1143" t="s">
        <v>190</v>
      </c>
      <c r="Q3" s="1123"/>
      <c r="R3" s="1123"/>
      <c r="S3" s="1123" t="s">
        <v>190</v>
      </c>
      <c r="T3" s="1123"/>
      <c r="U3" s="1123"/>
    </row>
    <row r="4" spans="1:21" s="17" customFormat="1" ht="26.4" x14ac:dyDescent="0.3">
      <c r="A4" s="1132"/>
      <c r="B4" s="1110"/>
      <c r="C4" s="1135"/>
      <c r="D4" s="910" t="s">
        <v>177</v>
      </c>
      <c r="E4" s="879" t="s">
        <v>792</v>
      </c>
      <c r="F4" s="897" t="s">
        <v>795</v>
      </c>
      <c r="G4" s="904" t="s">
        <v>177</v>
      </c>
      <c r="H4" s="879" t="s">
        <v>792</v>
      </c>
      <c r="I4" s="879" t="s">
        <v>795</v>
      </c>
      <c r="J4" s="879" t="s">
        <v>177</v>
      </c>
      <c r="K4" s="879" t="s">
        <v>792</v>
      </c>
      <c r="L4" s="879" t="s">
        <v>795</v>
      </c>
      <c r="M4" s="879" t="s">
        <v>177</v>
      </c>
      <c r="N4" s="879" t="s">
        <v>792</v>
      </c>
      <c r="O4" s="897" t="s">
        <v>795</v>
      </c>
      <c r="P4" s="904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4" customFormat="1" ht="12" customHeight="1" x14ac:dyDescent="0.25">
      <c r="A5" s="575" t="s">
        <v>27</v>
      </c>
      <c r="B5" s="1111" t="s">
        <v>174</v>
      </c>
      <c r="C5" s="1084"/>
      <c r="D5" s="653">
        <f>+G5+J5+M5+P5+S5</f>
        <v>11428</v>
      </c>
      <c r="E5" s="58">
        <f t="shared" ref="E5:F6" si="0">+H5+K5+N5+Q5+T5</f>
        <v>-993</v>
      </c>
      <c r="F5" s="576">
        <f t="shared" si="0"/>
        <v>10435</v>
      </c>
      <c r="G5" s="649">
        <v>7956</v>
      </c>
      <c r="H5" s="58"/>
      <c r="I5" s="58">
        <f>+H5+G5</f>
        <v>7956</v>
      </c>
      <c r="J5" s="58">
        <v>3472</v>
      </c>
      <c r="K5" s="58">
        <f>-150-843</f>
        <v>-993</v>
      </c>
      <c r="L5" s="58">
        <f>+K5+J5</f>
        <v>2479</v>
      </c>
      <c r="M5" s="58"/>
      <c r="N5" s="58"/>
      <c r="O5" s="576">
        <f>+N5+M5</f>
        <v>0</v>
      </c>
      <c r="P5" s="649"/>
      <c r="Q5" s="58"/>
      <c r="R5" s="58"/>
      <c r="S5" s="58"/>
      <c r="T5" s="58"/>
      <c r="U5" s="58"/>
    </row>
    <row r="6" spans="1:21" s="44" customFormat="1" ht="12" customHeight="1" x14ac:dyDescent="0.25">
      <c r="A6" s="575" t="s">
        <v>33</v>
      </c>
      <c r="B6" s="1111" t="s">
        <v>173</v>
      </c>
      <c r="C6" s="1084"/>
      <c r="D6" s="653">
        <f>+G6+J6+M6+P6+S6</f>
        <v>853</v>
      </c>
      <c r="E6" s="58">
        <f t="shared" si="0"/>
        <v>1008</v>
      </c>
      <c r="F6" s="576">
        <f t="shared" si="0"/>
        <v>1861</v>
      </c>
      <c r="G6" s="649">
        <v>0</v>
      </c>
      <c r="H6" s="58"/>
      <c r="I6" s="58">
        <f>+H6+G6</f>
        <v>0</v>
      </c>
      <c r="J6" s="58"/>
      <c r="K6" s="58">
        <f>150+843+15</f>
        <v>1008</v>
      </c>
      <c r="L6" s="58">
        <f>+K6+J6</f>
        <v>1008</v>
      </c>
      <c r="M6" s="58">
        <v>853</v>
      </c>
      <c r="N6" s="58"/>
      <c r="O6" s="576">
        <f>+N6+M6</f>
        <v>853</v>
      </c>
      <c r="P6" s="649"/>
      <c r="Q6" s="58"/>
      <c r="R6" s="58"/>
      <c r="S6" s="58"/>
      <c r="T6" s="58"/>
      <c r="U6" s="58"/>
    </row>
    <row r="7" spans="1:21" s="44" customFormat="1" ht="12" customHeight="1" x14ac:dyDescent="0.25">
      <c r="A7" s="921" t="s">
        <v>34</v>
      </c>
      <c r="B7" s="1108" t="s">
        <v>172</v>
      </c>
      <c r="C7" s="1152"/>
      <c r="D7" s="943">
        <f>+D6+D5</f>
        <v>12281</v>
      </c>
      <c r="E7" s="56">
        <f t="shared" ref="E7:F7" si="1">+E6+E5</f>
        <v>15</v>
      </c>
      <c r="F7" s="922">
        <f t="shared" si="1"/>
        <v>12296</v>
      </c>
      <c r="G7" s="918">
        <f>+G5+G6</f>
        <v>7956</v>
      </c>
      <c r="H7" s="56">
        <f t="shared" ref="H7:I7" si="2">+H5+H6</f>
        <v>0</v>
      </c>
      <c r="I7" s="56">
        <f t="shared" si="2"/>
        <v>7956</v>
      </c>
      <c r="J7" s="56">
        <f>J5+J6</f>
        <v>3472</v>
      </c>
      <c r="K7" s="56">
        <f t="shared" ref="K7:L7" si="3">K5+K6</f>
        <v>15</v>
      </c>
      <c r="L7" s="56">
        <f t="shared" si="3"/>
        <v>3487</v>
      </c>
      <c r="M7" s="56">
        <f>SUM(M6)</f>
        <v>853</v>
      </c>
      <c r="N7" s="56">
        <f t="shared" ref="N7:O7" si="4">SUM(N6)</f>
        <v>0</v>
      </c>
      <c r="O7" s="922">
        <f t="shared" si="4"/>
        <v>853</v>
      </c>
      <c r="P7" s="918"/>
      <c r="Q7" s="56"/>
      <c r="R7" s="56"/>
      <c r="S7" s="56"/>
      <c r="T7" s="56"/>
      <c r="U7" s="56"/>
    </row>
    <row r="8" spans="1:21" ht="12" customHeight="1" x14ac:dyDescent="0.25">
      <c r="A8" s="473"/>
      <c r="B8" s="9"/>
      <c r="C8" s="939"/>
      <c r="D8" s="944"/>
      <c r="E8" s="30"/>
      <c r="F8" s="923"/>
      <c r="G8" s="30"/>
      <c r="H8" s="30"/>
      <c r="I8" s="30"/>
      <c r="J8" s="30"/>
      <c r="K8" s="30"/>
      <c r="L8" s="30"/>
      <c r="M8" s="30"/>
      <c r="N8" s="30"/>
      <c r="O8" s="923"/>
      <c r="P8" s="30"/>
      <c r="Q8" s="30"/>
      <c r="R8" s="31"/>
      <c r="S8" s="30"/>
      <c r="T8" s="30"/>
      <c r="U8" s="31"/>
    </row>
    <row r="9" spans="1:21" s="44" customFormat="1" ht="12" customHeight="1" x14ac:dyDescent="0.25">
      <c r="A9" s="924" t="s">
        <v>35</v>
      </c>
      <c r="B9" s="1108" t="s">
        <v>171</v>
      </c>
      <c r="C9" s="1152"/>
      <c r="D9" s="945">
        <f>+G9+J9+M9+P9+S9</f>
        <v>2453</v>
      </c>
      <c r="E9" s="28">
        <f t="shared" ref="E9:F9" si="5">+H9+K9+N9+Q9+T9</f>
        <v>-15</v>
      </c>
      <c r="F9" s="946">
        <f t="shared" si="5"/>
        <v>2438</v>
      </c>
      <c r="G9" s="919">
        <v>1590</v>
      </c>
      <c r="H9" s="55"/>
      <c r="I9" s="55">
        <f>+H9+G9</f>
        <v>1590</v>
      </c>
      <c r="J9" s="55">
        <v>695</v>
      </c>
      <c r="K9" s="55">
        <v>-15</v>
      </c>
      <c r="L9" s="55">
        <f>+K9+J9</f>
        <v>680</v>
      </c>
      <c r="M9" s="55">
        <v>168</v>
      </c>
      <c r="N9" s="55"/>
      <c r="O9" s="925">
        <f>+N9+M9</f>
        <v>168</v>
      </c>
      <c r="P9" s="919"/>
      <c r="Q9" s="55"/>
      <c r="R9" s="55"/>
      <c r="S9" s="55"/>
      <c r="T9" s="55"/>
      <c r="U9" s="55"/>
    </row>
    <row r="10" spans="1:21" s="40" customFormat="1" ht="11.25" customHeight="1" x14ac:dyDescent="0.25">
      <c r="A10" s="926"/>
      <c r="B10" s="249"/>
      <c r="C10" s="940"/>
      <c r="D10" s="944"/>
      <c r="E10" s="592"/>
      <c r="F10" s="947"/>
      <c r="G10" s="592"/>
      <c r="H10" s="592"/>
      <c r="I10" s="592"/>
      <c r="J10" s="248"/>
      <c r="K10" s="248"/>
      <c r="L10" s="248"/>
      <c r="M10" s="248"/>
      <c r="N10" s="248"/>
      <c r="O10" s="927"/>
      <c r="P10" s="248"/>
      <c r="Q10" s="248"/>
      <c r="R10" s="248"/>
      <c r="S10" s="248"/>
      <c r="T10" s="248"/>
      <c r="U10" s="248"/>
    </row>
    <row r="11" spans="1:21" ht="12" customHeight="1" x14ac:dyDescent="0.25">
      <c r="A11" s="578" t="s">
        <v>42</v>
      </c>
      <c r="B11" s="1112" t="s">
        <v>41</v>
      </c>
      <c r="C11" s="1086"/>
      <c r="D11" s="654">
        <f t="shared" ref="D11:D34" si="6">+G11+J11+M11+P11+S11</f>
        <v>170</v>
      </c>
      <c r="E11" s="29">
        <f t="shared" ref="E11" si="7">+H11+K11+N11+Q11+T11</f>
        <v>0</v>
      </c>
      <c r="F11" s="579">
        <f t="shared" ref="F11" si="8">+I11+L11+O11+R11+U11</f>
        <v>170</v>
      </c>
      <c r="G11" s="31">
        <v>170</v>
      </c>
      <c r="H11" s="29"/>
      <c r="I11" s="29">
        <f>+H11+G11</f>
        <v>170</v>
      </c>
      <c r="J11" s="29"/>
      <c r="K11" s="29"/>
      <c r="L11" s="29">
        <f>+K11+J11</f>
        <v>0</v>
      </c>
      <c r="M11" s="29"/>
      <c r="N11" s="29"/>
      <c r="O11" s="579">
        <f>+N11+M11</f>
        <v>0</v>
      </c>
      <c r="P11" s="31"/>
      <c r="Q11" s="29"/>
      <c r="R11" s="29"/>
      <c r="S11" s="29"/>
      <c r="T11" s="29"/>
      <c r="U11" s="29"/>
    </row>
    <row r="12" spans="1:21" ht="12" customHeight="1" x14ac:dyDescent="0.25">
      <c r="A12" s="578" t="s">
        <v>44</v>
      </c>
      <c r="B12" s="1112" t="s">
        <v>43</v>
      </c>
      <c r="C12" s="1086"/>
      <c r="D12" s="654">
        <f t="shared" ref="D12:D13" si="9">+G12+J12+M12+P12+S12</f>
        <v>150</v>
      </c>
      <c r="E12" s="29">
        <f t="shared" ref="E12:E13" si="10">+H12+K12+N12+Q12+T12</f>
        <v>0</v>
      </c>
      <c r="F12" s="579">
        <f t="shared" ref="F12:F13" si="11">+I12+L12+O12+R12+U12</f>
        <v>150</v>
      </c>
      <c r="G12" s="31">
        <v>110</v>
      </c>
      <c r="H12" s="29"/>
      <c r="I12" s="29">
        <f t="shared" ref="I12:I13" si="12">+H12+G12</f>
        <v>110</v>
      </c>
      <c r="J12" s="29"/>
      <c r="K12" s="29"/>
      <c r="L12" s="29">
        <f t="shared" ref="L12:L13" si="13">+K12+J12</f>
        <v>0</v>
      </c>
      <c r="M12" s="29">
        <v>40</v>
      </c>
      <c r="N12" s="29"/>
      <c r="O12" s="579">
        <f t="shared" ref="O12:O13" si="14">+N12+M12</f>
        <v>40</v>
      </c>
      <c r="P12" s="31"/>
      <c r="Q12" s="29"/>
      <c r="R12" s="29"/>
      <c r="S12" s="29"/>
      <c r="T12" s="29"/>
      <c r="U12" s="29"/>
    </row>
    <row r="13" spans="1:21" ht="12" customHeight="1" x14ac:dyDescent="0.25">
      <c r="A13" s="578" t="s">
        <v>46</v>
      </c>
      <c r="B13" s="1112" t="s">
        <v>45</v>
      </c>
      <c r="C13" s="1086"/>
      <c r="D13" s="654">
        <f t="shared" si="9"/>
        <v>0</v>
      </c>
      <c r="E13" s="29">
        <f t="shared" si="10"/>
        <v>0</v>
      </c>
      <c r="F13" s="579">
        <f t="shared" si="11"/>
        <v>0</v>
      </c>
      <c r="G13" s="31"/>
      <c r="H13" s="29"/>
      <c r="I13" s="29">
        <f t="shared" si="12"/>
        <v>0</v>
      </c>
      <c r="J13" s="29"/>
      <c r="K13" s="29"/>
      <c r="L13" s="29">
        <f t="shared" si="13"/>
        <v>0</v>
      </c>
      <c r="M13" s="29"/>
      <c r="N13" s="29"/>
      <c r="O13" s="579">
        <f t="shared" si="14"/>
        <v>0</v>
      </c>
      <c r="P13" s="31"/>
      <c r="Q13" s="29"/>
      <c r="R13" s="29"/>
      <c r="S13" s="29"/>
      <c r="T13" s="29"/>
      <c r="U13" s="29"/>
    </row>
    <row r="14" spans="1:21" s="44" customFormat="1" ht="12" customHeight="1" x14ac:dyDescent="0.25">
      <c r="A14" s="575" t="s">
        <v>47</v>
      </c>
      <c r="B14" s="1111" t="s">
        <v>170</v>
      </c>
      <c r="C14" s="1084"/>
      <c r="D14" s="948">
        <f t="shared" si="6"/>
        <v>320</v>
      </c>
      <c r="E14" s="58">
        <f>SUM(E11:E13)</f>
        <v>0</v>
      </c>
      <c r="F14" s="576">
        <f>SUM(F11:F13)</f>
        <v>320</v>
      </c>
      <c r="G14" s="649">
        <f>SUM(G11:G13)</f>
        <v>280</v>
      </c>
      <c r="H14" s="58">
        <f t="shared" ref="H14:U14" si="15">SUM(H11:H13)</f>
        <v>0</v>
      </c>
      <c r="I14" s="58">
        <f t="shared" si="15"/>
        <v>280</v>
      </c>
      <c r="J14" s="58">
        <f t="shared" si="15"/>
        <v>0</v>
      </c>
      <c r="K14" s="58">
        <f t="shared" si="15"/>
        <v>0</v>
      </c>
      <c r="L14" s="58">
        <f t="shared" si="15"/>
        <v>0</v>
      </c>
      <c r="M14" s="58">
        <f t="shared" si="15"/>
        <v>40</v>
      </c>
      <c r="N14" s="58">
        <f t="shared" si="15"/>
        <v>0</v>
      </c>
      <c r="O14" s="576">
        <f t="shared" si="15"/>
        <v>40</v>
      </c>
      <c r="P14" s="649">
        <f t="shared" si="15"/>
        <v>0</v>
      </c>
      <c r="Q14" s="58">
        <f t="shared" si="15"/>
        <v>0</v>
      </c>
      <c r="R14" s="58">
        <f t="shared" si="15"/>
        <v>0</v>
      </c>
      <c r="S14" s="58">
        <f t="shared" si="15"/>
        <v>0</v>
      </c>
      <c r="T14" s="58">
        <f t="shared" si="15"/>
        <v>0</v>
      </c>
      <c r="U14" s="58">
        <f t="shared" si="15"/>
        <v>0</v>
      </c>
    </row>
    <row r="15" spans="1:21" ht="12" customHeight="1" x14ac:dyDescent="0.25">
      <c r="A15" s="578" t="s">
        <v>49</v>
      </c>
      <c r="B15" s="1112" t="s">
        <v>48</v>
      </c>
      <c r="C15" s="1086"/>
      <c r="D15" s="949">
        <f t="shared" si="6"/>
        <v>75</v>
      </c>
      <c r="E15" s="32">
        <f t="shared" ref="E15" si="16">+H15+K15+N15+Q15+T15</f>
        <v>0</v>
      </c>
      <c r="F15" s="929">
        <f t="shared" ref="F15" si="17">+I15+L15+O15+R15+U15</f>
        <v>75</v>
      </c>
      <c r="G15" s="31"/>
      <c r="H15" s="29"/>
      <c r="I15" s="29">
        <f>+H15+G15</f>
        <v>0</v>
      </c>
      <c r="J15" s="29"/>
      <c r="K15" s="29"/>
      <c r="L15" s="29">
        <f>+K15+J15</f>
        <v>0</v>
      </c>
      <c r="M15" s="29">
        <v>75</v>
      </c>
      <c r="N15" s="29"/>
      <c r="O15" s="579">
        <f>+N15+M15</f>
        <v>75</v>
      </c>
      <c r="P15" s="31"/>
      <c r="Q15" s="29"/>
      <c r="R15" s="29"/>
      <c r="S15" s="29"/>
      <c r="T15" s="29"/>
      <c r="U15" s="29"/>
    </row>
    <row r="16" spans="1:21" ht="12" customHeight="1" x14ac:dyDescent="0.25">
      <c r="A16" s="578" t="s">
        <v>51</v>
      </c>
      <c r="B16" s="1112" t="s">
        <v>50</v>
      </c>
      <c r="C16" s="1086"/>
      <c r="D16" s="949">
        <f t="shared" ref="D16" si="18">+G16+J16+M16+P16+S16</f>
        <v>145</v>
      </c>
      <c r="E16" s="32">
        <f t="shared" ref="E16" si="19">+H16+K16+N16+Q16+T16</f>
        <v>0</v>
      </c>
      <c r="F16" s="929">
        <f t="shared" ref="F16" si="20">+I16+L16+O16+R16+U16</f>
        <v>145</v>
      </c>
      <c r="G16" s="31">
        <v>100</v>
      </c>
      <c r="H16" s="29"/>
      <c r="I16" s="29">
        <f>+H16+G16</f>
        <v>100</v>
      </c>
      <c r="J16" s="29"/>
      <c r="K16" s="29"/>
      <c r="L16" s="29">
        <f>+K16+J16</f>
        <v>0</v>
      </c>
      <c r="M16" s="29">
        <v>45</v>
      </c>
      <c r="N16" s="29"/>
      <c r="O16" s="579">
        <f>+N16+M16</f>
        <v>45</v>
      </c>
      <c r="P16" s="31"/>
      <c r="Q16" s="29"/>
      <c r="R16" s="29"/>
      <c r="S16" s="29"/>
      <c r="T16" s="29"/>
      <c r="U16" s="29"/>
    </row>
    <row r="17" spans="1:21" s="44" customFormat="1" ht="12" customHeight="1" x14ac:dyDescent="0.25">
      <c r="A17" s="575" t="s">
        <v>52</v>
      </c>
      <c r="B17" s="1111" t="s">
        <v>169</v>
      </c>
      <c r="C17" s="1084"/>
      <c r="D17" s="948">
        <f t="shared" si="6"/>
        <v>220</v>
      </c>
      <c r="E17" s="58">
        <f>+E15+E16</f>
        <v>0</v>
      </c>
      <c r="F17" s="576">
        <f>+F15+F16</f>
        <v>220</v>
      </c>
      <c r="G17" s="649">
        <f>+G15+G16</f>
        <v>100</v>
      </c>
      <c r="H17" s="58">
        <f t="shared" ref="H17:U17" si="21">+H15+H16</f>
        <v>0</v>
      </c>
      <c r="I17" s="58">
        <f t="shared" si="21"/>
        <v>100</v>
      </c>
      <c r="J17" s="58">
        <f t="shared" si="21"/>
        <v>0</v>
      </c>
      <c r="K17" s="58">
        <f t="shared" si="21"/>
        <v>0</v>
      </c>
      <c r="L17" s="58">
        <f t="shared" si="21"/>
        <v>0</v>
      </c>
      <c r="M17" s="58">
        <f t="shared" si="21"/>
        <v>120</v>
      </c>
      <c r="N17" s="58">
        <f t="shared" si="21"/>
        <v>0</v>
      </c>
      <c r="O17" s="576">
        <f t="shared" si="21"/>
        <v>120</v>
      </c>
      <c r="P17" s="649">
        <f t="shared" si="21"/>
        <v>0</v>
      </c>
      <c r="Q17" s="58">
        <f t="shared" si="21"/>
        <v>0</v>
      </c>
      <c r="R17" s="58">
        <f t="shared" si="21"/>
        <v>0</v>
      </c>
      <c r="S17" s="58">
        <f t="shared" si="21"/>
        <v>0</v>
      </c>
      <c r="T17" s="58">
        <f t="shared" si="21"/>
        <v>0</v>
      </c>
      <c r="U17" s="58">
        <f t="shared" si="21"/>
        <v>0</v>
      </c>
    </row>
    <row r="18" spans="1:21" ht="12" customHeight="1" x14ac:dyDescent="0.25">
      <c r="A18" s="578" t="s">
        <v>54</v>
      </c>
      <c r="B18" s="1112" t="s">
        <v>53</v>
      </c>
      <c r="C18" s="1086"/>
      <c r="D18" s="949">
        <f t="shared" si="6"/>
        <v>0</v>
      </c>
      <c r="E18" s="32">
        <f t="shared" ref="E18" si="22">+H18+K18+N18+Q18+T18</f>
        <v>0</v>
      </c>
      <c r="F18" s="929">
        <f t="shared" ref="F18" si="23">+I18+L18+O18+R18+U18</f>
        <v>0</v>
      </c>
      <c r="G18" s="31"/>
      <c r="H18" s="29"/>
      <c r="I18" s="29">
        <f>+H18+G18</f>
        <v>0</v>
      </c>
      <c r="J18" s="29"/>
      <c r="K18" s="29"/>
      <c r="L18" s="29">
        <f>+K18+J18</f>
        <v>0</v>
      </c>
      <c r="M18" s="29"/>
      <c r="N18" s="29"/>
      <c r="O18" s="579">
        <f>+N18+M18</f>
        <v>0</v>
      </c>
      <c r="P18" s="31"/>
      <c r="Q18" s="29"/>
      <c r="R18" s="29"/>
      <c r="S18" s="29"/>
      <c r="T18" s="29"/>
      <c r="U18" s="29"/>
    </row>
    <row r="19" spans="1:21" ht="12" customHeight="1" x14ac:dyDescent="0.25">
      <c r="A19" s="578" t="s">
        <v>56</v>
      </c>
      <c r="B19" s="1112" t="s">
        <v>55</v>
      </c>
      <c r="C19" s="1086"/>
      <c r="D19" s="949">
        <f t="shared" ref="D19:D24" si="24">+G19+J19+M19+P19+S19</f>
        <v>0</v>
      </c>
      <c r="E19" s="32">
        <f t="shared" ref="E19:E24" si="25">+H19+K19+N19+Q19+T19</f>
        <v>0</v>
      </c>
      <c r="F19" s="929">
        <f t="shared" ref="F19:F24" si="26">+I19+L19+O19+R19+U19</f>
        <v>0</v>
      </c>
      <c r="G19" s="31"/>
      <c r="H19" s="29"/>
      <c r="I19" s="29">
        <f t="shared" ref="I19:I24" si="27">+H19+G19</f>
        <v>0</v>
      </c>
      <c r="J19" s="29"/>
      <c r="K19" s="29"/>
      <c r="L19" s="29">
        <f t="shared" ref="L19:L24" si="28">+K19+J19</f>
        <v>0</v>
      </c>
      <c r="M19" s="29"/>
      <c r="N19" s="29"/>
      <c r="O19" s="579">
        <f t="shared" ref="O19:O24" si="29">+N19+M19</f>
        <v>0</v>
      </c>
      <c r="P19" s="31"/>
      <c r="Q19" s="29"/>
      <c r="R19" s="29"/>
      <c r="S19" s="29"/>
      <c r="T19" s="29"/>
      <c r="U19" s="29"/>
    </row>
    <row r="20" spans="1:21" ht="12" customHeight="1" x14ac:dyDescent="0.25">
      <c r="A20" s="578" t="s">
        <v>57</v>
      </c>
      <c r="B20" s="1112" t="s">
        <v>167</v>
      </c>
      <c r="C20" s="1086"/>
      <c r="D20" s="949">
        <f t="shared" si="24"/>
        <v>0</v>
      </c>
      <c r="E20" s="32">
        <f t="shared" si="25"/>
        <v>0</v>
      </c>
      <c r="F20" s="929">
        <f t="shared" si="26"/>
        <v>0</v>
      </c>
      <c r="G20" s="31"/>
      <c r="H20" s="29"/>
      <c r="I20" s="29">
        <f t="shared" si="27"/>
        <v>0</v>
      </c>
      <c r="J20" s="29"/>
      <c r="K20" s="29"/>
      <c r="L20" s="29">
        <f t="shared" si="28"/>
        <v>0</v>
      </c>
      <c r="M20" s="29"/>
      <c r="N20" s="29"/>
      <c r="O20" s="579">
        <f t="shared" si="29"/>
        <v>0</v>
      </c>
      <c r="P20" s="31"/>
      <c r="Q20" s="29"/>
      <c r="R20" s="29"/>
      <c r="S20" s="29"/>
      <c r="T20" s="29"/>
      <c r="U20" s="29"/>
    </row>
    <row r="21" spans="1:21" ht="12" customHeight="1" x14ac:dyDescent="0.25">
      <c r="A21" s="578" t="s">
        <v>59</v>
      </c>
      <c r="B21" s="1112" t="s">
        <v>58</v>
      </c>
      <c r="C21" s="1086"/>
      <c r="D21" s="949">
        <f t="shared" si="24"/>
        <v>0</v>
      </c>
      <c r="E21" s="32">
        <f t="shared" si="25"/>
        <v>0</v>
      </c>
      <c r="F21" s="929">
        <f t="shared" si="26"/>
        <v>0</v>
      </c>
      <c r="G21" s="31"/>
      <c r="H21" s="29"/>
      <c r="I21" s="29">
        <f t="shared" si="27"/>
        <v>0</v>
      </c>
      <c r="J21" s="29"/>
      <c r="K21" s="29"/>
      <c r="L21" s="29">
        <f t="shared" si="28"/>
        <v>0</v>
      </c>
      <c r="M21" s="29"/>
      <c r="N21" s="29"/>
      <c r="O21" s="579">
        <f t="shared" si="29"/>
        <v>0</v>
      </c>
      <c r="P21" s="31"/>
      <c r="Q21" s="29"/>
      <c r="R21" s="29"/>
      <c r="S21" s="29"/>
      <c r="T21" s="29"/>
      <c r="U21" s="29"/>
    </row>
    <row r="22" spans="1:21" ht="12" customHeight="1" x14ac:dyDescent="0.25">
      <c r="A22" s="578" t="s">
        <v>60</v>
      </c>
      <c r="B22" s="1112" t="s">
        <v>166</v>
      </c>
      <c r="C22" s="1086"/>
      <c r="D22" s="949">
        <f t="shared" si="24"/>
        <v>0</v>
      </c>
      <c r="E22" s="32">
        <f t="shared" si="25"/>
        <v>0</v>
      </c>
      <c r="F22" s="929">
        <f t="shared" si="26"/>
        <v>0</v>
      </c>
      <c r="G22" s="31"/>
      <c r="H22" s="29"/>
      <c r="I22" s="29">
        <f t="shared" si="27"/>
        <v>0</v>
      </c>
      <c r="J22" s="29"/>
      <c r="K22" s="29"/>
      <c r="L22" s="29">
        <f t="shared" si="28"/>
        <v>0</v>
      </c>
      <c r="M22" s="29"/>
      <c r="N22" s="29"/>
      <c r="O22" s="579">
        <f t="shared" si="29"/>
        <v>0</v>
      </c>
      <c r="P22" s="31"/>
      <c r="Q22" s="29"/>
      <c r="R22" s="29"/>
      <c r="S22" s="29"/>
      <c r="T22" s="29"/>
      <c r="U22" s="29"/>
    </row>
    <row r="23" spans="1:21" ht="12" customHeight="1" x14ac:dyDescent="0.25">
      <c r="A23" s="578" t="s">
        <v>63</v>
      </c>
      <c r="B23" s="1112" t="s">
        <v>62</v>
      </c>
      <c r="C23" s="1086"/>
      <c r="D23" s="949">
        <f t="shared" si="24"/>
        <v>0</v>
      </c>
      <c r="E23" s="32">
        <f t="shared" si="25"/>
        <v>0</v>
      </c>
      <c r="F23" s="929">
        <f t="shared" si="26"/>
        <v>0</v>
      </c>
      <c r="G23" s="31"/>
      <c r="H23" s="29"/>
      <c r="I23" s="29">
        <f t="shared" si="27"/>
        <v>0</v>
      </c>
      <c r="J23" s="29"/>
      <c r="K23" s="29"/>
      <c r="L23" s="29">
        <f t="shared" si="28"/>
        <v>0</v>
      </c>
      <c r="M23" s="29"/>
      <c r="N23" s="29"/>
      <c r="O23" s="579">
        <f t="shared" si="29"/>
        <v>0</v>
      </c>
      <c r="P23" s="31"/>
      <c r="Q23" s="29"/>
      <c r="R23" s="29"/>
      <c r="S23" s="29"/>
      <c r="T23" s="29"/>
      <c r="U23" s="29"/>
    </row>
    <row r="24" spans="1:21" ht="12" customHeight="1" x14ac:dyDescent="0.25">
      <c r="A24" s="578" t="s">
        <v>65</v>
      </c>
      <c r="B24" s="1112" t="s">
        <v>64</v>
      </c>
      <c r="C24" s="1086"/>
      <c r="D24" s="949">
        <f t="shared" si="24"/>
        <v>997</v>
      </c>
      <c r="E24" s="32">
        <f t="shared" si="25"/>
        <v>0</v>
      </c>
      <c r="F24" s="929">
        <f t="shared" si="26"/>
        <v>997</v>
      </c>
      <c r="G24" s="31">
        <v>200</v>
      </c>
      <c r="H24" s="29"/>
      <c r="I24" s="29">
        <f t="shared" si="27"/>
        <v>200</v>
      </c>
      <c r="J24" s="29">
        <v>497</v>
      </c>
      <c r="K24" s="29"/>
      <c r="L24" s="29">
        <f t="shared" si="28"/>
        <v>497</v>
      </c>
      <c r="M24" s="29">
        <v>300</v>
      </c>
      <c r="N24" s="29"/>
      <c r="O24" s="579">
        <f t="shared" si="29"/>
        <v>300</v>
      </c>
      <c r="P24" s="31"/>
      <c r="Q24" s="29"/>
      <c r="R24" s="29"/>
      <c r="S24" s="29"/>
      <c r="T24" s="29"/>
      <c r="U24" s="29"/>
    </row>
    <row r="25" spans="1:21" s="44" customFormat="1" ht="12" customHeight="1" x14ac:dyDescent="0.25">
      <c r="A25" s="575" t="s">
        <v>66</v>
      </c>
      <c r="B25" s="1111" t="s">
        <v>156</v>
      </c>
      <c r="C25" s="1084"/>
      <c r="D25" s="948">
        <f t="shared" si="6"/>
        <v>997</v>
      </c>
      <c r="E25" s="58">
        <f t="shared" ref="E25:U25" si="30">+E24+E23+E22+E21+E20+E19+E18</f>
        <v>0</v>
      </c>
      <c r="F25" s="576">
        <f t="shared" si="30"/>
        <v>997</v>
      </c>
      <c r="G25" s="649">
        <f t="shared" si="30"/>
        <v>200</v>
      </c>
      <c r="H25" s="58">
        <f t="shared" si="30"/>
        <v>0</v>
      </c>
      <c r="I25" s="58">
        <f t="shared" si="30"/>
        <v>200</v>
      </c>
      <c r="J25" s="58">
        <f t="shared" si="30"/>
        <v>497</v>
      </c>
      <c r="K25" s="58">
        <f t="shared" si="30"/>
        <v>0</v>
      </c>
      <c r="L25" s="58">
        <f t="shared" si="30"/>
        <v>497</v>
      </c>
      <c r="M25" s="58">
        <f t="shared" si="30"/>
        <v>300</v>
      </c>
      <c r="N25" s="58">
        <f t="shared" si="30"/>
        <v>0</v>
      </c>
      <c r="O25" s="576">
        <f t="shared" si="30"/>
        <v>300</v>
      </c>
      <c r="P25" s="649">
        <f t="shared" si="30"/>
        <v>0</v>
      </c>
      <c r="Q25" s="58">
        <f t="shared" si="30"/>
        <v>0</v>
      </c>
      <c r="R25" s="58">
        <f t="shared" si="30"/>
        <v>0</v>
      </c>
      <c r="S25" s="58">
        <f t="shared" si="30"/>
        <v>0</v>
      </c>
      <c r="T25" s="58">
        <f t="shared" si="30"/>
        <v>0</v>
      </c>
      <c r="U25" s="58">
        <f t="shared" si="30"/>
        <v>0</v>
      </c>
    </row>
    <row r="26" spans="1:21" ht="12" customHeight="1" x14ac:dyDescent="0.25">
      <c r="A26" s="578" t="s">
        <v>68</v>
      </c>
      <c r="B26" s="1112" t="s">
        <v>67</v>
      </c>
      <c r="C26" s="1086"/>
      <c r="D26" s="949">
        <f t="shared" si="6"/>
        <v>160</v>
      </c>
      <c r="E26" s="32">
        <f t="shared" ref="E26" si="31">+H26+K26+N26+Q26+T26</f>
        <v>0</v>
      </c>
      <c r="F26" s="929">
        <f t="shared" ref="F26" si="32">+I26+L26+O26+R26+U26</f>
        <v>160</v>
      </c>
      <c r="G26" s="31">
        <v>160</v>
      </c>
      <c r="H26" s="29"/>
      <c r="I26" s="29">
        <f>+H26+G26</f>
        <v>160</v>
      </c>
      <c r="J26" s="29"/>
      <c r="K26" s="29"/>
      <c r="L26" s="29">
        <f>+K26+J26</f>
        <v>0</v>
      </c>
      <c r="M26" s="29"/>
      <c r="N26" s="29"/>
      <c r="O26" s="579">
        <f>+N26+M26</f>
        <v>0</v>
      </c>
      <c r="P26" s="31"/>
      <c r="Q26" s="29"/>
      <c r="R26" s="29"/>
      <c r="S26" s="29"/>
      <c r="T26" s="29"/>
      <c r="U26" s="29"/>
    </row>
    <row r="27" spans="1:21" ht="12" customHeight="1" x14ac:dyDescent="0.25">
      <c r="A27" s="578" t="s">
        <v>70</v>
      </c>
      <c r="B27" s="1112" t="s">
        <v>69</v>
      </c>
      <c r="C27" s="1086"/>
      <c r="D27" s="949">
        <f t="shared" ref="D27" si="33">+G27+J27+M27+P27+S27</f>
        <v>0</v>
      </c>
      <c r="E27" s="32">
        <f t="shared" ref="E27:E29" si="34">+H27+K27+N27+Q27+T27</f>
        <v>0</v>
      </c>
      <c r="F27" s="929">
        <f t="shared" ref="F27:F29" si="35">+I27+L27+O27+R27+U27</f>
        <v>0</v>
      </c>
      <c r="G27" s="31"/>
      <c r="H27" s="29"/>
      <c r="I27" s="29">
        <f>+H27+G27</f>
        <v>0</v>
      </c>
      <c r="J27" s="29"/>
      <c r="K27" s="29"/>
      <c r="L27" s="29">
        <f>+K27+J27</f>
        <v>0</v>
      </c>
      <c r="M27" s="29"/>
      <c r="N27" s="29"/>
      <c r="O27" s="579">
        <f>+N27+M27</f>
        <v>0</v>
      </c>
      <c r="P27" s="31"/>
      <c r="Q27" s="29"/>
      <c r="R27" s="29"/>
      <c r="S27" s="29"/>
      <c r="T27" s="29"/>
      <c r="U27" s="29"/>
    </row>
    <row r="28" spans="1:21" s="44" customFormat="1" ht="12" customHeight="1" x14ac:dyDescent="0.25">
      <c r="A28" s="575" t="s">
        <v>71</v>
      </c>
      <c r="B28" s="1111" t="s">
        <v>155</v>
      </c>
      <c r="C28" s="1084"/>
      <c r="D28" s="948">
        <f t="shared" si="6"/>
        <v>160</v>
      </c>
      <c r="E28" s="55">
        <f t="shared" si="34"/>
        <v>0</v>
      </c>
      <c r="F28" s="925">
        <f t="shared" si="35"/>
        <v>160</v>
      </c>
      <c r="G28" s="649">
        <f>+G26+G27</f>
        <v>160</v>
      </c>
      <c r="H28" s="58">
        <f t="shared" ref="H28:U28" si="36">+H26+H27</f>
        <v>0</v>
      </c>
      <c r="I28" s="58">
        <f t="shared" si="36"/>
        <v>160</v>
      </c>
      <c r="J28" s="58">
        <f t="shared" si="36"/>
        <v>0</v>
      </c>
      <c r="K28" s="58">
        <f t="shared" si="36"/>
        <v>0</v>
      </c>
      <c r="L28" s="58">
        <f t="shared" si="36"/>
        <v>0</v>
      </c>
      <c r="M28" s="58">
        <f t="shared" si="36"/>
        <v>0</v>
      </c>
      <c r="N28" s="58">
        <f t="shared" si="36"/>
        <v>0</v>
      </c>
      <c r="O28" s="576">
        <f t="shared" si="36"/>
        <v>0</v>
      </c>
      <c r="P28" s="649">
        <f t="shared" si="36"/>
        <v>0</v>
      </c>
      <c r="Q28" s="58">
        <f t="shared" si="36"/>
        <v>0</v>
      </c>
      <c r="R28" s="58">
        <f t="shared" si="36"/>
        <v>0</v>
      </c>
      <c r="S28" s="58">
        <f t="shared" si="36"/>
        <v>0</v>
      </c>
      <c r="T28" s="58">
        <f t="shared" si="36"/>
        <v>0</v>
      </c>
      <c r="U28" s="58">
        <f t="shared" si="36"/>
        <v>0</v>
      </c>
    </row>
    <row r="29" spans="1:21" ht="12" customHeight="1" x14ac:dyDescent="0.25">
      <c r="A29" s="578" t="s">
        <v>73</v>
      </c>
      <c r="B29" s="1112" t="s">
        <v>72</v>
      </c>
      <c r="C29" s="1086"/>
      <c r="D29" s="949">
        <f t="shared" si="6"/>
        <v>158</v>
      </c>
      <c r="E29" s="32">
        <f t="shared" si="34"/>
        <v>0</v>
      </c>
      <c r="F29" s="929">
        <f t="shared" si="35"/>
        <v>158</v>
      </c>
      <c r="G29" s="31">
        <v>108</v>
      </c>
      <c r="H29" s="29"/>
      <c r="I29" s="29">
        <f>+H29+G29</f>
        <v>108</v>
      </c>
      <c r="J29" s="29"/>
      <c r="K29" s="29"/>
      <c r="L29" s="29">
        <f>+K29+J29</f>
        <v>0</v>
      </c>
      <c r="M29" s="29">
        <v>50</v>
      </c>
      <c r="N29" s="29"/>
      <c r="O29" s="579">
        <f>+N29+M29</f>
        <v>50</v>
      </c>
      <c r="P29" s="31"/>
      <c r="Q29" s="29"/>
      <c r="R29" s="29"/>
      <c r="S29" s="29"/>
      <c r="T29" s="29"/>
      <c r="U29" s="29"/>
    </row>
    <row r="30" spans="1:21" ht="12" customHeight="1" x14ac:dyDescent="0.25">
      <c r="A30" s="578" t="s">
        <v>75</v>
      </c>
      <c r="B30" s="1112" t="s">
        <v>74</v>
      </c>
      <c r="C30" s="1086"/>
      <c r="D30" s="949">
        <f t="shared" ref="D30:D33" si="37">+G30+J30+M30+P30+S30</f>
        <v>0</v>
      </c>
      <c r="E30" s="32">
        <f t="shared" ref="E30:E34" si="38">+H30+K30+N30+Q30+T30</f>
        <v>0</v>
      </c>
      <c r="F30" s="929">
        <f t="shared" ref="F30:F34" si="39">+I30+L30+O30+R30+U30</f>
        <v>0</v>
      </c>
      <c r="G30" s="31"/>
      <c r="H30" s="29"/>
      <c r="I30" s="29">
        <f t="shared" ref="I30:I33" si="40">+H30+G30</f>
        <v>0</v>
      </c>
      <c r="J30" s="29"/>
      <c r="K30" s="29"/>
      <c r="L30" s="29">
        <f t="shared" ref="L30:L33" si="41">+K30+J30</f>
        <v>0</v>
      </c>
      <c r="M30" s="29"/>
      <c r="N30" s="29"/>
      <c r="O30" s="579">
        <f t="shared" ref="O30:O33" si="42">+N30+M30</f>
        <v>0</v>
      </c>
      <c r="P30" s="31"/>
      <c r="Q30" s="29"/>
      <c r="R30" s="29"/>
      <c r="S30" s="29"/>
      <c r="T30" s="29"/>
      <c r="U30" s="29"/>
    </row>
    <row r="31" spans="1:21" ht="12" customHeight="1" x14ac:dyDescent="0.25">
      <c r="A31" s="578" t="s">
        <v>76</v>
      </c>
      <c r="B31" s="1112" t="s">
        <v>154</v>
      </c>
      <c r="C31" s="1086"/>
      <c r="D31" s="949">
        <f t="shared" si="37"/>
        <v>0</v>
      </c>
      <c r="E31" s="32">
        <f t="shared" si="38"/>
        <v>0</v>
      </c>
      <c r="F31" s="929">
        <f t="shared" si="39"/>
        <v>0</v>
      </c>
      <c r="G31" s="31"/>
      <c r="H31" s="29"/>
      <c r="I31" s="29">
        <f t="shared" si="40"/>
        <v>0</v>
      </c>
      <c r="J31" s="29"/>
      <c r="K31" s="29"/>
      <c r="L31" s="29">
        <f t="shared" si="41"/>
        <v>0</v>
      </c>
      <c r="M31" s="29"/>
      <c r="N31" s="29"/>
      <c r="O31" s="579">
        <f t="shared" si="42"/>
        <v>0</v>
      </c>
      <c r="P31" s="31"/>
      <c r="Q31" s="29"/>
      <c r="R31" s="29"/>
      <c r="S31" s="29"/>
      <c r="T31" s="29"/>
      <c r="U31" s="29"/>
    </row>
    <row r="32" spans="1:21" ht="12" customHeight="1" x14ac:dyDescent="0.25">
      <c r="A32" s="578" t="s">
        <v>77</v>
      </c>
      <c r="B32" s="1112" t="s">
        <v>153</v>
      </c>
      <c r="C32" s="1086"/>
      <c r="D32" s="949">
        <f t="shared" si="37"/>
        <v>0</v>
      </c>
      <c r="E32" s="32">
        <f t="shared" si="38"/>
        <v>0</v>
      </c>
      <c r="F32" s="929">
        <f t="shared" si="39"/>
        <v>0</v>
      </c>
      <c r="G32" s="31"/>
      <c r="H32" s="29"/>
      <c r="I32" s="29">
        <f t="shared" si="40"/>
        <v>0</v>
      </c>
      <c r="J32" s="29"/>
      <c r="K32" s="29"/>
      <c r="L32" s="29">
        <f t="shared" si="41"/>
        <v>0</v>
      </c>
      <c r="M32" s="29"/>
      <c r="N32" s="29"/>
      <c r="O32" s="579">
        <f t="shared" si="42"/>
        <v>0</v>
      </c>
      <c r="P32" s="31"/>
      <c r="Q32" s="29"/>
      <c r="R32" s="29"/>
      <c r="S32" s="29"/>
      <c r="T32" s="29"/>
      <c r="U32" s="29"/>
    </row>
    <row r="33" spans="1:21" ht="12" customHeight="1" x14ac:dyDescent="0.25">
      <c r="A33" s="578" t="s">
        <v>79</v>
      </c>
      <c r="B33" s="1112" t="s">
        <v>78</v>
      </c>
      <c r="C33" s="1086"/>
      <c r="D33" s="949">
        <f t="shared" si="37"/>
        <v>0</v>
      </c>
      <c r="E33" s="32">
        <f t="shared" si="38"/>
        <v>0</v>
      </c>
      <c r="F33" s="929">
        <f t="shared" si="39"/>
        <v>0</v>
      </c>
      <c r="G33" s="31"/>
      <c r="H33" s="29"/>
      <c r="I33" s="29">
        <f t="shared" si="40"/>
        <v>0</v>
      </c>
      <c r="J33" s="29"/>
      <c r="K33" s="29"/>
      <c r="L33" s="29">
        <f t="shared" si="41"/>
        <v>0</v>
      </c>
      <c r="M33" s="29"/>
      <c r="N33" s="29"/>
      <c r="O33" s="579">
        <f t="shared" si="42"/>
        <v>0</v>
      </c>
      <c r="P33" s="31"/>
      <c r="Q33" s="29"/>
      <c r="R33" s="29"/>
      <c r="S33" s="29"/>
      <c r="T33" s="29"/>
      <c r="U33" s="29"/>
    </row>
    <row r="34" spans="1:21" s="44" customFormat="1" ht="12" customHeight="1" x14ac:dyDescent="0.25">
      <c r="A34" s="575" t="s">
        <v>80</v>
      </c>
      <c r="B34" s="1111" t="s">
        <v>152</v>
      </c>
      <c r="C34" s="1084"/>
      <c r="D34" s="948">
        <f t="shared" si="6"/>
        <v>158</v>
      </c>
      <c r="E34" s="55">
        <f t="shared" si="38"/>
        <v>0</v>
      </c>
      <c r="F34" s="925">
        <f t="shared" si="39"/>
        <v>158</v>
      </c>
      <c r="G34" s="649">
        <f>SUM(G29:G33)</f>
        <v>108</v>
      </c>
      <c r="H34" s="58">
        <f t="shared" ref="H34:U34" si="43">SUM(H29:H33)</f>
        <v>0</v>
      </c>
      <c r="I34" s="58">
        <f t="shared" si="43"/>
        <v>108</v>
      </c>
      <c r="J34" s="58">
        <f t="shared" si="43"/>
        <v>0</v>
      </c>
      <c r="K34" s="58">
        <f t="shared" si="43"/>
        <v>0</v>
      </c>
      <c r="L34" s="58">
        <f t="shared" si="43"/>
        <v>0</v>
      </c>
      <c r="M34" s="58">
        <f t="shared" si="43"/>
        <v>50</v>
      </c>
      <c r="N34" s="58">
        <f t="shared" si="43"/>
        <v>0</v>
      </c>
      <c r="O34" s="576">
        <f t="shared" si="43"/>
        <v>50</v>
      </c>
      <c r="P34" s="649">
        <f t="shared" si="43"/>
        <v>0</v>
      </c>
      <c r="Q34" s="58">
        <f t="shared" si="43"/>
        <v>0</v>
      </c>
      <c r="R34" s="58">
        <f t="shared" si="43"/>
        <v>0</v>
      </c>
      <c r="S34" s="58">
        <f t="shared" si="43"/>
        <v>0</v>
      </c>
      <c r="T34" s="58">
        <f t="shared" si="43"/>
        <v>0</v>
      </c>
      <c r="U34" s="58">
        <f t="shared" si="43"/>
        <v>0</v>
      </c>
    </row>
    <row r="35" spans="1:21" s="44" customFormat="1" ht="12" customHeight="1" x14ac:dyDescent="0.25">
      <c r="A35" s="921" t="s">
        <v>81</v>
      </c>
      <c r="B35" s="1108" t="s">
        <v>151</v>
      </c>
      <c r="C35" s="1152"/>
      <c r="D35" s="943">
        <f t="shared" ref="D35:U35" si="44">+D34+D28+D25+D17+D14</f>
        <v>1855</v>
      </c>
      <c r="E35" s="56">
        <f t="shared" si="44"/>
        <v>0</v>
      </c>
      <c r="F35" s="922">
        <f t="shared" si="44"/>
        <v>1855</v>
      </c>
      <c r="G35" s="918">
        <f t="shared" si="44"/>
        <v>848</v>
      </c>
      <c r="H35" s="56">
        <f t="shared" si="44"/>
        <v>0</v>
      </c>
      <c r="I35" s="56">
        <f t="shared" si="44"/>
        <v>848</v>
      </c>
      <c r="J35" s="56">
        <f t="shared" si="44"/>
        <v>497</v>
      </c>
      <c r="K35" s="56">
        <f t="shared" si="44"/>
        <v>0</v>
      </c>
      <c r="L35" s="56">
        <f t="shared" si="44"/>
        <v>497</v>
      </c>
      <c r="M35" s="56">
        <f t="shared" si="44"/>
        <v>510</v>
      </c>
      <c r="N35" s="56">
        <f t="shared" si="44"/>
        <v>0</v>
      </c>
      <c r="O35" s="922">
        <f t="shared" si="44"/>
        <v>510</v>
      </c>
      <c r="P35" s="918">
        <f t="shared" si="44"/>
        <v>0</v>
      </c>
      <c r="Q35" s="56">
        <f t="shared" si="44"/>
        <v>0</v>
      </c>
      <c r="R35" s="56">
        <f t="shared" si="44"/>
        <v>0</v>
      </c>
      <c r="S35" s="56">
        <f t="shared" si="44"/>
        <v>0</v>
      </c>
      <c r="T35" s="56">
        <f t="shared" si="44"/>
        <v>0</v>
      </c>
      <c r="U35" s="56">
        <f t="shared" si="44"/>
        <v>0</v>
      </c>
    </row>
    <row r="36" spans="1:21" ht="9.75" customHeight="1" x14ac:dyDescent="0.25">
      <c r="A36" s="473"/>
      <c r="B36" s="9"/>
      <c r="C36" s="939"/>
      <c r="D36" s="950"/>
      <c r="E36" s="30"/>
      <c r="F36" s="923"/>
      <c r="G36" s="30"/>
      <c r="H36" s="30"/>
      <c r="I36" s="31"/>
      <c r="J36" s="30"/>
      <c r="K36" s="30"/>
      <c r="L36" s="31"/>
      <c r="M36" s="30"/>
      <c r="N36" s="30"/>
      <c r="O36" s="923"/>
      <c r="P36" s="30"/>
      <c r="Q36" s="30"/>
      <c r="R36" s="31"/>
      <c r="S36" s="30"/>
      <c r="T36" s="30"/>
      <c r="U36" s="31"/>
    </row>
    <row r="37" spans="1:21" ht="12" customHeight="1" x14ac:dyDescent="0.25">
      <c r="A37" s="928" t="s">
        <v>110</v>
      </c>
      <c r="B37" s="1109" t="s">
        <v>109</v>
      </c>
      <c r="C37" s="1082"/>
      <c r="D37" s="949">
        <f t="shared" ref="D37" si="45">+G37+J37+M37+S37</f>
        <v>0</v>
      </c>
      <c r="E37" s="32">
        <f t="shared" ref="E37" si="46">+H37+K37+N37+T37</f>
        <v>0</v>
      </c>
      <c r="F37" s="929">
        <f t="shared" ref="F37" si="47">+I37+L37+O37+U37</f>
        <v>0</v>
      </c>
      <c r="G37" s="108"/>
      <c r="H37" s="32"/>
      <c r="I37" s="32">
        <f>+H37+G37</f>
        <v>0</v>
      </c>
      <c r="J37" s="32"/>
      <c r="K37" s="32"/>
      <c r="L37" s="32">
        <f>+K37+J37</f>
        <v>0</v>
      </c>
      <c r="M37" s="32"/>
      <c r="N37" s="32"/>
      <c r="O37" s="929"/>
      <c r="P37" s="108"/>
      <c r="Q37" s="32"/>
      <c r="R37" s="32"/>
      <c r="S37" s="32"/>
      <c r="T37" s="32"/>
      <c r="U37" s="32"/>
    </row>
    <row r="38" spans="1:21" ht="12" customHeight="1" x14ac:dyDescent="0.25">
      <c r="A38" s="578" t="s">
        <v>111</v>
      </c>
      <c r="B38" s="1112" t="s">
        <v>162</v>
      </c>
      <c r="C38" s="1086"/>
      <c r="D38" s="949">
        <f t="shared" ref="D38:D44" si="48">+G38+J38+M38+S38</f>
        <v>0</v>
      </c>
      <c r="E38" s="32">
        <f t="shared" ref="E38:E44" si="49">+H38+K38+N38+T38</f>
        <v>0</v>
      </c>
      <c r="F38" s="929">
        <f t="shared" ref="F38:F44" si="50">+I38+L38+O38+U38</f>
        <v>0</v>
      </c>
      <c r="G38" s="31"/>
      <c r="H38" s="29"/>
      <c r="I38" s="32">
        <f t="shared" ref="I38:I44" si="51">+H38+G38</f>
        <v>0</v>
      </c>
      <c r="J38" s="29"/>
      <c r="K38" s="29"/>
      <c r="L38" s="32">
        <f t="shared" ref="L38:L44" si="52">+K38+J38</f>
        <v>0</v>
      </c>
      <c r="M38" s="29"/>
      <c r="N38" s="29"/>
      <c r="O38" s="579"/>
      <c r="P38" s="31"/>
      <c r="Q38" s="29"/>
      <c r="R38" s="29"/>
      <c r="S38" s="29"/>
      <c r="T38" s="29"/>
      <c r="U38" s="29"/>
    </row>
    <row r="39" spans="1:21" s="40" customFormat="1" ht="12" customHeight="1" x14ac:dyDescent="0.25">
      <c r="A39" s="930" t="s">
        <v>111</v>
      </c>
      <c r="B39" s="39"/>
      <c r="C39" s="941" t="s">
        <v>112</v>
      </c>
      <c r="D39" s="949">
        <f t="shared" si="48"/>
        <v>0</v>
      </c>
      <c r="E39" s="32">
        <f t="shared" si="49"/>
        <v>0</v>
      </c>
      <c r="F39" s="929">
        <f t="shared" si="50"/>
        <v>0</v>
      </c>
      <c r="G39" s="57"/>
      <c r="H39" s="53"/>
      <c r="I39" s="32">
        <f t="shared" si="51"/>
        <v>0</v>
      </c>
      <c r="J39" s="53"/>
      <c r="K39" s="53"/>
      <c r="L39" s="32">
        <f t="shared" si="52"/>
        <v>0</v>
      </c>
      <c r="M39" s="53"/>
      <c r="N39" s="53"/>
      <c r="O39" s="931"/>
      <c r="P39" s="57"/>
      <c r="Q39" s="53"/>
      <c r="R39" s="53"/>
      <c r="S39" s="53"/>
      <c r="T39" s="53"/>
      <c r="U39" s="53"/>
    </row>
    <row r="40" spans="1:21" ht="12" customHeight="1" x14ac:dyDescent="0.25">
      <c r="A40" s="578" t="s">
        <v>114</v>
      </c>
      <c r="B40" s="1112" t="s">
        <v>113</v>
      </c>
      <c r="C40" s="1086"/>
      <c r="D40" s="949">
        <f t="shared" si="48"/>
        <v>0</v>
      </c>
      <c r="E40" s="32">
        <f t="shared" si="49"/>
        <v>0</v>
      </c>
      <c r="F40" s="929">
        <f t="shared" si="50"/>
        <v>0</v>
      </c>
      <c r="G40" s="31"/>
      <c r="H40" s="29"/>
      <c r="I40" s="32">
        <f t="shared" si="51"/>
        <v>0</v>
      </c>
      <c r="J40" s="29"/>
      <c r="K40" s="29"/>
      <c r="L40" s="32">
        <f t="shared" si="52"/>
        <v>0</v>
      </c>
      <c r="M40" s="29"/>
      <c r="N40" s="29"/>
      <c r="O40" s="579"/>
      <c r="P40" s="31"/>
      <c r="Q40" s="29"/>
      <c r="R40" s="29"/>
      <c r="S40" s="29"/>
      <c r="T40" s="29"/>
      <c r="U40" s="29"/>
    </row>
    <row r="41" spans="1:21" ht="12" customHeight="1" x14ac:dyDescent="0.25">
      <c r="A41" s="578" t="s">
        <v>116</v>
      </c>
      <c r="B41" s="1112" t="s">
        <v>115</v>
      </c>
      <c r="C41" s="1086"/>
      <c r="D41" s="949">
        <f t="shared" si="48"/>
        <v>126</v>
      </c>
      <c r="E41" s="32">
        <f t="shared" si="49"/>
        <v>0</v>
      </c>
      <c r="F41" s="929">
        <f t="shared" si="50"/>
        <v>126</v>
      </c>
      <c r="G41" s="31">
        <v>126</v>
      </c>
      <c r="H41" s="29"/>
      <c r="I41" s="32">
        <f t="shared" si="51"/>
        <v>126</v>
      </c>
      <c r="J41" s="29"/>
      <c r="K41" s="29"/>
      <c r="L41" s="32">
        <f t="shared" si="52"/>
        <v>0</v>
      </c>
      <c r="M41" s="29"/>
      <c r="N41" s="29"/>
      <c r="O41" s="579"/>
      <c r="P41" s="31"/>
      <c r="Q41" s="29"/>
      <c r="R41" s="29"/>
      <c r="S41" s="29"/>
      <c r="T41" s="29"/>
      <c r="U41" s="29"/>
    </row>
    <row r="42" spans="1:21" ht="12" customHeight="1" x14ac:dyDescent="0.25">
      <c r="A42" s="578" t="s">
        <v>118</v>
      </c>
      <c r="B42" s="1112" t="s">
        <v>117</v>
      </c>
      <c r="C42" s="1086"/>
      <c r="D42" s="949">
        <f t="shared" si="48"/>
        <v>34</v>
      </c>
      <c r="E42" s="32">
        <f t="shared" si="49"/>
        <v>0</v>
      </c>
      <c r="F42" s="929">
        <f t="shared" si="50"/>
        <v>34</v>
      </c>
      <c r="G42" s="31">
        <v>34</v>
      </c>
      <c r="H42" s="29"/>
      <c r="I42" s="32">
        <f t="shared" si="51"/>
        <v>34</v>
      </c>
      <c r="J42" s="29"/>
      <c r="K42" s="29"/>
      <c r="L42" s="32">
        <f t="shared" si="52"/>
        <v>0</v>
      </c>
      <c r="M42" s="29"/>
      <c r="N42" s="29"/>
      <c r="O42" s="579"/>
      <c r="P42" s="31"/>
      <c r="Q42" s="29"/>
      <c r="R42" s="29"/>
      <c r="S42" s="29"/>
      <c r="T42" s="29"/>
      <c r="U42" s="29"/>
    </row>
    <row r="43" spans="1:21" ht="12" customHeight="1" x14ac:dyDescent="0.25">
      <c r="A43" s="578" t="s">
        <v>120</v>
      </c>
      <c r="B43" s="1112" t="s">
        <v>119</v>
      </c>
      <c r="C43" s="1086"/>
      <c r="D43" s="949">
        <f t="shared" si="48"/>
        <v>0</v>
      </c>
      <c r="E43" s="32">
        <f t="shared" si="49"/>
        <v>0</v>
      </c>
      <c r="F43" s="929">
        <f t="shared" si="50"/>
        <v>0</v>
      </c>
      <c r="G43" s="31"/>
      <c r="H43" s="29"/>
      <c r="I43" s="32">
        <f t="shared" si="51"/>
        <v>0</v>
      </c>
      <c r="J43" s="29"/>
      <c r="K43" s="29"/>
      <c r="L43" s="32">
        <f t="shared" si="52"/>
        <v>0</v>
      </c>
      <c r="M43" s="29"/>
      <c r="N43" s="29"/>
      <c r="O43" s="579"/>
      <c r="P43" s="31"/>
      <c r="Q43" s="29"/>
      <c r="R43" s="29"/>
      <c r="S43" s="29"/>
      <c r="T43" s="29"/>
      <c r="U43" s="29"/>
    </row>
    <row r="44" spans="1:21" ht="12" customHeight="1" x14ac:dyDescent="0.25">
      <c r="A44" s="578" t="s">
        <v>122</v>
      </c>
      <c r="B44" s="1112" t="s">
        <v>121</v>
      </c>
      <c r="C44" s="1086"/>
      <c r="D44" s="949">
        <f t="shared" si="48"/>
        <v>0</v>
      </c>
      <c r="E44" s="32">
        <f t="shared" si="49"/>
        <v>0</v>
      </c>
      <c r="F44" s="929">
        <f t="shared" si="50"/>
        <v>0</v>
      </c>
      <c r="G44" s="31"/>
      <c r="H44" s="29"/>
      <c r="I44" s="32">
        <f t="shared" si="51"/>
        <v>0</v>
      </c>
      <c r="J44" s="29"/>
      <c r="K44" s="29"/>
      <c r="L44" s="32">
        <f t="shared" si="52"/>
        <v>0</v>
      </c>
      <c r="M44" s="29"/>
      <c r="N44" s="29"/>
      <c r="O44" s="579"/>
      <c r="P44" s="31"/>
      <c r="Q44" s="29"/>
      <c r="R44" s="29"/>
      <c r="S44" s="29"/>
      <c r="T44" s="29"/>
      <c r="U44" s="29"/>
    </row>
    <row r="45" spans="1:21" s="44" customFormat="1" ht="12" customHeight="1" x14ac:dyDescent="0.25">
      <c r="A45" s="921" t="s">
        <v>123</v>
      </c>
      <c r="B45" s="1108" t="s">
        <v>161</v>
      </c>
      <c r="C45" s="1152"/>
      <c r="D45" s="943">
        <f>+D44+D43+D42+D41+D40+D38+D37</f>
        <v>160</v>
      </c>
      <c r="E45" s="56">
        <f>+E44+E43+E42+E41+E40+E38+E37</f>
        <v>0</v>
      </c>
      <c r="F45" s="922">
        <f>+F44+F43+F42+F41+F40+F38+F37</f>
        <v>160</v>
      </c>
      <c r="G45" s="918">
        <f>+G44+G43+G42+G41+G40+G38+G37</f>
        <v>160</v>
      </c>
      <c r="H45" s="56">
        <f t="shared" ref="H45:U45" si="53">+H44+H43+H42+H41+H40+H38+H37</f>
        <v>0</v>
      </c>
      <c r="I45" s="56">
        <f t="shared" si="53"/>
        <v>160</v>
      </c>
      <c r="J45" s="56">
        <f t="shared" si="53"/>
        <v>0</v>
      </c>
      <c r="K45" s="56">
        <f t="shared" si="53"/>
        <v>0</v>
      </c>
      <c r="L45" s="56">
        <f t="shared" si="53"/>
        <v>0</v>
      </c>
      <c r="M45" s="56">
        <f t="shared" si="53"/>
        <v>0</v>
      </c>
      <c r="N45" s="56">
        <f t="shared" si="53"/>
        <v>0</v>
      </c>
      <c r="O45" s="922">
        <f t="shared" si="53"/>
        <v>0</v>
      </c>
      <c r="P45" s="918">
        <f t="shared" si="53"/>
        <v>0</v>
      </c>
      <c r="Q45" s="56">
        <f t="shared" si="53"/>
        <v>0</v>
      </c>
      <c r="R45" s="56">
        <f t="shared" si="53"/>
        <v>0</v>
      </c>
      <c r="S45" s="56">
        <f t="shared" si="53"/>
        <v>0</v>
      </c>
      <c r="T45" s="56">
        <f t="shared" si="53"/>
        <v>0</v>
      </c>
      <c r="U45" s="56">
        <f t="shared" si="53"/>
        <v>0</v>
      </c>
    </row>
    <row r="46" spans="1:21" ht="9" customHeight="1" x14ac:dyDescent="0.25">
      <c r="A46" s="473"/>
      <c r="B46" s="9"/>
      <c r="C46" s="939"/>
      <c r="D46" s="950"/>
      <c r="E46" s="30"/>
      <c r="F46" s="923"/>
      <c r="G46" s="30"/>
      <c r="H46" s="30"/>
      <c r="I46" s="30"/>
      <c r="J46" s="30"/>
      <c r="K46" s="30"/>
      <c r="L46" s="31"/>
      <c r="M46" s="30"/>
      <c r="N46" s="30"/>
      <c r="O46" s="923"/>
      <c r="P46" s="30"/>
      <c r="Q46" s="30"/>
      <c r="R46" s="31"/>
      <c r="S46" s="30"/>
      <c r="T46" s="30"/>
      <c r="U46" s="31"/>
    </row>
    <row r="47" spans="1:21" ht="12" hidden="1" customHeight="1" x14ac:dyDescent="0.25">
      <c r="A47" s="578" t="s">
        <v>125</v>
      </c>
      <c r="B47" s="1112" t="s">
        <v>124</v>
      </c>
      <c r="C47" s="1086"/>
      <c r="D47" s="654"/>
      <c r="E47" s="29"/>
      <c r="F47" s="579"/>
      <c r="G47" s="31"/>
      <c r="H47" s="29"/>
      <c r="I47" s="29"/>
      <c r="J47" s="29"/>
      <c r="K47" s="29"/>
      <c r="L47" s="29"/>
      <c r="M47" s="29"/>
      <c r="N47" s="29"/>
      <c r="O47" s="579"/>
      <c r="P47" s="31"/>
      <c r="Q47" s="29"/>
      <c r="R47" s="29"/>
      <c r="S47" s="29"/>
      <c r="T47" s="29"/>
      <c r="U47" s="29"/>
    </row>
    <row r="48" spans="1:21" ht="12" hidden="1" customHeight="1" x14ac:dyDescent="0.25">
      <c r="A48" s="578" t="s">
        <v>127</v>
      </c>
      <c r="B48" s="1112" t="s">
        <v>126</v>
      </c>
      <c r="C48" s="1086"/>
      <c r="D48" s="654"/>
      <c r="E48" s="29"/>
      <c r="F48" s="579"/>
      <c r="G48" s="31"/>
      <c r="H48" s="29"/>
      <c r="I48" s="29"/>
      <c r="J48" s="29"/>
      <c r="K48" s="29"/>
      <c r="L48" s="29"/>
      <c r="M48" s="29"/>
      <c r="N48" s="29"/>
      <c r="O48" s="579"/>
      <c r="P48" s="31"/>
      <c r="Q48" s="29"/>
      <c r="R48" s="29"/>
      <c r="S48" s="29"/>
      <c r="T48" s="29"/>
      <c r="U48" s="29"/>
    </row>
    <row r="49" spans="1:21" ht="12" hidden="1" customHeight="1" x14ac:dyDescent="0.25">
      <c r="A49" s="578" t="s">
        <v>129</v>
      </c>
      <c r="B49" s="1112" t="s">
        <v>128</v>
      </c>
      <c r="C49" s="1086"/>
      <c r="D49" s="654"/>
      <c r="E49" s="29"/>
      <c r="F49" s="579"/>
      <c r="G49" s="31"/>
      <c r="H49" s="29"/>
      <c r="I49" s="29"/>
      <c r="J49" s="29"/>
      <c r="K49" s="29"/>
      <c r="L49" s="29"/>
      <c r="M49" s="29"/>
      <c r="N49" s="29"/>
      <c r="O49" s="579"/>
      <c r="P49" s="31"/>
      <c r="Q49" s="29"/>
      <c r="R49" s="29"/>
      <c r="S49" s="29"/>
      <c r="T49" s="29"/>
      <c r="U49" s="29"/>
    </row>
    <row r="50" spans="1:21" ht="15" hidden="1" customHeight="1" x14ac:dyDescent="0.25">
      <c r="A50" s="578" t="s">
        <v>131</v>
      </c>
      <c r="B50" s="1112" t="s">
        <v>130</v>
      </c>
      <c r="C50" s="1086"/>
      <c r="D50" s="654"/>
      <c r="E50" s="29"/>
      <c r="F50" s="579"/>
      <c r="G50" s="31"/>
      <c r="H50" s="29"/>
      <c r="I50" s="29"/>
      <c r="J50" s="29"/>
      <c r="K50" s="29"/>
      <c r="L50" s="29"/>
      <c r="M50" s="29"/>
      <c r="N50" s="29"/>
      <c r="O50" s="579"/>
      <c r="P50" s="31"/>
      <c r="Q50" s="29"/>
      <c r="R50" s="29"/>
      <c r="S50" s="29"/>
      <c r="T50" s="29"/>
      <c r="U50" s="29"/>
    </row>
    <row r="51" spans="1:21" s="44" customFormat="1" ht="12" customHeight="1" x14ac:dyDescent="0.25">
      <c r="A51" s="921" t="s">
        <v>132</v>
      </c>
      <c r="B51" s="1108" t="s">
        <v>160</v>
      </c>
      <c r="C51" s="1152"/>
      <c r="D51" s="943"/>
      <c r="E51" s="56"/>
      <c r="F51" s="922"/>
      <c r="G51" s="918"/>
      <c r="H51" s="56"/>
      <c r="I51" s="56"/>
      <c r="J51" s="56"/>
      <c r="K51" s="56"/>
      <c r="L51" s="56"/>
      <c r="M51" s="56"/>
      <c r="N51" s="56"/>
      <c r="O51" s="922"/>
      <c r="P51" s="918"/>
      <c r="Q51" s="56"/>
      <c r="R51" s="56"/>
      <c r="S51" s="56"/>
      <c r="T51" s="56"/>
      <c r="U51" s="56"/>
    </row>
    <row r="52" spans="1:21" ht="7.5" customHeight="1" x14ac:dyDescent="0.25">
      <c r="A52" s="473"/>
      <c r="B52" s="9"/>
      <c r="C52" s="939"/>
      <c r="D52" s="950"/>
      <c r="E52" s="30"/>
      <c r="F52" s="923"/>
      <c r="G52" s="30"/>
      <c r="H52" s="30"/>
      <c r="I52" s="30"/>
      <c r="J52" s="30"/>
      <c r="K52" s="30"/>
      <c r="L52" s="30"/>
      <c r="M52" s="30"/>
      <c r="N52" s="30"/>
      <c r="O52" s="923"/>
      <c r="P52" s="30"/>
      <c r="Q52" s="30"/>
      <c r="R52" s="30"/>
      <c r="S52" s="30"/>
      <c r="T52" s="30"/>
      <c r="U52" s="30"/>
    </row>
    <row r="53" spans="1:21" ht="12" hidden="1" customHeight="1" x14ac:dyDescent="0.25">
      <c r="A53" s="471" t="s">
        <v>381</v>
      </c>
      <c r="B53" s="1109" t="s">
        <v>382</v>
      </c>
      <c r="C53" s="1082"/>
      <c r="D53" s="951"/>
      <c r="E53" s="107"/>
      <c r="F53" s="932"/>
      <c r="G53" s="107"/>
      <c r="H53" s="107"/>
      <c r="I53" s="107"/>
      <c r="J53" s="107"/>
      <c r="K53" s="107"/>
      <c r="L53" s="107"/>
      <c r="M53" s="107"/>
      <c r="N53" s="107"/>
      <c r="O53" s="932"/>
      <c r="P53" s="107"/>
      <c r="Q53" s="107"/>
      <c r="R53" s="107"/>
      <c r="S53" s="107"/>
      <c r="T53" s="107"/>
      <c r="U53" s="107"/>
    </row>
    <row r="54" spans="1:21" ht="12" hidden="1" customHeight="1" x14ac:dyDescent="0.25">
      <c r="A54" s="471" t="s">
        <v>394</v>
      </c>
      <c r="B54" s="1115" t="s">
        <v>395</v>
      </c>
      <c r="C54" s="1163"/>
      <c r="D54" s="951"/>
      <c r="E54" s="107"/>
      <c r="F54" s="932"/>
      <c r="G54" s="107"/>
      <c r="H54" s="107"/>
      <c r="I54" s="107"/>
      <c r="J54" s="107"/>
      <c r="K54" s="107"/>
      <c r="L54" s="107"/>
      <c r="M54" s="107"/>
      <c r="N54" s="107"/>
      <c r="O54" s="932"/>
      <c r="P54" s="107"/>
      <c r="Q54" s="107"/>
      <c r="R54" s="107"/>
      <c r="S54" s="107"/>
      <c r="T54" s="107"/>
      <c r="U54" s="107"/>
    </row>
    <row r="55" spans="1:21" ht="12" hidden="1" customHeight="1" x14ac:dyDescent="0.25">
      <c r="A55" s="928" t="s">
        <v>635</v>
      </c>
      <c r="B55" s="1109" t="s">
        <v>159</v>
      </c>
      <c r="C55" s="1082"/>
      <c r="D55" s="949"/>
      <c r="E55" s="32"/>
      <c r="F55" s="929"/>
      <c r="G55" s="108"/>
      <c r="H55" s="32"/>
      <c r="I55" s="32"/>
      <c r="J55" s="32"/>
      <c r="K55" s="32"/>
      <c r="L55" s="32"/>
      <c r="M55" s="32"/>
      <c r="N55" s="32"/>
      <c r="O55" s="929"/>
      <c r="P55" s="108"/>
      <c r="Q55" s="32"/>
      <c r="R55" s="32"/>
      <c r="S55" s="32"/>
      <c r="T55" s="32"/>
      <c r="U55" s="32"/>
    </row>
    <row r="56" spans="1:21" s="44" customFormat="1" ht="12" customHeight="1" x14ac:dyDescent="0.25">
      <c r="A56" s="933" t="s">
        <v>134</v>
      </c>
      <c r="B56" s="1113" t="s">
        <v>158</v>
      </c>
      <c r="C56" s="1151"/>
      <c r="D56" s="952"/>
      <c r="E56" s="54"/>
      <c r="F56" s="934"/>
      <c r="G56" s="920"/>
      <c r="H56" s="54"/>
      <c r="I56" s="54"/>
      <c r="J56" s="54"/>
      <c r="K56" s="54"/>
      <c r="L56" s="54"/>
      <c r="M56" s="54"/>
      <c r="N56" s="54"/>
      <c r="O56" s="934"/>
      <c r="P56" s="920"/>
      <c r="Q56" s="54"/>
      <c r="R56" s="54"/>
      <c r="S56" s="54"/>
      <c r="T56" s="54"/>
      <c r="U56" s="54"/>
    </row>
    <row r="57" spans="1:21" ht="12" customHeight="1" x14ac:dyDescent="0.25">
      <c r="A57" s="473"/>
      <c r="B57" s="16"/>
      <c r="C57" s="942"/>
      <c r="D57" s="950"/>
      <c r="E57" s="30"/>
      <c r="F57" s="923"/>
      <c r="G57" s="30"/>
      <c r="H57" s="30"/>
      <c r="I57" s="30"/>
      <c r="J57" s="30"/>
      <c r="K57" s="30"/>
      <c r="L57" s="31"/>
      <c r="M57" s="30"/>
      <c r="N57" s="30"/>
      <c r="O57" s="923"/>
      <c r="P57" s="30"/>
      <c r="Q57" s="30"/>
      <c r="R57" s="31"/>
      <c r="S57" s="30"/>
      <c r="T57" s="30"/>
      <c r="U57" s="31"/>
    </row>
    <row r="58" spans="1:21" s="44" customFormat="1" ht="12" customHeight="1" thickBot="1" x14ac:dyDescent="0.3">
      <c r="A58" s="935" t="s">
        <v>135</v>
      </c>
      <c r="B58" s="1149" t="s">
        <v>157</v>
      </c>
      <c r="C58" s="1150"/>
      <c r="D58" s="953">
        <f t="shared" ref="D58:U58" si="54">+D56+D51+D45+D35+D9+D7</f>
        <v>16749</v>
      </c>
      <c r="E58" s="936">
        <f t="shared" si="54"/>
        <v>0</v>
      </c>
      <c r="F58" s="937">
        <f t="shared" si="54"/>
        <v>16749</v>
      </c>
      <c r="G58" s="938">
        <f t="shared" si="54"/>
        <v>10554</v>
      </c>
      <c r="H58" s="936">
        <f t="shared" si="54"/>
        <v>0</v>
      </c>
      <c r="I58" s="936">
        <f t="shared" si="54"/>
        <v>10554</v>
      </c>
      <c r="J58" s="936">
        <f t="shared" si="54"/>
        <v>4664</v>
      </c>
      <c r="K58" s="936">
        <f t="shared" si="54"/>
        <v>0</v>
      </c>
      <c r="L58" s="936">
        <f t="shared" si="54"/>
        <v>4664</v>
      </c>
      <c r="M58" s="936">
        <f t="shared" si="54"/>
        <v>1531</v>
      </c>
      <c r="N58" s="936">
        <f t="shared" si="54"/>
        <v>0</v>
      </c>
      <c r="O58" s="937">
        <f t="shared" si="54"/>
        <v>1531</v>
      </c>
      <c r="P58" s="919">
        <f t="shared" si="54"/>
        <v>0</v>
      </c>
      <c r="Q58" s="55">
        <f t="shared" si="54"/>
        <v>0</v>
      </c>
      <c r="R58" s="55">
        <f t="shared" si="54"/>
        <v>0</v>
      </c>
      <c r="S58" s="55">
        <f t="shared" si="54"/>
        <v>0</v>
      </c>
      <c r="T58" s="55">
        <f t="shared" si="54"/>
        <v>0</v>
      </c>
      <c r="U58" s="55">
        <f t="shared" si="54"/>
        <v>0</v>
      </c>
    </row>
  </sheetData>
  <mergeCells count="61"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2017.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workbookViewId="0">
      <selection activeCell="I14" sqref="I14"/>
    </sheetView>
  </sheetViews>
  <sheetFormatPr defaultColWidth="9.109375" defaultRowHeight="13.2" x14ac:dyDescent="0.25"/>
  <cols>
    <col min="1" max="1" width="7.5546875" style="348" customWidth="1"/>
    <col min="2" max="2" width="25.44140625" style="347" customWidth="1"/>
    <col min="3" max="3" width="8.5546875" style="347" customWidth="1"/>
    <col min="4" max="4" width="6.5546875" style="347" customWidth="1"/>
    <col min="5" max="5" width="6.6640625" style="347" customWidth="1"/>
    <col min="6" max="16384" width="9.109375" style="347"/>
  </cols>
  <sheetData>
    <row r="1" spans="1:14" ht="12" customHeight="1" x14ac:dyDescent="0.25"/>
    <row r="2" spans="1:14" s="351" customFormat="1" ht="28.5" customHeight="1" x14ac:dyDescent="0.25">
      <c r="A2" s="1170" t="s">
        <v>283</v>
      </c>
      <c r="B2" s="1171"/>
      <c r="C2" s="1166"/>
      <c r="D2" s="1166"/>
      <c r="E2" s="1167"/>
      <c r="F2" s="347"/>
      <c r="G2" s="347"/>
      <c r="H2" s="347"/>
      <c r="I2" s="347"/>
      <c r="J2" s="347"/>
      <c r="K2" s="347"/>
      <c r="L2" s="347"/>
      <c r="M2" s="347"/>
      <c r="N2" s="347"/>
    </row>
    <row r="3" spans="1:14" s="351" customFormat="1" ht="26.4" x14ac:dyDescent="0.25">
      <c r="A3" s="1169" t="s">
        <v>500</v>
      </c>
      <c r="B3" s="1143"/>
      <c r="C3" s="340" t="s">
        <v>177</v>
      </c>
      <c r="D3" s="345" t="s">
        <v>792</v>
      </c>
      <c r="E3" s="345" t="s">
        <v>795</v>
      </c>
      <c r="F3" s="347"/>
      <c r="G3" s="347"/>
      <c r="H3" s="347"/>
      <c r="I3" s="347"/>
      <c r="J3" s="347"/>
      <c r="K3" s="347"/>
      <c r="L3" s="347"/>
      <c r="M3" s="347"/>
      <c r="N3" s="347"/>
    </row>
    <row r="4" spans="1:14" s="351" customFormat="1" ht="15" customHeight="1" x14ac:dyDescent="0.25">
      <c r="A4" s="591" t="s">
        <v>502</v>
      </c>
      <c r="B4" s="350" t="s">
        <v>645</v>
      </c>
      <c r="C4" s="361">
        <v>500</v>
      </c>
      <c r="D4" s="549"/>
      <c r="E4" s="151">
        <f>+D4+C4</f>
        <v>500</v>
      </c>
      <c r="F4" s="347"/>
      <c r="G4" s="347"/>
      <c r="H4" s="347"/>
      <c r="I4" s="347"/>
      <c r="J4" s="347"/>
      <c r="K4" s="347"/>
      <c r="L4" s="347"/>
      <c r="M4" s="347"/>
      <c r="N4" s="347"/>
    </row>
    <row r="5" spans="1:14" s="351" customFormat="1" ht="14.25" customHeight="1" x14ac:dyDescent="0.3">
      <c r="A5" s="590" t="s">
        <v>502</v>
      </c>
      <c r="B5" s="350" t="s">
        <v>588</v>
      </c>
      <c r="C5" s="361">
        <v>600</v>
      </c>
      <c r="D5" s="361"/>
      <c r="E5" s="151">
        <f t="shared" ref="E5:E6" si="0">+D5+C5</f>
        <v>600</v>
      </c>
    </row>
    <row r="6" spans="1:14" ht="39.6" x14ac:dyDescent="0.25">
      <c r="A6" s="590" t="s">
        <v>502</v>
      </c>
      <c r="B6" s="350" t="s">
        <v>587</v>
      </c>
      <c r="C6" s="743">
        <f>21283+950</f>
        <v>22233</v>
      </c>
      <c r="D6" s="361"/>
      <c r="E6" s="151">
        <f t="shared" si="0"/>
        <v>22233</v>
      </c>
      <c r="F6" s="351"/>
      <c r="G6" s="351"/>
      <c r="H6" s="572"/>
      <c r="I6" s="351"/>
      <c r="J6" s="351"/>
      <c r="K6" s="351"/>
      <c r="L6" s="351"/>
      <c r="M6" s="351"/>
      <c r="N6" s="351"/>
    </row>
    <row r="7" spans="1:14" ht="19.5" customHeight="1" x14ac:dyDescent="0.25">
      <c r="A7" s="1164" t="s">
        <v>180</v>
      </c>
      <c r="B7" s="1165"/>
      <c r="C7" s="363">
        <f>SUM(C4:C6)</f>
        <v>23333</v>
      </c>
      <c r="D7" s="363">
        <f t="shared" ref="D7:E7" si="1">SUM(D4:D6)</f>
        <v>0</v>
      </c>
      <c r="E7" s="363">
        <f t="shared" si="1"/>
        <v>23333</v>
      </c>
    </row>
    <row r="8" spans="1:14" ht="19.5" customHeight="1" x14ac:dyDescent="0.25">
      <c r="A8" s="543"/>
      <c r="B8" s="543"/>
      <c r="C8" s="544"/>
      <c r="D8" s="544"/>
      <c r="E8" s="544"/>
    </row>
    <row r="9" spans="1:14" ht="12.75" customHeight="1" x14ac:dyDescent="0.25">
      <c r="A9" s="1168" t="s">
        <v>283</v>
      </c>
      <c r="B9" s="1168"/>
      <c r="C9" s="1166"/>
      <c r="D9" s="1166"/>
      <c r="E9" s="1167"/>
    </row>
    <row r="10" spans="1:14" ht="26.4" x14ac:dyDescent="0.25">
      <c r="A10" s="1123" t="s">
        <v>500</v>
      </c>
      <c r="B10" s="1123"/>
      <c r="C10" s="340" t="s">
        <v>177</v>
      </c>
      <c r="D10" s="542" t="s">
        <v>178</v>
      </c>
      <c r="E10" s="542" t="s">
        <v>179</v>
      </c>
    </row>
    <row r="11" spans="1:14" ht="26.4" x14ac:dyDescent="0.25">
      <c r="A11" s="349" t="s">
        <v>622</v>
      </c>
      <c r="B11" s="350" t="s">
        <v>619</v>
      </c>
      <c r="C11" s="915">
        <v>2274</v>
      </c>
      <c r="D11" s="916">
        <f>+'5.f. mell. Átadott pénzeszk.'!D10</f>
        <v>0</v>
      </c>
      <c r="E11" s="916">
        <f>+D11+C11</f>
        <v>2274</v>
      </c>
    </row>
    <row r="12" spans="1:14" ht="26.4" x14ac:dyDescent="0.25">
      <c r="A12" s="349" t="s">
        <v>627</v>
      </c>
      <c r="B12" s="350" t="s">
        <v>615</v>
      </c>
      <c r="C12" s="915">
        <v>986</v>
      </c>
      <c r="D12" s="916">
        <f>+'5.f. mell. Átadott pénzeszk.'!D11</f>
        <v>0</v>
      </c>
      <c r="E12" s="916">
        <f t="shared" ref="E12:E17" si="2">+D12+C12</f>
        <v>986</v>
      </c>
    </row>
    <row r="13" spans="1:14" ht="26.4" x14ac:dyDescent="0.25">
      <c r="A13" s="349" t="s">
        <v>628</v>
      </c>
      <c r="B13" s="350" t="s">
        <v>616</v>
      </c>
      <c r="C13" s="915">
        <v>3388</v>
      </c>
      <c r="D13" s="916">
        <f>+'5.f. mell. Átadott pénzeszk.'!D12</f>
        <v>0</v>
      </c>
      <c r="E13" s="916">
        <f t="shared" si="2"/>
        <v>3388</v>
      </c>
    </row>
    <row r="14" spans="1:14" x14ac:dyDescent="0.25">
      <c r="A14" s="349" t="s">
        <v>626</v>
      </c>
      <c r="B14" s="350" t="s">
        <v>620</v>
      </c>
      <c r="C14" s="915">
        <v>933</v>
      </c>
      <c r="D14" s="916">
        <f>+'5.f. mell. Átadott pénzeszk.'!D13</f>
        <v>0</v>
      </c>
      <c r="E14" s="916">
        <f t="shared" si="2"/>
        <v>933</v>
      </c>
    </row>
    <row r="15" spans="1:14" ht="26.4" x14ac:dyDescent="0.25">
      <c r="A15" s="349" t="s">
        <v>625</v>
      </c>
      <c r="B15" s="350" t="s">
        <v>621</v>
      </c>
      <c r="C15" s="915">
        <v>1714</v>
      </c>
      <c r="D15" s="916">
        <f>+'5.f. mell. Átadott pénzeszk.'!D14</f>
        <v>0</v>
      </c>
      <c r="E15" s="916">
        <f t="shared" si="2"/>
        <v>1714</v>
      </c>
    </row>
    <row r="16" spans="1:14" x14ac:dyDescent="0.25">
      <c r="A16" s="349" t="s">
        <v>764</v>
      </c>
      <c r="B16" s="350" t="s">
        <v>761</v>
      </c>
      <c r="C16" s="915">
        <v>1037</v>
      </c>
      <c r="D16" s="916">
        <v>-1037</v>
      </c>
      <c r="E16" s="916">
        <f t="shared" si="2"/>
        <v>0</v>
      </c>
    </row>
    <row r="17" spans="1:5" x14ac:dyDescent="0.25">
      <c r="A17" s="349" t="s">
        <v>629</v>
      </c>
      <c r="B17" s="350" t="s">
        <v>624</v>
      </c>
      <c r="C17" s="915">
        <v>543</v>
      </c>
      <c r="D17" s="916">
        <f>+'5.f. mell. Átadott pénzeszk.'!D15</f>
        <v>0</v>
      </c>
      <c r="E17" s="916">
        <f t="shared" si="2"/>
        <v>543</v>
      </c>
    </row>
    <row r="18" spans="1:5" x14ac:dyDescent="0.25">
      <c r="A18" s="1164" t="s">
        <v>180</v>
      </c>
      <c r="B18" s="1165"/>
      <c r="C18" s="917">
        <f>SUM(C11:C17)</f>
        <v>10875</v>
      </c>
      <c r="D18" s="917">
        <f>SUM(D15:D17)</f>
        <v>-1037</v>
      </c>
      <c r="E18" s="917">
        <f>SUM(E11:E17)</f>
        <v>9838</v>
      </c>
    </row>
    <row r="19" spans="1:5" x14ac:dyDescent="0.25">
      <c r="A19" s="545"/>
      <c r="B19" s="546"/>
      <c r="C19" s="547"/>
      <c r="D19" s="18"/>
      <c r="E19" s="18"/>
    </row>
  </sheetData>
  <mergeCells count="8">
    <mergeCell ref="A18:B18"/>
    <mergeCell ref="C2:E2"/>
    <mergeCell ref="C9:E9"/>
    <mergeCell ref="A9:B9"/>
    <mergeCell ref="A10:B10"/>
    <mergeCell ref="A3:B3"/>
    <mergeCell ref="A7:B7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2018.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opLeftCell="A10" zoomScaleNormal="100" workbookViewId="0">
      <selection activeCell="G5" sqref="G5"/>
    </sheetView>
  </sheetViews>
  <sheetFormatPr defaultColWidth="9.109375" defaultRowHeight="13.2" x14ac:dyDescent="0.25"/>
  <cols>
    <col min="1" max="1" width="7.5546875" style="348" customWidth="1"/>
    <col min="2" max="2" width="29" style="347" customWidth="1"/>
    <col min="3" max="3" width="7.44140625" style="347" customWidth="1"/>
    <col min="4" max="4" width="6.5546875" style="347" customWidth="1"/>
    <col min="5" max="5" width="6.6640625" style="347" customWidth="1"/>
    <col min="6" max="6" width="7.109375" style="347" customWidth="1"/>
    <col min="7" max="7" width="5.88671875" style="347" customWidth="1"/>
    <col min="8" max="8" width="7.44140625" style="347" customWidth="1"/>
    <col min="9" max="11" width="7.44140625" style="347" hidden="1" customWidth="1"/>
    <col min="12" max="12" width="8.109375" style="347" customWidth="1"/>
    <col min="13" max="13" width="5.88671875" style="347" customWidth="1"/>
    <col min="14" max="14" width="7.88671875" style="347" customWidth="1"/>
    <col min="15" max="16384" width="9.109375" style="347"/>
  </cols>
  <sheetData>
    <row r="1" spans="1:14" ht="12.75" customHeight="1" x14ac:dyDescent="0.25">
      <c r="A1" s="1180"/>
      <c r="B1" s="1182" t="s">
        <v>501</v>
      </c>
      <c r="C1" s="1191" t="s">
        <v>101</v>
      </c>
      <c r="D1" s="1191"/>
      <c r="E1" s="1191"/>
      <c r="F1" s="1191" t="s">
        <v>107</v>
      </c>
      <c r="G1" s="1191"/>
      <c r="H1" s="1191"/>
      <c r="I1" s="1191" t="s">
        <v>134</v>
      </c>
      <c r="J1" s="1191"/>
      <c r="K1" s="1192"/>
      <c r="L1" s="1184" t="s">
        <v>180</v>
      </c>
      <c r="M1" s="1185"/>
      <c r="N1" s="1186"/>
    </row>
    <row r="2" spans="1:14" ht="29.25" customHeight="1" x14ac:dyDescent="0.25">
      <c r="A2" s="1181"/>
      <c r="B2" s="1183"/>
      <c r="C2" s="1190" t="s">
        <v>582</v>
      </c>
      <c r="D2" s="1190"/>
      <c r="E2" s="1190"/>
      <c r="F2" s="1190" t="s">
        <v>496</v>
      </c>
      <c r="G2" s="1190"/>
      <c r="H2" s="1190"/>
      <c r="I2" s="1190" t="s">
        <v>651</v>
      </c>
      <c r="J2" s="1190"/>
      <c r="K2" s="1193"/>
      <c r="L2" s="1187"/>
      <c r="M2" s="1188"/>
      <c r="N2" s="1189"/>
    </row>
    <row r="3" spans="1:14" ht="26.25" customHeight="1" x14ac:dyDescent="0.25">
      <c r="A3" s="881" t="s">
        <v>500</v>
      </c>
      <c r="B3" s="883" t="s">
        <v>283</v>
      </c>
      <c r="C3" s="340" t="s">
        <v>177</v>
      </c>
      <c r="D3" s="879" t="s">
        <v>792</v>
      </c>
      <c r="E3" s="879" t="s">
        <v>795</v>
      </c>
      <c r="F3" s="340" t="s">
        <v>177</v>
      </c>
      <c r="G3" s="879" t="s">
        <v>792</v>
      </c>
      <c r="H3" s="879" t="s">
        <v>795</v>
      </c>
      <c r="I3" s="340" t="s">
        <v>177</v>
      </c>
      <c r="J3" s="879" t="s">
        <v>792</v>
      </c>
      <c r="K3" s="963" t="s">
        <v>795</v>
      </c>
      <c r="L3" s="968" t="s">
        <v>177</v>
      </c>
      <c r="M3" s="879" t="s">
        <v>792</v>
      </c>
      <c r="N3" s="897" t="s">
        <v>795</v>
      </c>
    </row>
    <row r="4" spans="1:14" s="351" customFormat="1" ht="15" customHeight="1" x14ac:dyDescent="0.3">
      <c r="A4" s="955" t="s">
        <v>497</v>
      </c>
      <c r="B4" s="882" t="s">
        <v>498</v>
      </c>
      <c r="C4" s="580"/>
      <c r="D4" s="580"/>
      <c r="E4" s="580">
        <f>+D4+C4</f>
        <v>0</v>
      </c>
      <c r="F4" s="580">
        <v>1500</v>
      </c>
      <c r="G4" s="361">
        <v>100</v>
      </c>
      <c r="H4" s="361">
        <f>+G4+F4</f>
        <v>1600</v>
      </c>
      <c r="I4" s="361"/>
      <c r="J4" s="361"/>
      <c r="K4" s="964"/>
      <c r="L4" s="969">
        <f>+C4+F4+I4</f>
        <v>1500</v>
      </c>
      <c r="M4" s="361">
        <f t="shared" ref="M4:N7" si="0">+D4+G4+J4</f>
        <v>100</v>
      </c>
      <c r="N4" s="956">
        <f t="shared" si="0"/>
        <v>1600</v>
      </c>
    </row>
    <row r="5" spans="1:14" s="351" customFormat="1" ht="15" customHeight="1" x14ac:dyDescent="0.3">
      <c r="A5" s="955" t="s">
        <v>497</v>
      </c>
      <c r="B5" s="882" t="s">
        <v>613</v>
      </c>
      <c r="C5" s="580"/>
      <c r="D5" s="580"/>
      <c r="E5" s="580">
        <f t="shared" ref="E5:E19" si="1">+D5+C5</f>
        <v>0</v>
      </c>
      <c r="F5" s="580">
        <v>650</v>
      </c>
      <c r="G5" s="361"/>
      <c r="H5" s="361">
        <f t="shared" ref="H5:H38" si="2">+G5+F5</f>
        <v>650</v>
      </c>
      <c r="I5" s="361"/>
      <c r="J5" s="361"/>
      <c r="K5" s="964"/>
      <c r="L5" s="969">
        <f>+C5+F5+I5</f>
        <v>650</v>
      </c>
      <c r="M5" s="361">
        <f t="shared" si="0"/>
        <v>0</v>
      </c>
      <c r="N5" s="956">
        <f t="shared" si="0"/>
        <v>650</v>
      </c>
    </row>
    <row r="6" spans="1:14" s="351" customFormat="1" ht="15" customHeight="1" x14ac:dyDescent="0.3">
      <c r="A6" s="955" t="s">
        <v>488</v>
      </c>
      <c r="B6" s="882" t="s">
        <v>666</v>
      </c>
      <c r="C6" s="580"/>
      <c r="D6" s="580"/>
      <c r="E6" s="580">
        <f t="shared" si="1"/>
        <v>0</v>
      </c>
      <c r="F6" s="580">
        <v>150</v>
      </c>
      <c r="G6" s="361"/>
      <c r="H6" s="361">
        <f t="shared" si="2"/>
        <v>150</v>
      </c>
      <c r="I6" s="361"/>
      <c r="J6" s="361"/>
      <c r="K6" s="964"/>
      <c r="L6" s="969">
        <f t="shared" ref="L6:L7" si="3">+C6+F6+I6</f>
        <v>150</v>
      </c>
      <c r="M6" s="361">
        <f t="shared" si="0"/>
        <v>0</v>
      </c>
      <c r="N6" s="956">
        <f t="shared" si="0"/>
        <v>150</v>
      </c>
    </row>
    <row r="7" spans="1:14" s="351" customFormat="1" ht="15" customHeight="1" x14ac:dyDescent="0.3">
      <c r="A7" s="955" t="s">
        <v>488</v>
      </c>
      <c r="B7" s="882" t="s">
        <v>667</v>
      </c>
      <c r="C7" s="580"/>
      <c r="D7" s="580"/>
      <c r="E7" s="580">
        <f t="shared" si="1"/>
        <v>0</v>
      </c>
      <c r="F7" s="580">
        <v>150</v>
      </c>
      <c r="G7" s="361"/>
      <c r="H7" s="361">
        <f t="shared" si="2"/>
        <v>150</v>
      </c>
      <c r="I7" s="361"/>
      <c r="J7" s="361"/>
      <c r="K7" s="964"/>
      <c r="L7" s="969">
        <f t="shared" si="3"/>
        <v>150</v>
      </c>
      <c r="M7" s="361">
        <f t="shared" si="0"/>
        <v>0</v>
      </c>
      <c r="N7" s="956">
        <f t="shared" si="0"/>
        <v>150</v>
      </c>
    </row>
    <row r="8" spans="1:14" s="351" customFormat="1" ht="15" customHeight="1" x14ac:dyDescent="0.3">
      <c r="A8" s="955" t="s">
        <v>499</v>
      </c>
      <c r="B8" s="882" t="s">
        <v>487</v>
      </c>
      <c r="C8" s="580"/>
      <c r="D8" s="580"/>
      <c r="E8" s="580">
        <f t="shared" si="1"/>
        <v>0</v>
      </c>
      <c r="F8" s="580">
        <f>6000+1500</f>
        <v>7500</v>
      </c>
      <c r="G8" s="361"/>
      <c r="H8" s="361">
        <f t="shared" si="2"/>
        <v>7500</v>
      </c>
      <c r="I8" s="361"/>
      <c r="J8" s="361"/>
      <c r="K8" s="964"/>
      <c r="L8" s="969">
        <f t="shared" ref="L8:L22" si="4">+C8+F8+I8</f>
        <v>7500</v>
      </c>
      <c r="M8" s="361">
        <f t="shared" ref="M8:M38" si="5">+D8+G8+J8</f>
        <v>0</v>
      </c>
      <c r="N8" s="956">
        <f t="shared" ref="N8:N38" si="6">+E8+H8+K8</f>
        <v>7500</v>
      </c>
    </row>
    <row r="9" spans="1:14" s="351" customFormat="1" ht="15" customHeight="1" x14ac:dyDescent="0.3">
      <c r="A9" s="1174" t="s">
        <v>503</v>
      </c>
      <c r="B9" s="1175"/>
      <c r="C9" s="581">
        <f>SUM(C10:C18)</f>
        <v>16467</v>
      </c>
      <c r="D9" s="581">
        <f t="shared" ref="D9:E9" si="7">SUM(D10:D18)</f>
        <v>-1037</v>
      </c>
      <c r="E9" s="581">
        <f t="shared" si="7"/>
        <v>15430</v>
      </c>
      <c r="F9" s="581"/>
      <c r="G9" s="361"/>
      <c r="H9" s="361">
        <f t="shared" si="2"/>
        <v>0</v>
      </c>
      <c r="I9" s="361"/>
      <c r="J9" s="361"/>
      <c r="K9" s="964"/>
      <c r="L9" s="969">
        <f t="shared" si="4"/>
        <v>16467</v>
      </c>
      <c r="M9" s="361">
        <f t="shared" si="5"/>
        <v>-1037</v>
      </c>
      <c r="N9" s="956">
        <f t="shared" si="6"/>
        <v>15430</v>
      </c>
    </row>
    <row r="10" spans="1:14" s="550" customFormat="1" ht="24.75" customHeight="1" x14ac:dyDescent="0.3">
      <c r="A10" s="712" t="s">
        <v>622</v>
      </c>
      <c r="B10" s="425" t="s">
        <v>619</v>
      </c>
      <c r="C10" s="427">
        <v>2274</v>
      </c>
      <c r="D10" s="427"/>
      <c r="E10" s="580">
        <f t="shared" si="1"/>
        <v>2274</v>
      </c>
      <c r="F10" s="427"/>
      <c r="G10" s="427"/>
      <c r="H10" s="361">
        <f t="shared" si="2"/>
        <v>0</v>
      </c>
      <c r="I10" s="427"/>
      <c r="J10" s="427"/>
      <c r="K10" s="965"/>
      <c r="L10" s="970">
        <f t="shared" si="4"/>
        <v>2274</v>
      </c>
      <c r="M10" s="427">
        <f t="shared" si="5"/>
        <v>0</v>
      </c>
      <c r="N10" s="957">
        <f t="shared" si="6"/>
        <v>2274</v>
      </c>
    </row>
    <row r="11" spans="1:14" s="550" customFormat="1" ht="15" customHeight="1" x14ac:dyDescent="0.3">
      <c r="A11" s="712" t="s">
        <v>627</v>
      </c>
      <c r="B11" s="425" t="s">
        <v>615</v>
      </c>
      <c r="C11" s="427">
        <v>986</v>
      </c>
      <c r="D11" s="427"/>
      <c r="E11" s="580">
        <f t="shared" si="1"/>
        <v>986</v>
      </c>
      <c r="F11" s="427"/>
      <c r="G11" s="427"/>
      <c r="H11" s="361">
        <f t="shared" si="2"/>
        <v>0</v>
      </c>
      <c r="I11" s="427"/>
      <c r="J11" s="427"/>
      <c r="K11" s="965"/>
      <c r="L11" s="970">
        <f t="shared" si="4"/>
        <v>986</v>
      </c>
      <c r="M11" s="427">
        <f t="shared" si="5"/>
        <v>0</v>
      </c>
      <c r="N11" s="957">
        <f t="shared" si="6"/>
        <v>986</v>
      </c>
    </row>
    <row r="12" spans="1:14" s="550" customFormat="1" ht="15" customHeight="1" x14ac:dyDescent="0.3">
      <c r="A12" s="712" t="s">
        <v>628</v>
      </c>
      <c r="B12" s="425" t="s">
        <v>616</v>
      </c>
      <c r="C12" s="427">
        <v>3388</v>
      </c>
      <c r="D12" s="427"/>
      <c r="E12" s="580">
        <f t="shared" si="1"/>
        <v>3388</v>
      </c>
      <c r="F12" s="427"/>
      <c r="G12" s="427"/>
      <c r="H12" s="361">
        <f t="shared" si="2"/>
        <v>0</v>
      </c>
      <c r="I12" s="427"/>
      <c r="J12" s="427"/>
      <c r="K12" s="965"/>
      <c r="L12" s="970">
        <f t="shared" si="4"/>
        <v>3388</v>
      </c>
      <c r="M12" s="427">
        <f t="shared" si="5"/>
        <v>0</v>
      </c>
      <c r="N12" s="957">
        <f t="shared" si="6"/>
        <v>3388</v>
      </c>
    </row>
    <row r="13" spans="1:14" s="550" customFormat="1" ht="15" customHeight="1" x14ac:dyDescent="0.3">
      <c r="A13" s="712" t="s">
        <v>626</v>
      </c>
      <c r="B13" s="425" t="s">
        <v>620</v>
      </c>
      <c r="C13" s="427">
        <v>933</v>
      </c>
      <c r="D13" s="427"/>
      <c r="E13" s="580">
        <f t="shared" si="1"/>
        <v>933</v>
      </c>
      <c r="F13" s="427"/>
      <c r="G13" s="427"/>
      <c r="H13" s="361">
        <f t="shared" si="2"/>
        <v>0</v>
      </c>
      <c r="I13" s="427"/>
      <c r="J13" s="427"/>
      <c r="K13" s="965"/>
      <c r="L13" s="970">
        <f t="shared" si="4"/>
        <v>933</v>
      </c>
      <c r="M13" s="427">
        <f t="shared" si="5"/>
        <v>0</v>
      </c>
      <c r="N13" s="957">
        <f t="shared" si="6"/>
        <v>933</v>
      </c>
    </row>
    <row r="14" spans="1:14" s="550" customFormat="1" ht="24" customHeight="1" x14ac:dyDescent="0.3">
      <c r="A14" s="712" t="s">
        <v>625</v>
      </c>
      <c r="B14" s="425" t="s">
        <v>621</v>
      </c>
      <c r="C14" s="427">
        <v>1714</v>
      </c>
      <c r="D14" s="427"/>
      <c r="E14" s="580">
        <f t="shared" si="1"/>
        <v>1714</v>
      </c>
      <c r="F14" s="427"/>
      <c r="G14" s="427"/>
      <c r="H14" s="361">
        <f t="shared" si="2"/>
        <v>0</v>
      </c>
      <c r="I14" s="427"/>
      <c r="J14" s="427"/>
      <c r="K14" s="965"/>
      <c r="L14" s="970">
        <f t="shared" si="4"/>
        <v>1714</v>
      </c>
      <c r="M14" s="427">
        <f t="shared" si="5"/>
        <v>0</v>
      </c>
      <c r="N14" s="957">
        <f t="shared" si="6"/>
        <v>1714</v>
      </c>
    </row>
    <row r="15" spans="1:14" s="550" customFormat="1" ht="15" customHeight="1" x14ac:dyDescent="0.3">
      <c r="A15" s="712" t="s">
        <v>629</v>
      </c>
      <c r="B15" s="425" t="s">
        <v>624</v>
      </c>
      <c r="C15" s="427">
        <v>543</v>
      </c>
      <c r="D15" s="427"/>
      <c r="E15" s="580">
        <f t="shared" si="1"/>
        <v>543</v>
      </c>
      <c r="F15" s="427"/>
      <c r="G15" s="427"/>
      <c r="H15" s="361">
        <f t="shared" si="2"/>
        <v>0</v>
      </c>
      <c r="I15" s="427"/>
      <c r="J15" s="427"/>
      <c r="K15" s="965"/>
      <c r="L15" s="970">
        <f t="shared" si="4"/>
        <v>543</v>
      </c>
      <c r="M15" s="427">
        <f t="shared" si="5"/>
        <v>0</v>
      </c>
      <c r="N15" s="957">
        <f t="shared" si="6"/>
        <v>543</v>
      </c>
    </row>
    <row r="16" spans="1:14" s="550" customFormat="1" ht="15" customHeight="1" x14ac:dyDescent="0.3">
      <c r="A16" s="712" t="s">
        <v>764</v>
      </c>
      <c r="B16" s="425" t="s">
        <v>761</v>
      </c>
      <c r="C16" s="427">
        <v>1037</v>
      </c>
      <c r="D16" s="427">
        <v>-1037</v>
      </c>
      <c r="E16" s="580">
        <f t="shared" si="1"/>
        <v>0</v>
      </c>
      <c r="F16" s="427"/>
      <c r="G16" s="427"/>
      <c r="H16" s="361">
        <f t="shared" si="2"/>
        <v>0</v>
      </c>
      <c r="I16" s="427"/>
      <c r="J16" s="427"/>
      <c r="K16" s="965"/>
      <c r="L16" s="970">
        <f t="shared" si="4"/>
        <v>1037</v>
      </c>
      <c r="M16" s="427"/>
      <c r="N16" s="957"/>
    </row>
    <row r="17" spans="1:14" s="550" customFormat="1" ht="15" customHeight="1" x14ac:dyDescent="0.3">
      <c r="A17" s="712" t="s">
        <v>763</v>
      </c>
      <c r="B17" s="425" t="s">
        <v>762</v>
      </c>
      <c r="C17" s="427">
        <v>885</v>
      </c>
      <c r="D17" s="427"/>
      <c r="E17" s="580">
        <f t="shared" si="1"/>
        <v>885</v>
      </c>
      <c r="F17" s="427"/>
      <c r="G17" s="427"/>
      <c r="H17" s="361">
        <f t="shared" si="2"/>
        <v>0</v>
      </c>
      <c r="I17" s="427"/>
      <c r="J17" s="427"/>
      <c r="K17" s="965"/>
      <c r="L17" s="970">
        <f t="shared" si="4"/>
        <v>885</v>
      </c>
      <c r="M17" s="427"/>
      <c r="N17" s="957"/>
    </row>
    <row r="18" spans="1:14" s="550" customFormat="1" ht="26.25" customHeight="1" x14ac:dyDescent="0.3">
      <c r="A18" s="712" t="s">
        <v>488</v>
      </c>
      <c r="B18" s="425" t="s">
        <v>623</v>
      </c>
      <c r="C18" s="427">
        <f>3473+571+663</f>
        <v>4707</v>
      </c>
      <c r="D18" s="427"/>
      <c r="E18" s="580">
        <f t="shared" si="1"/>
        <v>4707</v>
      </c>
      <c r="F18" s="427"/>
      <c r="G18" s="427"/>
      <c r="H18" s="361">
        <f t="shared" si="2"/>
        <v>0</v>
      </c>
      <c r="I18" s="427"/>
      <c r="J18" s="427"/>
      <c r="K18" s="965"/>
      <c r="L18" s="970">
        <f t="shared" si="4"/>
        <v>4707</v>
      </c>
      <c r="M18" s="427">
        <f t="shared" si="5"/>
        <v>0</v>
      </c>
      <c r="N18" s="957">
        <f t="shared" si="6"/>
        <v>4707</v>
      </c>
    </row>
    <row r="19" spans="1:14" s="351" customFormat="1" ht="15" customHeight="1" x14ac:dyDescent="0.3">
      <c r="A19" s="1176" t="s">
        <v>643</v>
      </c>
      <c r="B19" s="1177"/>
      <c r="C19" s="361">
        <v>72909</v>
      </c>
      <c r="D19" s="361">
        <f>118+373</f>
        <v>491</v>
      </c>
      <c r="E19" s="580">
        <f t="shared" si="1"/>
        <v>73400</v>
      </c>
      <c r="F19" s="361"/>
      <c r="G19" s="361"/>
      <c r="H19" s="361">
        <f t="shared" si="2"/>
        <v>0</v>
      </c>
      <c r="I19" s="361"/>
      <c r="J19" s="361"/>
      <c r="K19" s="964"/>
      <c r="L19" s="969">
        <f t="shared" si="4"/>
        <v>72909</v>
      </c>
      <c r="M19" s="361">
        <f t="shared" si="5"/>
        <v>491</v>
      </c>
      <c r="N19" s="956">
        <f t="shared" si="6"/>
        <v>73400</v>
      </c>
    </row>
    <row r="20" spans="1:14" s="351" customFormat="1" ht="15" customHeight="1" x14ac:dyDescent="0.3">
      <c r="A20" s="1176" t="s">
        <v>642</v>
      </c>
      <c r="B20" s="1177"/>
      <c r="C20" s="361"/>
      <c r="D20" s="361"/>
      <c r="E20" s="361"/>
      <c r="F20" s="361"/>
      <c r="G20" s="361"/>
      <c r="H20" s="361">
        <f t="shared" si="2"/>
        <v>0</v>
      </c>
      <c r="I20" s="361"/>
      <c r="J20" s="361"/>
      <c r="K20" s="964"/>
      <c r="L20" s="969">
        <f t="shared" si="4"/>
        <v>0</v>
      </c>
      <c r="M20" s="361">
        <f t="shared" si="5"/>
        <v>0</v>
      </c>
      <c r="N20" s="956">
        <f t="shared" si="6"/>
        <v>0</v>
      </c>
    </row>
    <row r="21" spans="1:14" s="351" customFormat="1" ht="15" customHeight="1" x14ac:dyDescent="0.3">
      <c r="A21" s="1178" t="s">
        <v>612</v>
      </c>
      <c r="B21" s="1179"/>
      <c r="C21" s="361"/>
      <c r="D21" s="361"/>
      <c r="E21" s="361"/>
      <c r="F21" s="581"/>
      <c r="G21" s="361"/>
      <c r="H21" s="361">
        <f t="shared" si="2"/>
        <v>0</v>
      </c>
      <c r="I21" s="361"/>
      <c r="J21" s="361"/>
      <c r="K21" s="964"/>
      <c r="L21" s="969">
        <f t="shared" si="4"/>
        <v>0</v>
      </c>
      <c r="M21" s="361">
        <f t="shared" si="5"/>
        <v>0</v>
      </c>
      <c r="N21" s="956">
        <f t="shared" si="6"/>
        <v>0</v>
      </c>
    </row>
    <row r="22" spans="1:14" s="351" customFormat="1" ht="35.25" customHeight="1" x14ac:dyDescent="0.3">
      <c r="A22" s="1178" t="s">
        <v>579</v>
      </c>
      <c r="B22" s="1179"/>
      <c r="C22" s="361"/>
      <c r="D22" s="361"/>
      <c r="E22" s="361"/>
      <c r="F22" s="361">
        <f>SUM(F23:F37)</f>
        <v>108956</v>
      </c>
      <c r="G22" s="361"/>
      <c r="H22" s="361">
        <f t="shared" si="2"/>
        <v>108956</v>
      </c>
      <c r="I22" s="361"/>
      <c r="J22" s="361"/>
      <c r="K22" s="964"/>
      <c r="L22" s="969">
        <f t="shared" si="4"/>
        <v>108956</v>
      </c>
      <c r="M22" s="361">
        <f t="shared" si="5"/>
        <v>0</v>
      </c>
      <c r="N22" s="956">
        <f t="shared" si="6"/>
        <v>108956</v>
      </c>
    </row>
    <row r="23" spans="1:14" s="550" customFormat="1" ht="25.5" customHeight="1" x14ac:dyDescent="0.3">
      <c r="A23" s="712" t="s">
        <v>740</v>
      </c>
      <c r="B23" s="425" t="s">
        <v>491</v>
      </c>
      <c r="C23" s="426"/>
      <c r="D23" s="427"/>
      <c r="E23" s="427"/>
      <c r="F23" s="427">
        <v>12967</v>
      </c>
      <c r="G23" s="427"/>
      <c r="H23" s="361">
        <f t="shared" si="2"/>
        <v>12967</v>
      </c>
      <c r="I23" s="427"/>
      <c r="J23" s="427"/>
      <c r="K23" s="965"/>
      <c r="L23" s="970">
        <f t="shared" ref="L23:L38" si="8">+C23+F23+I23</f>
        <v>12967</v>
      </c>
      <c r="M23" s="427">
        <f t="shared" si="5"/>
        <v>0</v>
      </c>
      <c r="N23" s="957">
        <f t="shared" si="6"/>
        <v>12967</v>
      </c>
    </row>
    <row r="24" spans="1:14" s="550" customFormat="1" ht="15" customHeight="1" x14ac:dyDescent="0.3">
      <c r="A24" s="712" t="s">
        <v>741</v>
      </c>
      <c r="B24" s="425" t="s">
        <v>489</v>
      </c>
      <c r="C24" s="426"/>
      <c r="D24" s="427"/>
      <c r="E24" s="427"/>
      <c r="F24" s="427">
        <v>6623</v>
      </c>
      <c r="G24" s="427"/>
      <c r="H24" s="361">
        <f t="shared" si="2"/>
        <v>6623</v>
      </c>
      <c r="I24" s="427"/>
      <c r="J24" s="427"/>
      <c r="K24" s="965"/>
      <c r="L24" s="970">
        <f t="shared" si="8"/>
        <v>6623</v>
      </c>
      <c r="M24" s="427">
        <f t="shared" si="5"/>
        <v>0</v>
      </c>
      <c r="N24" s="957">
        <f t="shared" si="6"/>
        <v>6623</v>
      </c>
    </row>
    <row r="25" spans="1:14" s="550" customFormat="1" ht="15" customHeight="1" x14ac:dyDescent="0.3">
      <c r="A25" s="712" t="s">
        <v>742</v>
      </c>
      <c r="B25" s="425" t="s">
        <v>456</v>
      </c>
      <c r="C25" s="426"/>
      <c r="D25" s="427"/>
      <c r="E25" s="427"/>
      <c r="F25" s="427">
        <v>6554</v>
      </c>
      <c r="G25" s="427"/>
      <c r="H25" s="361">
        <f t="shared" si="2"/>
        <v>6554</v>
      </c>
      <c r="I25" s="427"/>
      <c r="J25" s="427"/>
      <c r="K25" s="965"/>
      <c r="L25" s="970">
        <f t="shared" si="8"/>
        <v>6554</v>
      </c>
      <c r="M25" s="427">
        <f t="shared" si="5"/>
        <v>0</v>
      </c>
      <c r="N25" s="957">
        <f t="shared" si="6"/>
        <v>6554</v>
      </c>
    </row>
    <row r="26" spans="1:14" s="550" customFormat="1" ht="15" customHeight="1" x14ac:dyDescent="0.3">
      <c r="A26" s="712" t="s">
        <v>743</v>
      </c>
      <c r="B26" s="425" t="s">
        <v>490</v>
      </c>
      <c r="C26" s="426"/>
      <c r="D26" s="427"/>
      <c r="E26" s="427"/>
      <c r="F26" s="427">
        <v>6561</v>
      </c>
      <c r="G26" s="427"/>
      <c r="H26" s="361">
        <f t="shared" si="2"/>
        <v>6561</v>
      </c>
      <c r="I26" s="427"/>
      <c r="J26" s="427"/>
      <c r="K26" s="965"/>
      <c r="L26" s="970">
        <f t="shared" si="8"/>
        <v>6561</v>
      </c>
      <c r="M26" s="427">
        <f t="shared" si="5"/>
        <v>0</v>
      </c>
      <c r="N26" s="957">
        <f t="shared" si="6"/>
        <v>6561</v>
      </c>
    </row>
    <row r="27" spans="1:14" s="550" customFormat="1" ht="15" customHeight="1" x14ac:dyDescent="0.3">
      <c r="A27" s="712" t="s">
        <v>744</v>
      </c>
      <c r="B27" s="425" t="s">
        <v>492</v>
      </c>
      <c r="C27" s="426"/>
      <c r="D27" s="427"/>
      <c r="E27" s="427"/>
      <c r="F27" s="427">
        <v>14298</v>
      </c>
      <c r="G27" s="427"/>
      <c r="H27" s="361">
        <f t="shared" si="2"/>
        <v>14298</v>
      </c>
      <c r="I27" s="427"/>
      <c r="J27" s="427"/>
      <c r="K27" s="965"/>
      <c r="L27" s="970">
        <f t="shared" si="8"/>
        <v>14298</v>
      </c>
      <c r="M27" s="427">
        <f t="shared" si="5"/>
        <v>0</v>
      </c>
      <c r="N27" s="957">
        <f t="shared" si="6"/>
        <v>14298</v>
      </c>
    </row>
    <row r="28" spans="1:14" s="550" customFormat="1" ht="15" customHeight="1" x14ac:dyDescent="0.3">
      <c r="A28" s="712" t="s">
        <v>745</v>
      </c>
      <c r="B28" s="425" t="s">
        <v>493</v>
      </c>
      <c r="C28" s="426"/>
      <c r="D28" s="427"/>
      <c r="E28" s="427"/>
      <c r="F28" s="427">
        <v>13128</v>
      </c>
      <c r="G28" s="427"/>
      <c r="H28" s="361">
        <f t="shared" si="2"/>
        <v>13128</v>
      </c>
      <c r="I28" s="427"/>
      <c r="J28" s="427"/>
      <c r="K28" s="965"/>
      <c r="L28" s="970">
        <f t="shared" si="8"/>
        <v>13128</v>
      </c>
      <c r="M28" s="427">
        <f t="shared" si="5"/>
        <v>0</v>
      </c>
      <c r="N28" s="957">
        <f t="shared" si="6"/>
        <v>13128</v>
      </c>
    </row>
    <row r="29" spans="1:14" s="550" customFormat="1" ht="15" customHeight="1" x14ac:dyDescent="0.3">
      <c r="A29" s="712" t="s">
        <v>746</v>
      </c>
      <c r="B29" s="425" t="s">
        <v>755</v>
      </c>
      <c r="C29" s="426"/>
      <c r="D29" s="427"/>
      <c r="E29" s="427"/>
      <c r="F29" s="427">
        <v>645</v>
      </c>
      <c r="G29" s="427"/>
      <c r="H29" s="361">
        <f t="shared" si="2"/>
        <v>645</v>
      </c>
      <c r="I29" s="427"/>
      <c r="J29" s="427"/>
      <c r="K29" s="965"/>
      <c r="L29" s="970">
        <f t="shared" si="8"/>
        <v>645</v>
      </c>
      <c r="M29" s="427"/>
      <c r="N29" s="957"/>
    </row>
    <row r="30" spans="1:14" s="550" customFormat="1" ht="15" customHeight="1" x14ac:dyDescent="0.3">
      <c r="A30" s="712" t="s">
        <v>746</v>
      </c>
      <c r="B30" s="425" t="s">
        <v>494</v>
      </c>
      <c r="C30" s="426"/>
      <c r="D30" s="427"/>
      <c r="E30" s="427"/>
      <c r="F30" s="427">
        <v>26269</v>
      </c>
      <c r="G30" s="427"/>
      <c r="H30" s="361">
        <f t="shared" si="2"/>
        <v>26269</v>
      </c>
      <c r="I30" s="427"/>
      <c r="J30" s="427"/>
      <c r="K30" s="965"/>
      <c r="L30" s="970">
        <f t="shared" si="8"/>
        <v>26269</v>
      </c>
      <c r="M30" s="427">
        <f t="shared" si="5"/>
        <v>0</v>
      </c>
      <c r="N30" s="957">
        <f t="shared" si="6"/>
        <v>26269</v>
      </c>
    </row>
    <row r="31" spans="1:14" s="550" customFormat="1" ht="30.75" customHeight="1" x14ac:dyDescent="0.3">
      <c r="A31" s="712" t="s">
        <v>747</v>
      </c>
      <c r="B31" s="425" t="s">
        <v>495</v>
      </c>
      <c r="C31" s="426"/>
      <c r="D31" s="427"/>
      <c r="E31" s="427"/>
      <c r="F31" s="427">
        <f>9631+2100</f>
        <v>11731</v>
      </c>
      <c r="G31" s="427"/>
      <c r="H31" s="361">
        <f t="shared" si="2"/>
        <v>11731</v>
      </c>
      <c r="I31" s="427"/>
      <c r="J31" s="427"/>
      <c r="K31" s="965"/>
      <c r="L31" s="970">
        <f t="shared" si="8"/>
        <v>11731</v>
      </c>
      <c r="M31" s="427">
        <f t="shared" si="5"/>
        <v>0</v>
      </c>
      <c r="N31" s="957">
        <f t="shared" si="6"/>
        <v>11731</v>
      </c>
    </row>
    <row r="32" spans="1:14" s="550" customFormat="1" ht="14.25" customHeight="1" x14ac:dyDescent="0.3">
      <c r="A32" s="712" t="s">
        <v>671</v>
      </c>
      <c r="B32" s="425" t="s">
        <v>756</v>
      </c>
      <c r="C32" s="426"/>
      <c r="D32" s="427"/>
      <c r="E32" s="427"/>
      <c r="F32" s="427">
        <v>1246</v>
      </c>
      <c r="G32" s="427"/>
      <c r="H32" s="361">
        <f t="shared" si="2"/>
        <v>1246</v>
      </c>
      <c r="I32" s="427"/>
      <c r="J32" s="427"/>
      <c r="K32" s="965"/>
      <c r="L32" s="970">
        <f t="shared" si="8"/>
        <v>1246</v>
      </c>
      <c r="M32" s="427">
        <f t="shared" si="5"/>
        <v>0</v>
      </c>
      <c r="N32" s="957">
        <f t="shared" si="6"/>
        <v>1246</v>
      </c>
    </row>
    <row r="33" spans="1:14" s="550" customFormat="1" ht="14.25" customHeight="1" x14ac:dyDescent="0.3">
      <c r="A33" s="712" t="s">
        <v>671</v>
      </c>
      <c r="B33" s="425" t="s">
        <v>757</v>
      </c>
      <c r="C33" s="426"/>
      <c r="D33" s="427"/>
      <c r="E33" s="427"/>
      <c r="F33" s="427">
        <v>1925</v>
      </c>
      <c r="G33" s="427"/>
      <c r="H33" s="361">
        <f t="shared" si="2"/>
        <v>1925</v>
      </c>
      <c r="I33" s="427"/>
      <c r="J33" s="427"/>
      <c r="K33" s="965"/>
      <c r="L33" s="970">
        <f t="shared" si="8"/>
        <v>1925</v>
      </c>
      <c r="M33" s="427">
        <f t="shared" si="5"/>
        <v>0</v>
      </c>
      <c r="N33" s="957">
        <f t="shared" si="6"/>
        <v>1925</v>
      </c>
    </row>
    <row r="34" spans="1:14" s="550" customFormat="1" ht="14.25" customHeight="1" x14ac:dyDescent="0.3">
      <c r="A34" s="712" t="s">
        <v>671</v>
      </c>
      <c r="B34" s="425" t="s">
        <v>758</v>
      </c>
      <c r="C34" s="426"/>
      <c r="D34" s="427"/>
      <c r="E34" s="427"/>
      <c r="F34" s="427">
        <v>1581</v>
      </c>
      <c r="G34" s="427"/>
      <c r="H34" s="361">
        <f t="shared" si="2"/>
        <v>1581</v>
      </c>
      <c r="I34" s="427"/>
      <c r="J34" s="427"/>
      <c r="K34" s="965"/>
      <c r="L34" s="970">
        <f t="shared" si="8"/>
        <v>1581</v>
      </c>
      <c r="M34" s="427">
        <f t="shared" si="5"/>
        <v>0</v>
      </c>
      <c r="N34" s="957">
        <f t="shared" si="6"/>
        <v>1581</v>
      </c>
    </row>
    <row r="35" spans="1:14" s="550" customFormat="1" ht="14.25" customHeight="1" x14ac:dyDescent="0.3">
      <c r="A35" s="712" t="s">
        <v>671</v>
      </c>
      <c r="B35" s="425" t="s">
        <v>759</v>
      </c>
      <c r="C35" s="426"/>
      <c r="D35" s="427"/>
      <c r="E35" s="427"/>
      <c r="F35" s="427">
        <v>944</v>
      </c>
      <c r="G35" s="427"/>
      <c r="H35" s="361">
        <f t="shared" si="2"/>
        <v>944</v>
      </c>
      <c r="I35" s="427"/>
      <c r="J35" s="427"/>
      <c r="K35" s="965"/>
      <c r="L35" s="970">
        <f t="shared" si="8"/>
        <v>944</v>
      </c>
      <c r="M35" s="427">
        <f t="shared" si="5"/>
        <v>0</v>
      </c>
      <c r="N35" s="957">
        <f t="shared" si="6"/>
        <v>944</v>
      </c>
    </row>
    <row r="36" spans="1:14" s="550" customFormat="1" ht="15" customHeight="1" x14ac:dyDescent="0.3">
      <c r="A36" s="712" t="s">
        <v>671</v>
      </c>
      <c r="B36" s="428" t="s">
        <v>672</v>
      </c>
      <c r="C36" s="429"/>
      <c r="D36" s="430"/>
      <c r="E36" s="430"/>
      <c r="F36" s="430">
        <f>53+1058</f>
        <v>1111</v>
      </c>
      <c r="G36" s="427"/>
      <c r="H36" s="361">
        <f t="shared" si="2"/>
        <v>1111</v>
      </c>
      <c r="I36" s="427"/>
      <c r="J36" s="427"/>
      <c r="K36" s="965"/>
      <c r="L36" s="970">
        <f t="shared" si="8"/>
        <v>1111</v>
      </c>
      <c r="M36" s="427">
        <f t="shared" si="5"/>
        <v>0</v>
      </c>
      <c r="N36" s="957">
        <f t="shared" si="6"/>
        <v>1111</v>
      </c>
    </row>
    <row r="37" spans="1:14" s="550" customFormat="1" ht="15" customHeight="1" x14ac:dyDescent="0.3">
      <c r="A37" s="713" t="s">
        <v>746</v>
      </c>
      <c r="B37" s="428" t="s">
        <v>760</v>
      </c>
      <c r="C37" s="429"/>
      <c r="D37" s="430"/>
      <c r="E37" s="430"/>
      <c r="F37" s="430">
        <v>3373</v>
      </c>
      <c r="G37" s="430"/>
      <c r="H37" s="361">
        <f t="shared" si="2"/>
        <v>3373</v>
      </c>
      <c r="I37" s="430"/>
      <c r="J37" s="430"/>
      <c r="K37" s="966"/>
      <c r="L37" s="970">
        <f t="shared" si="8"/>
        <v>3373</v>
      </c>
      <c r="M37" s="427">
        <f t="shared" si="5"/>
        <v>0</v>
      </c>
      <c r="N37" s="957">
        <f t="shared" si="6"/>
        <v>3373</v>
      </c>
    </row>
    <row r="38" spans="1:14" s="351" customFormat="1" ht="26.25" customHeight="1" thickBot="1" x14ac:dyDescent="0.35">
      <c r="A38" s="958"/>
      <c r="B38" s="959" t="s">
        <v>644</v>
      </c>
      <c r="C38" s="960"/>
      <c r="D38" s="960"/>
      <c r="E38" s="960"/>
      <c r="F38" s="960"/>
      <c r="G38" s="960"/>
      <c r="H38" s="960">
        <f t="shared" si="2"/>
        <v>0</v>
      </c>
      <c r="I38" s="960"/>
      <c r="J38" s="960"/>
      <c r="K38" s="967"/>
      <c r="L38" s="971">
        <f t="shared" si="8"/>
        <v>0</v>
      </c>
      <c r="M38" s="961">
        <f t="shared" si="5"/>
        <v>0</v>
      </c>
      <c r="N38" s="962">
        <f t="shared" si="6"/>
        <v>0</v>
      </c>
    </row>
    <row r="39" spans="1:14" ht="13.8" thickBot="1" x14ac:dyDescent="0.3">
      <c r="A39" s="1172" t="s">
        <v>180</v>
      </c>
      <c r="B39" s="1173"/>
      <c r="C39" s="62">
        <f>+C19+C9</f>
        <v>89376</v>
      </c>
      <c r="D39" s="62">
        <f t="shared" ref="D39:E39" si="9">+D19+D9</f>
        <v>-546</v>
      </c>
      <c r="E39" s="62">
        <f t="shared" si="9"/>
        <v>88830</v>
      </c>
      <c r="F39" s="62">
        <f>SUM(F4:F22)</f>
        <v>118906</v>
      </c>
      <c r="G39" s="62">
        <f t="shared" ref="G39:H39" si="10">SUM(G4:G22)</f>
        <v>100</v>
      </c>
      <c r="H39" s="62">
        <f t="shared" si="10"/>
        <v>119006</v>
      </c>
      <c r="I39" s="62">
        <f>SUM(I4:I38)</f>
        <v>0</v>
      </c>
      <c r="J39" s="62">
        <f>SUM(J4:J38)</f>
        <v>0</v>
      </c>
      <c r="K39" s="895">
        <f>SUM(K4:K38)</f>
        <v>0</v>
      </c>
      <c r="L39" s="972">
        <f>+C39+F39+I39</f>
        <v>208282</v>
      </c>
      <c r="M39" s="431">
        <f t="shared" ref="M39" si="11">+D39+G39</f>
        <v>-446</v>
      </c>
      <c r="N39" s="954">
        <f t="shared" ref="N39" si="12">+E39+H39</f>
        <v>207836</v>
      </c>
    </row>
  </sheetData>
  <mergeCells count="15">
    <mergeCell ref="L1:N2"/>
    <mergeCell ref="F2:H2"/>
    <mergeCell ref="C1:E1"/>
    <mergeCell ref="F1:H1"/>
    <mergeCell ref="C2:E2"/>
    <mergeCell ref="I1:K1"/>
    <mergeCell ref="I2:K2"/>
    <mergeCell ref="A39:B39"/>
    <mergeCell ref="A9:B9"/>
    <mergeCell ref="A19:B19"/>
    <mergeCell ref="A22:B22"/>
    <mergeCell ref="A1:A2"/>
    <mergeCell ref="B1:B2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&amp;C&amp;"Times New Roman,Félkövér"&amp;12Martonvásár Város Önkormányzatának kiadásai 2017.
Egyéb működési célú támogatások&amp;R&amp;"Times New Roman,Félkövér"&amp;12 5/f.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7"/>
  <sheetViews>
    <sheetView topLeftCell="D31" zoomScaleNormal="100" zoomScaleSheetLayoutView="80" workbookViewId="0">
      <selection activeCell="AE99" sqref="AE99"/>
    </sheetView>
  </sheetViews>
  <sheetFormatPr defaultColWidth="9.109375" defaultRowHeight="14.4" x14ac:dyDescent="0.3"/>
  <cols>
    <col min="1" max="1" width="6.109375" style="887" customWidth="1"/>
    <col min="2" max="2" width="7.109375" style="27" customWidth="1"/>
    <col min="3" max="3" width="42.44140625" style="27" customWidth="1"/>
    <col min="4" max="5" width="7.6640625" style="18" customWidth="1"/>
    <col min="6" max="6" width="10" style="18" customWidth="1"/>
    <col min="7" max="7" width="7.33203125" style="18" customWidth="1"/>
    <col min="8" max="8" width="7.6640625" style="18" customWidth="1"/>
    <col min="9" max="10" width="6.88671875" style="18" customWidth="1"/>
    <col min="11" max="11" width="7.6640625" style="18" customWidth="1"/>
    <col min="12" max="12" width="6.5546875" style="18" customWidth="1"/>
    <col min="13" max="14" width="7.6640625" style="18" customWidth="1"/>
    <col min="15" max="15" width="9.6640625" style="18" customWidth="1"/>
    <col min="16" max="16" width="6.109375" style="18" hidden="1" customWidth="1"/>
    <col min="17" max="17" width="6.6640625" style="18" hidden="1" customWidth="1"/>
    <col min="18" max="19" width="7" style="18" hidden="1" customWidth="1"/>
    <col min="20" max="20" width="6.44140625" style="18" hidden="1" customWidth="1"/>
    <col min="21" max="21" width="7.44140625" style="18" hidden="1" customWidth="1"/>
    <col min="22" max="22" width="7.6640625" style="18" customWidth="1"/>
    <col min="23" max="23" width="5.88671875" style="18" customWidth="1"/>
    <col min="24" max="30" width="6.44140625" style="18" customWidth="1"/>
    <col min="31" max="31" width="8" style="18" customWidth="1"/>
    <col min="32" max="32" width="8.44140625" style="18" customWidth="1"/>
    <col min="33" max="33" width="9.109375" style="18" customWidth="1"/>
    <col min="34" max="36" width="8.88671875" style="1" customWidth="1"/>
    <col min="37" max="16384" width="9.109375" style="18"/>
  </cols>
  <sheetData>
    <row r="1" spans="1:33" s="1" customFormat="1" ht="15.6" x14ac:dyDescent="0.3">
      <c r="A1" s="1201"/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1"/>
      <c r="Q1" s="1201"/>
      <c r="R1" s="1201"/>
      <c r="S1" s="1201"/>
      <c r="T1" s="1201"/>
      <c r="U1" s="1201"/>
      <c r="V1" s="1201"/>
      <c r="W1" s="1201"/>
      <c r="X1" s="1201"/>
      <c r="Y1" s="1201"/>
      <c r="Z1" s="1201"/>
      <c r="AA1" s="1201"/>
      <c r="AB1" s="1201"/>
      <c r="AC1" s="1201"/>
      <c r="AD1" s="1201"/>
      <c r="AE1" s="1201"/>
      <c r="AF1" s="1201"/>
      <c r="AG1" s="1201"/>
    </row>
    <row r="2" spans="1:33" s="1" customFormat="1" ht="16.2" thickBot="1" x14ac:dyDescent="0.35">
      <c r="A2" s="1201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201"/>
      <c r="M2" s="1201"/>
      <c r="N2" s="1201"/>
      <c r="O2" s="1201"/>
      <c r="P2" s="1201"/>
      <c r="Q2" s="1201"/>
      <c r="R2" s="1201"/>
      <c r="S2" s="1201"/>
      <c r="T2" s="1201"/>
      <c r="U2" s="1201"/>
      <c r="V2" s="1201"/>
      <c r="W2" s="1201"/>
      <c r="X2" s="1201"/>
      <c r="Y2" s="1201"/>
      <c r="Z2" s="1201"/>
      <c r="AA2" s="1201"/>
      <c r="AB2" s="1201"/>
      <c r="AC2" s="1201"/>
      <c r="AD2" s="1201"/>
      <c r="AE2" s="1201"/>
      <c r="AF2" s="1201"/>
      <c r="AG2" s="1201"/>
    </row>
    <row r="3" spans="1:33" s="33" customFormat="1" ht="38.25" customHeight="1" x14ac:dyDescent="0.3">
      <c r="A3" s="1131" t="s">
        <v>0</v>
      </c>
      <c r="B3" s="1133" t="s">
        <v>182</v>
      </c>
      <c r="C3" s="1134"/>
      <c r="D3" s="1139" t="s">
        <v>180</v>
      </c>
      <c r="E3" s="1122"/>
      <c r="F3" s="1129"/>
      <c r="G3" s="1202" t="s">
        <v>181</v>
      </c>
      <c r="H3" s="1153"/>
      <c r="I3" s="1153"/>
      <c r="J3" s="1153" t="s">
        <v>583</v>
      </c>
      <c r="K3" s="1153"/>
      <c r="L3" s="1153"/>
      <c r="M3" s="1122" t="s">
        <v>584</v>
      </c>
      <c r="N3" s="1122"/>
      <c r="O3" s="1122"/>
      <c r="P3" s="1153" t="s">
        <v>508</v>
      </c>
      <c r="Q3" s="1153"/>
      <c r="R3" s="1153"/>
      <c r="S3" s="1153" t="s">
        <v>193</v>
      </c>
      <c r="T3" s="1153"/>
      <c r="U3" s="1153"/>
      <c r="V3" s="1122" t="s">
        <v>904</v>
      </c>
      <c r="W3" s="1122"/>
      <c r="X3" s="1122"/>
      <c r="Y3" s="1203" t="s">
        <v>302</v>
      </c>
      <c r="Z3" s="1203"/>
      <c r="AA3" s="1203"/>
      <c r="AB3" s="1203" t="s">
        <v>734</v>
      </c>
      <c r="AC3" s="1203"/>
      <c r="AD3" s="1203"/>
      <c r="AE3" s="1122" t="s">
        <v>266</v>
      </c>
      <c r="AF3" s="1122"/>
      <c r="AG3" s="1129"/>
    </row>
    <row r="4" spans="1:33" s="33" customFormat="1" ht="12.75" customHeight="1" x14ac:dyDescent="0.3">
      <c r="A4" s="1132"/>
      <c r="B4" s="1110"/>
      <c r="C4" s="1135"/>
      <c r="D4" s="1143"/>
      <c r="E4" s="1123"/>
      <c r="F4" s="1130"/>
      <c r="G4" s="1143" t="s">
        <v>189</v>
      </c>
      <c r="H4" s="1123"/>
      <c r="I4" s="1123"/>
      <c r="J4" s="1123" t="s">
        <v>189</v>
      </c>
      <c r="K4" s="1123"/>
      <c r="L4" s="1123"/>
      <c r="M4" s="1123" t="s">
        <v>189</v>
      </c>
      <c r="N4" s="1123"/>
      <c r="O4" s="1123"/>
      <c r="P4" s="1123" t="s">
        <v>189</v>
      </c>
      <c r="Q4" s="1123"/>
      <c r="R4" s="1123"/>
      <c r="S4" s="1123" t="s">
        <v>189</v>
      </c>
      <c r="T4" s="1123"/>
      <c r="U4" s="1123"/>
      <c r="V4" s="1123" t="s">
        <v>189</v>
      </c>
      <c r="W4" s="1123"/>
      <c r="X4" s="1123"/>
      <c r="Y4" s="1200" t="s">
        <v>190</v>
      </c>
      <c r="Z4" s="1200"/>
      <c r="AA4" s="1200"/>
      <c r="AB4" s="1200"/>
      <c r="AC4" s="1200"/>
      <c r="AD4" s="1200"/>
      <c r="AE4" s="1123"/>
      <c r="AF4" s="1123"/>
      <c r="AG4" s="1130"/>
    </row>
    <row r="5" spans="1:33" s="17" customFormat="1" ht="26.4" x14ac:dyDescent="0.3">
      <c r="A5" s="1132"/>
      <c r="B5" s="1110"/>
      <c r="C5" s="1135"/>
      <c r="D5" s="904" t="s">
        <v>177</v>
      </c>
      <c r="E5" s="879" t="s">
        <v>792</v>
      </c>
      <c r="F5" s="897" t="s">
        <v>795</v>
      </c>
      <c r="G5" s="904" t="s">
        <v>177</v>
      </c>
      <c r="H5" s="879" t="s">
        <v>792</v>
      </c>
      <c r="I5" s="879" t="s">
        <v>795</v>
      </c>
      <c r="J5" s="879" t="s">
        <v>177</v>
      </c>
      <c r="K5" s="879" t="s">
        <v>792</v>
      </c>
      <c r="L5" s="879" t="s">
        <v>795</v>
      </c>
      <c r="M5" s="879" t="s">
        <v>177</v>
      </c>
      <c r="N5" s="879" t="s">
        <v>792</v>
      </c>
      <c r="O5" s="879" t="s">
        <v>795</v>
      </c>
      <c r="P5" s="879" t="s">
        <v>177</v>
      </c>
      <c r="Q5" s="879" t="s">
        <v>178</v>
      </c>
      <c r="R5" s="879" t="s">
        <v>179</v>
      </c>
      <c r="S5" s="879" t="s">
        <v>177</v>
      </c>
      <c r="T5" s="879" t="s">
        <v>178</v>
      </c>
      <c r="U5" s="879" t="s">
        <v>179</v>
      </c>
      <c r="V5" s="879" t="s">
        <v>177</v>
      </c>
      <c r="W5" s="879" t="s">
        <v>792</v>
      </c>
      <c r="X5" s="879" t="s">
        <v>795</v>
      </c>
      <c r="Y5" s="879" t="s">
        <v>177</v>
      </c>
      <c r="Z5" s="879" t="s">
        <v>792</v>
      </c>
      <c r="AA5" s="879" t="s">
        <v>795</v>
      </c>
      <c r="AB5" s="879" t="s">
        <v>177</v>
      </c>
      <c r="AC5" s="879" t="s">
        <v>792</v>
      </c>
      <c r="AD5" s="879" t="s">
        <v>795</v>
      </c>
      <c r="AE5" s="879" t="s">
        <v>177</v>
      </c>
      <c r="AF5" s="879" t="s">
        <v>792</v>
      </c>
      <c r="AG5" s="897" t="s">
        <v>795</v>
      </c>
    </row>
    <row r="6" spans="1:33" s="44" customFormat="1" ht="12.9" customHeight="1" x14ac:dyDescent="0.25">
      <c r="A6" s="575" t="s">
        <v>27</v>
      </c>
      <c r="B6" s="1111" t="s">
        <v>174</v>
      </c>
      <c r="C6" s="1084"/>
      <c r="D6" s="649">
        <f>+G6+M6+P6+S6+V6+AE6+J6+Y6+AB6</f>
        <v>7765</v>
      </c>
      <c r="E6" s="649">
        <f t="shared" ref="E6:F6" si="0">+H6+N6+Q6+T6+W6+AF6+K6+Z6+AC6</f>
        <v>-200</v>
      </c>
      <c r="F6" s="649">
        <f t="shared" si="0"/>
        <v>7565</v>
      </c>
      <c r="G6" s="649"/>
      <c r="H6" s="58"/>
      <c r="I6" s="58">
        <f>+H6+G6</f>
        <v>0</v>
      </c>
      <c r="J6" s="58"/>
      <c r="K6" s="58"/>
      <c r="L6" s="58">
        <f>+K6+J6</f>
        <v>0</v>
      </c>
      <c r="M6" s="58"/>
      <c r="N6" s="58"/>
      <c r="O6" s="58">
        <f>+N6+M6</f>
        <v>0</v>
      </c>
      <c r="P6" s="58"/>
      <c r="Q6" s="58"/>
      <c r="R6" s="58"/>
      <c r="S6" s="58"/>
      <c r="T6" s="58"/>
      <c r="U6" s="58"/>
      <c r="V6" s="58">
        <v>7765</v>
      </c>
      <c r="W6" s="58">
        <v>-200</v>
      </c>
      <c r="X6" s="58">
        <f>+W6+V6</f>
        <v>7565</v>
      </c>
      <c r="Y6" s="58"/>
      <c r="Z6" s="58"/>
      <c r="AA6" s="58">
        <f>+Z6+Y6</f>
        <v>0</v>
      </c>
      <c r="AB6" s="58"/>
      <c r="AC6" s="58"/>
      <c r="AD6" s="58">
        <f>+AC6+AB6</f>
        <v>0</v>
      </c>
      <c r="AE6" s="58"/>
      <c r="AF6" s="58"/>
      <c r="AG6" s="576">
        <f>+AF6+AE6</f>
        <v>0</v>
      </c>
    </row>
    <row r="7" spans="1:33" s="44" customFormat="1" ht="12.9" customHeight="1" x14ac:dyDescent="0.25">
      <c r="A7" s="575" t="s">
        <v>33</v>
      </c>
      <c r="B7" s="1111" t="s">
        <v>173</v>
      </c>
      <c r="C7" s="1084"/>
      <c r="D7" s="649">
        <f t="shared" ref="D7:D70" si="1">+G7+M7+P7+S7+V7+AE7+J7+Y7+AB7</f>
        <v>0</v>
      </c>
      <c r="E7" s="58">
        <f t="shared" ref="E7:E70" si="2">+H7+N7+Q7+T7+W7+AF7+K7+Z7+AC7</f>
        <v>0</v>
      </c>
      <c r="F7" s="576">
        <f t="shared" ref="F7:F70" si="3">+I7+O7+R7+U7+X7+AG7+L7+AA7+AD7</f>
        <v>0</v>
      </c>
      <c r="G7" s="649"/>
      <c r="H7" s="58"/>
      <c r="I7" s="58">
        <f t="shared" ref="I7:I70" si="4">+H7+G7</f>
        <v>0</v>
      </c>
      <c r="J7" s="58"/>
      <c r="K7" s="58"/>
      <c r="L7" s="58">
        <f t="shared" ref="L7:L70" si="5">+K7+J7</f>
        <v>0</v>
      </c>
      <c r="M7" s="58"/>
      <c r="N7" s="58"/>
      <c r="O7" s="58">
        <f t="shared" ref="O7:O70" si="6">+N7+M7</f>
        <v>0</v>
      </c>
      <c r="P7" s="58"/>
      <c r="Q7" s="58"/>
      <c r="R7" s="58"/>
      <c r="S7" s="58"/>
      <c r="T7" s="58"/>
      <c r="U7" s="58"/>
      <c r="V7" s="58"/>
      <c r="W7" s="58"/>
      <c r="X7" s="58">
        <f t="shared" ref="X7:X70" si="7">+W7+V7</f>
        <v>0</v>
      </c>
      <c r="Y7" s="58"/>
      <c r="Z7" s="58"/>
      <c r="AA7" s="58">
        <f t="shared" ref="AA7:AA70" si="8">+Z7+Y7</f>
        <v>0</v>
      </c>
      <c r="AB7" s="58"/>
      <c r="AC7" s="58"/>
      <c r="AD7" s="58">
        <f t="shared" ref="AD7:AD70" si="9">+AC7+AB7</f>
        <v>0</v>
      </c>
      <c r="AE7" s="58"/>
      <c r="AF7" s="58"/>
      <c r="AG7" s="576">
        <f t="shared" ref="AG7:AG70" si="10">+AF7+AE7</f>
        <v>0</v>
      </c>
    </row>
    <row r="8" spans="1:33" s="44" customFormat="1" ht="12.9" customHeight="1" x14ac:dyDescent="0.25">
      <c r="A8" s="575" t="s">
        <v>34</v>
      </c>
      <c r="B8" s="1111" t="s">
        <v>172</v>
      </c>
      <c r="C8" s="1084"/>
      <c r="D8" s="649">
        <f t="shared" si="1"/>
        <v>7765</v>
      </c>
      <c r="E8" s="58">
        <f t="shared" si="2"/>
        <v>-200</v>
      </c>
      <c r="F8" s="576">
        <f t="shared" si="3"/>
        <v>7565</v>
      </c>
      <c r="G8" s="649"/>
      <c r="H8" s="58"/>
      <c r="I8" s="58">
        <f t="shared" si="4"/>
        <v>0</v>
      </c>
      <c r="J8" s="58"/>
      <c r="K8" s="58"/>
      <c r="L8" s="58">
        <f t="shared" si="5"/>
        <v>0</v>
      </c>
      <c r="M8" s="58"/>
      <c r="N8" s="58"/>
      <c r="O8" s="58">
        <f t="shared" si="6"/>
        <v>0</v>
      </c>
      <c r="P8" s="58"/>
      <c r="Q8" s="58"/>
      <c r="R8" s="58"/>
      <c r="S8" s="58"/>
      <c r="T8" s="58"/>
      <c r="U8" s="58"/>
      <c r="V8" s="58">
        <f>SUM(V6:V7)</f>
        <v>7765</v>
      </c>
      <c r="W8" s="58">
        <f>SUM(W6:W7)</f>
        <v>-200</v>
      </c>
      <c r="X8" s="58">
        <f t="shared" si="7"/>
        <v>7565</v>
      </c>
      <c r="Y8" s="58"/>
      <c r="Z8" s="58"/>
      <c r="AA8" s="58">
        <f t="shared" si="8"/>
        <v>0</v>
      </c>
      <c r="AB8" s="58"/>
      <c r="AC8" s="58"/>
      <c r="AD8" s="58">
        <f t="shared" si="9"/>
        <v>0</v>
      </c>
      <c r="AE8" s="58"/>
      <c r="AF8" s="58"/>
      <c r="AG8" s="576">
        <f t="shared" si="10"/>
        <v>0</v>
      </c>
    </row>
    <row r="9" spans="1:33" ht="10.5" customHeight="1" x14ac:dyDescent="0.3">
      <c r="A9" s="577"/>
      <c r="B9" s="880"/>
      <c r="C9" s="356"/>
      <c r="D9" s="246"/>
      <c r="E9" s="246"/>
      <c r="F9" s="651"/>
      <c r="G9" s="61"/>
      <c r="H9" s="61"/>
      <c r="I9" s="246"/>
      <c r="J9" s="61"/>
      <c r="K9" s="61"/>
      <c r="L9" s="246"/>
      <c r="M9" s="61"/>
      <c r="N9" s="61"/>
      <c r="O9" s="246"/>
      <c r="P9" s="61"/>
      <c r="Q9" s="61"/>
      <c r="R9" s="61"/>
      <c r="S9" s="61"/>
      <c r="T9" s="61"/>
      <c r="U9" s="61"/>
      <c r="V9" s="61"/>
      <c r="W9" s="61"/>
      <c r="X9" s="246"/>
      <c r="Y9" s="61"/>
      <c r="Z9" s="61"/>
      <c r="AA9" s="246"/>
      <c r="AB9" s="61"/>
      <c r="AC9" s="61"/>
      <c r="AD9" s="246"/>
      <c r="AE9" s="61"/>
      <c r="AF9" s="61"/>
      <c r="AG9" s="651"/>
    </row>
    <row r="10" spans="1:33" s="44" customFormat="1" ht="12.9" customHeight="1" x14ac:dyDescent="0.25">
      <c r="A10" s="575" t="s">
        <v>35</v>
      </c>
      <c r="B10" s="1111" t="s">
        <v>171</v>
      </c>
      <c r="C10" s="1084"/>
      <c r="D10" s="649">
        <f t="shared" si="1"/>
        <v>1530</v>
      </c>
      <c r="E10" s="58">
        <f t="shared" si="2"/>
        <v>0</v>
      </c>
      <c r="F10" s="576">
        <f t="shared" si="3"/>
        <v>1530</v>
      </c>
      <c r="G10" s="649"/>
      <c r="H10" s="58"/>
      <c r="I10" s="58">
        <f t="shared" si="4"/>
        <v>0</v>
      </c>
      <c r="J10" s="58"/>
      <c r="K10" s="58"/>
      <c r="L10" s="58">
        <f t="shared" si="5"/>
        <v>0</v>
      </c>
      <c r="M10" s="58"/>
      <c r="N10" s="58"/>
      <c r="O10" s="58">
        <f t="shared" si="6"/>
        <v>0</v>
      </c>
      <c r="P10" s="58"/>
      <c r="Q10" s="58"/>
      <c r="R10" s="58"/>
      <c r="S10" s="58"/>
      <c r="T10" s="58"/>
      <c r="U10" s="58"/>
      <c r="V10" s="58">
        <v>1530</v>
      </c>
      <c r="W10" s="58"/>
      <c r="X10" s="58">
        <f t="shared" si="7"/>
        <v>1530</v>
      </c>
      <c r="Y10" s="58"/>
      <c r="Z10" s="58"/>
      <c r="AA10" s="58">
        <f t="shared" si="8"/>
        <v>0</v>
      </c>
      <c r="AB10" s="58"/>
      <c r="AC10" s="58"/>
      <c r="AD10" s="58">
        <f t="shared" si="9"/>
        <v>0</v>
      </c>
      <c r="AE10" s="58"/>
      <c r="AF10" s="58"/>
      <c r="AG10" s="576">
        <f t="shared" si="10"/>
        <v>0</v>
      </c>
    </row>
    <row r="11" spans="1:33" ht="10.5" customHeight="1" x14ac:dyDescent="0.3">
      <c r="A11" s="103"/>
      <c r="C11" s="357"/>
      <c r="D11" s="246"/>
      <c r="E11" s="246"/>
      <c r="F11" s="651"/>
      <c r="G11" s="61"/>
      <c r="H11" s="61"/>
      <c r="I11" s="246"/>
      <c r="J11" s="61"/>
      <c r="K11" s="61"/>
      <c r="L11" s="246"/>
      <c r="M11" s="61"/>
      <c r="N11" s="61"/>
      <c r="O11" s="246"/>
      <c r="P11" s="61"/>
      <c r="Q11" s="61"/>
      <c r="R11" s="61"/>
      <c r="S11" s="61"/>
      <c r="T11" s="61"/>
      <c r="U11" s="61"/>
      <c r="V11" s="61"/>
      <c r="W11" s="61"/>
      <c r="X11" s="246"/>
      <c r="Y11" s="61"/>
      <c r="Z11" s="61"/>
      <c r="AA11" s="246"/>
      <c r="AB11" s="61"/>
      <c r="AC11" s="61"/>
      <c r="AD11" s="246"/>
      <c r="AE11" s="61"/>
      <c r="AF11" s="61"/>
      <c r="AG11" s="651"/>
    </row>
    <row r="12" spans="1:33" ht="12.9" customHeight="1" x14ac:dyDescent="0.3">
      <c r="A12" s="578" t="s">
        <v>42</v>
      </c>
      <c r="B12" s="1112" t="s">
        <v>41</v>
      </c>
      <c r="C12" s="1086"/>
      <c r="D12" s="649">
        <f t="shared" si="1"/>
        <v>0</v>
      </c>
      <c r="E12" s="58">
        <f t="shared" si="2"/>
        <v>0</v>
      </c>
      <c r="F12" s="576">
        <f t="shared" si="3"/>
        <v>0</v>
      </c>
      <c r="G12" s="31"/>
      <c r="H12" s="29"/>
      <c r="I12" s="58">
        <f t="shared" si="4"/>
        <v>0</v>
      </c>
      <c r="J12" s="29"/>
      <c r="K12" s="29"/>
      <c r="L12" s="58">
        <f t="shared" si="5"/>
        <v>0</v>
      </c>
      <c r="M12" s="29"/>
      <c r="N12" s="29"/>
      <c r="O12" s="58">
        <f t="shared" si="6"/>
        <v>0</v>
      </c>
      <c r="P12" s="29"/>
      <c r="Q12" s="29"/>
      <c r="R12" s="29"/>
      <c r="S12" s="29"/>
      <c r="T12" s="29"/>
      <c r="U12" s="29"/>
      <c r="V12" s="29"/>
      <c r="W12" s="29"/>
      <c r="X12" s="58">
        <f t="shared" si="7"/>
        <v>0</v>
      </c>
      <c r="Y12" s="29"/>
      <c r="Z12" s="29"/>
      <c r="AA12" s="58">
        <f t="shared" si="8"/>
        <v>0</v>
      </c>
      <c r="AB12" s="29"/>
      <c r="AC12" s="29"/>
      <c r="AD12" s="58">
        <f t="shared" si="9"/>
        <v>0</v>
      </c>
      <c r="AE12" s="29"/>
      <c r="AF12" s="29"/>
      <c r="AG12" s="576">
        <f t="shared" si="10"/>
        <v>0</v>
      </c>
    </row>
    <row r="13" spans="1:33" ht="12.9" customHeight="1" x14ac:dyDescent="0.3">
      <c r="A13" s="578" t="s">
        <v>44</v>
      </c>
      <c r="B13" s="1112" t="s">
        <v>43</v>
      </c>
      <c r="C13" s="1086"/>
      <c r="D13" s="649">
        <f t="shared" si="1"/>
        <v>1768</v>
      </c>
      <c r="E13" s="58">
        <f t="shared" si="2"/>
        <v>0</v>
      </c>
      <c r="F13" s="576">
        <f t="shared" si="3"/>
        <v>1768</v>
      </c>
      <c r="G13" s="31">
        <v>500</v>
      </c>
      <c r="H13" s="29"/>
      <c r="I13" s="58">
        <f t="shared" si="4"/>
        <v>500</v>
      </c>
      <c r="J13" s="29"/>
      <c r="K13" s="29"/>
      <c r="L13" s="58">
        <f t="shared" si="5"/>
        <v>0</v>
      </c>
      <c r="M13" s="29"/>
      <c r="N13" s="29"/>
      <c r="O13" s="58">
        <f t="shared" si="6"/>
        <v>0</v>
      </c>
      <c r="P13" s="29"/>
      <c r="Q13" s="29"/>
      <c r="R13" s="29"/>
      <c r="S13" s="29"/>
      <c r="T13" s="29"/>
      <c r="U13" s="29"/>
      <c r="V13" s="29"/>
      <c r="W13" s="29"/>
      <c r="X13" s="58">
        <f t="shared" si="7"/>
        <v>0</v>
      </c>
      <c r="Y13" s="29"/>
      <c r="Z13" s="29"/>
      <c r="AA13" s="58">
        <f t="shared" si="8"/>
        <v>0</v>
      </c>
      <c r="AB13" s="29">
        <v>1268</v>
      </c>
      <c r="AC13" s="29"/>
      <c r="AD13" s="58">
        <f t="shared" si="9"/>
        <v>1268</v>
      </c>
      <c r="AE13" s="29"/>
      <c r="AF13" s="29"/>
      <c r="AG13" s="576">
        <f t="shared" si="10"/>
        <v>0</v>
      </c>
    </row>
    <row r="14" spans="1:33" ht="12.9" customHeight="1" x14ac:dyDescent="0.3">
      <c r="A14" s="578" t="s">
        <v>46</v>
      </c>
      <c r="B14" s="1112" t="s">
        <v>45</v>
      </c>
      <c r="C14" s="1086"/>
      <c r="D14" s="649">
        <f t="shared" si="1"/>
        <v>0</v>
      </c>
      <c r="E14" s="58">
        <f t="shared" si="2"/>
        <v>0</v>
      </c>
      <c r="F14" s="576">
        <f t="shared" si="3"/>
        <v>0</v>
      </c>
      <c r="G14" s="31"/>
      <c r="H14" s="29"/>
      <c r="I14" s="58">
        <f t="shared" si="4"/>
        <v>0</v>
      </c>
      <c r="J14" s="29"/>
      <c r="K14" s="29"/>
      <c r="L14" s="58">
        <f t="shared" si="5"/>
        <v>0</v>
      </c>
      <c r="M14" s="29"/>
      <c r="N14" s="29"/>
      <c r="O14" s="58">
        <f t="shared" si="6"/>
        <v>0</v>
      </c>
      <c r="P14" s="29"/>
      <c r="Q14" s="29"/>
      <c r="R14" s="29"/>
      <c r="S14" s="29"/>
      <c r="T14" s="29"/>
      <c r="U14" s="29"/>
      <c r="V14" s="29"/>
      <c r="W14" s="29"/>
      <c r="X14" s="58">
        <f t="shared" si="7"/>
        <v>0</v>
      </c>
      <c r="Y14" s="29"/>
      <c r="Z14" s="29"/>
      <c r="AA14" s="58">
        <f t="shared" si="8"/>
        <v>0</v>
      </c>
      <c r="AB14" s="29"/>
      <c r="AC14" s="29"/>
      <c r="AD14" s="58">
        <f t="shared" si="9"/>
        <v>0</v>
      </c>
      <c r="AE14" s="29"/>
      <c r="AF14" s="29"/>
      <c r="AG14" s="576">
        <f t="shared" si="10"/>
        <v>0</v>
      </c>
    </row>
    <row r="15" spans="1:33" s="44" customFormat="1" ht="12.9" customHeight="1" x14ac:dyDescent="0.25">
      <c r="A15" s="575" t="s">
        <v>47</v>
      </c>
      <c r="B15" s="1111" t="s">
        <v>170</v>
      </c>
      <c r="C15" s="1084"/>
      <c r="D15" s="649">
        <f t="shared" si="1"/>
        <v>1768</v>
      </c>
      <c r="E15" s="58">
        <f t="shared" si="2"/>
        <v>0</v>
      </c>
      <c r="F15" s="576">
        <f t="shared" si="3"/>
        <v>1768</v>
      </c>
      <c r="G15" s="649">
        <f t="shared" ref="G15:H15" si="11">SUM(G12:G14)</f>
        <v>500</v>
      </c>
      <c r="H15" s="58">
        <f t="shared" si="11"/>
        <v>0</v>
      </c>
      <c r="I15" s="58">
        <f t="shared" si="4"/>
        <v>500</v>
      </c>
      <c r="J15" s="58"/>
      <c r="K15" s="58"/>
      <c r="L15" s="58">
        <f t="shared" si="5"/>
        <v>0</v>
      </c>
      <c r="M15" s="58">
        <f>SUM(M12:M14)</f>
        <v>0</v>
      </c>
      <c r="N15" s="58">
        <f>SUM(N12:N14)</f>
        <v>0</v>
      </c>
      <c r="O15" s="58">
        <f t="shared" si="6"/>
        <v>0</v>
      </c>
      <c r="P15" s="58">
        <f t="shared" ref="P15:R15" si="12">SUM(P12:P14)</f>
        <v>0</v>
      </c>
      <c r="Q15" s="58">
        <f t="shared" si="12"/>
        <v>0</v>
      </c>
      <c r="R15" s="58">
        <f t="shared" si="12"/>
        <v>0</v>
      </c>
      <c r="S15" s="58">
        <f t="shared" ref="S15:AC15" si="13">SUM(S12:S14)</f>
        <v>0</v>
      </c>
      <c r="T15" s="58">
        <f t="shared" si="13"/>
        <v>0</v>
      </c>
      <c r="U15" s="58">
        <f t="shared" si="13"/>
        <v>0</v>
      </c>
      <c r="V15" s="58">
        <f t="shared" si="13"/>
        <v>0</v>
      </c>
      <c r="W15" s="58">
        <f t="shared" si="13"/>
        <v>0</v>
      </c>
      <c r="X15" s="58">
        <f t="shared" si="7"/>
        <v>0</v>
      </c>
      <c r="Y15" s="58">
        <f t="shared" si="13"/>
        <v>0</v>
      </c>
      <c r="Z15" s="58">
        <f t="shared" si="13"/>
        <v>0</v>
      </c>
      <c r="AA15" s="58">
        <f t="shared" si="8"/>
        <v>0</v>
      </c>
      <c r="AB15" s="58">
        <f t="shared" si="13"/>
        <v>1268</v>
      </c>
      <c r="AC15" s="58">
        <f t="shared" si="13"/>
        <v>0</v>
      </c>
      <c r="AD15" s="58">
        <f t="shared" si="9"/>
        <v>1268</v>
      </c>
      <c r="AE15" s="58">
        <f>SUM(AE12:AE14)</f>
        <v>0</v>
      </c>
      <c r="AF15" s="58">
        <f>SUM(AF12:AF14)</f>
        <v>0</v>
      </c>
      <c r="AG15" s="576">
        <f t="shared" si="10"/>
        <v>0</v>
      </c>
    </row>
    <row r="16" spans="1:33" ht="12.9" customHeight="1" x14ac:dyDescent="0.3">
      <c r="A16" s="578" t="s">
        <v>49</v>
      </c>
      <c r="B16" s="1112" t="s">
        <v>48</v>
      </c>
      <c r="C16" s="1086"/>
      <c r="D16" s="649">
        <f t="shared" si="1"/>
        <v>2880</v>
      </c>
      <c r="E16" s="58">
        <f t="shared" si="2"/>
        <v>0</v>
      </c>
      <c r="F16" s="576">
        <f t="shared" si="3"/>
        <v>2880</v>
      </c>
      <c r="G16" s="31">
        <v>2880</v>
      </c>
      <c r="H16" s="29"/>
      <c r="I16" s="58">
        <f t="shared" si="4"/>
        <v>2880</v>
      </c>
      <c r="J16" s="29"/>
      <c r="K16" s="29"/>
      <c r="L16" s="58">
        <f t="shared" si="5"/>
        <v>0</v>
      </c>
      <c r="M16" s="29"/>
      <c r="N16" s="29"/>
      <c r="O16" s="58">
        <f t="shared" si="6"/>
        <v>0</v>
      </c>
      <c r="P16" s="29"/>
      <c r="Q16" s="29"/>
      <c r="R16" s="29"/>
      <c r="S16" s="29"/>
      <c r="T16" s="29"/>
      <c r="U16" s="29"/>
      <c r="V16" s="29"/>
      <c r="W16" s="29"/>
      <c r="X16" s="58">
        <f t="shared" si="7"/>
        <v>0</v>
      </c>
      <c r="Y16" s="29"/>
      <c r="Z16" s="29"/>
      <c r="AA16" s="58">
        <f t="shared" si="8"/>
        <v>0</v>
      </c>
      <c r="AB16" s="29"/>
      <c r="AC16" s="29"/>
      <c r="AD16" s="58">
        <f t="shared" si="9"/>
        <v>0</v>
      </c>
      <c r="AE16" s="29"/>
      <c r="AF16" s="29"/>
      <c r="AG16" s="576">
        <f t="shared" si="10"/>
        <v>0</v>
      </c>
    </row>
    <row r="17" spans="1:33" ht="12.9" customHeight="1" x14ac:dyDescent="0.3">
      <c r="A17" s="578" t="s">
        <v>51</v>
      </c>
      <c r="B17" s="1112" t="s">
        <v>50</v>
      </c>
      <c r="C17" s="1086"/>
      <c r="D17" s="649">
        <f t="shared" si="1"/>
        <v>0</v>
      </c>
      <c r="E17" s="58">
        <f t="shared" si="2"/>
        <v>0</v>
      </c>
      <c r="F17" s="576">
        <f t="shared" si="3"/>
        <v>0</v>
      </c>
      <c r="G17" s="31"/>
      <c r="H17" s="29"/>
      <c r="I17" s="58">
        <f t="shared" si="4"/>
        <v>0</v>
      </c>
      <c r="J17" s="29"/>
      <c r="K17" s="29"/>
      <c r="L17" s="58">
        <f t="shared" si="5"/>
        <v>0</v>
      </c>
      <c r="M17" s="29"/>
      <c r="N17" s="29"/>
      <c r="O17" s="58">
        <f t="shared" si="6"/>
        <v>0</v>
      </c>
      <c r="P17" s="29"/>
      <c r="Q17" s="29"/>
      <c r="R17" s="29"/>
      <c r="S17" s="29"/>
      <c r="T17" s="29"/>
      <c r="U17" s="29"/>
      <c r="V17" s="29"/>
      <c r="W17" s="29"/>
      <c r="X17" s="58">
        <f t="shared" si="7"/>
        <v>0</v>
      </c>
      <c r="Y17" s="29"/>
      <c r="Z17" s="29"/>
      <c r="AA17" s="58">
        <f t="shared" si="8"/>
        <v>0</v>
      </c>
      <c r="AB17" s="29"/>
      <c r="AC17" s="29"/>
      <c r="AD17" s="58">
        <f t="shared" si="9"/>
        <v>0</v>
      </c>
      <c r="AE17" s="29"/>
      <c r="AF17" s="29"/>
      <c r="AG17" s="576">
        <f t="shared" si="10"/>
        <v>0</v>
      </c>
    </row>
    <row r="18" spans="1:33" s="44" customFormat="1" ht="12.9" customHeight="1" x14ac:dyDescent="0.25">
      <c r="A18" s="575" t="s">
        <v>52</v>
      </c>
      <c r="B18" s="1111" t="s">
        <v>169</v>
      </c>
      <c r="C18" s="1084"/>
      <c r="D18" s="649">
        <f t="shared" si="1"/>
        <v>2880</v>
      </c>
      <c r="E18" s="58">
        <f t="shared" si="2"/>
        <v>0</v>
      </c>
      <c r="F18" s="576">
        <f t="shared" si="3"/>
        <v>2880</v>
      </c>
      <c r="G18" s="649">
        <f t="shared" ref="G18:H18" si="14">+G16+G17</f>
        <v>2880</v>
      </c>
      <c r="H18" s="58">
        <f t="shared" si="14"/>
        <v>0</v>
      </c>
      <c r="I18" s="58">
        <f t="shared" si="4"/>
        <v>2880</v>
      </c>
      <c r="J18" s="58"/>
      <c r="K18" s="58"/>
      <c r="L18" s="58">
        <f t="shared" si="5"/>
        <v>0</v>
      </c>
      <c r="M18" s="58">
        <f>+M16+M17</f>
        <v>0</v>
      </c>
      <c r="N18" s="58">
        <f>+N16+N17</f>
        <v>0</v>
      </c>
      <c r="O18" s="58">
        <f t="shared" si="6"/>
        <v>0</v>
      </c>
      <c r="P18" s="58">
        <f t="shared" ref="P18:R18" si="15">+P16+P17</f>
        <v>0</v>
      </c>
      <c r="Q18" s="58">
        <f t="shared" si="15"/>
        <v>0</v>
      </c>
      <c r="R18" s="58">
        <f t="shared" si="15"/>
        <v>0</v>
      </c>
      <c r="S18" s="58">
        <f t="shared" ref="S18:AC18" si="16">+S16+S17</f>
        <v>0</v>
      </c>
      <c r="T18" s="58">
        <f t="shared" si="16"/>
        <v>0</v>
      </c>
      <c r="U18" s="58">
        <f t="shared" si="16"/>
        <v>0</v>
      </c>
      <c r="V18" s="58">
        <f t="shared" si="16"/>
        <v>0</v>
      </c>
      <c r="W18" s="58">
        <f t="shared" si="16"/>
        <v>0</v>
      </c>
      <c r="X18" s="58">
        <f t="shared" si="7"/>
        <v>0</v>
      </c>
      <c r="Y18" s="58">
        <f t="shared" si="16"/>
        <v>0</v>
      </c>
      <c r="Z18" s="58">
        <f t="shared" si="16"/>
        <v>0</v>
      </c>
      <c r="AA18" s="58">
        <f t="shared" si="8"/>
        <v>0</v>
      </c>
      <c r="AB18" s="58">
        <f t="shared" si="16"/>
        <v>0</v>
      </c>
      <c r="AC18" s="58">
        <f t="shared" si="16"/>
        <v>0</v>
      </c>
      <c r="AD18" s="58">
        <f t="shared" si="9"/>
        <v>0</v>
      </c>
      <c r="AE18" s="58">
        <f>+AE16+AE17</f>
        <v>0</v>
      </c>
      <c r="AF18" s="58">
        <f>+AF16+AF17</f>
        <v>0</v>
      </c>
      <c r="AG18" s="576">
        <f t="shared" si="10"/>
        <v>0</v>
      </c>
    </row>
    <row r="19" spans="1:33" ht="12.9" customHeight="1" x14ac:dyDescent="0.3">
      <c r="A19" s="578" t="s">
        <v>54</v>
      </c>
      <c r="B19" s="1112" t="s">
        <v>53</v>
      </c>
      <c r="C19" s="1086"/>
      <c r="D19" s="649">
        <f t="shared" si="1"/>
        <v>0</v>
      </c>
      <c r="E19" s="58">
        <f t="shared" si="2"/>
        <v>0</v>
      </c>
      <c r="F19" s="576">
        <f t="shared" si="3"/>
        <v>0</v>
      </c>
      <c r="G19" s="31"/>
      <c r="H19" s="29"/>
      <c r="I19" s="58">
        <f t="shared" si="4"/>
        <v>0</v>
      </c>
      <c r="J19" s="29"/>
      <c r="K19" s="29"/>
      <c r="L19" s="58">
        <f t="shared" si="5"/>
        <v>0</v>
      </c>
      <c r="M19" s="29"/>
      <c r="N19" s="29"/>
      <c r="O19" s="58">
        <f t="shared" si="6"/>
        <v>0</v>
      </c>
      <c r="P19" s="29"/>
      <c r="Q19" s="29"/>
      <c r="R19" s="29"/>
      <c r="S19" s="29"/>
      <c r="T19" s="29"/>
      <c r="U19" s="29"/>
      <c r="V19" s="29"/>
      <c r="W19" s="29"/>
      <c r="X19" s="58">
        <f t="shared" si="7"/>
        <v>0</v>
      </c>
      <c r="Y19" s="29"/>
      <c r="Z19" s="29"/>
      <c r="AA19" s="58">
        <f t="shared" si="8"/>
        <v>0</v>
      </c>
      <c r="AB19" s="29"/>
      <c r="AC19" s="29"/>
      <c r="AD19" s="58">
        <f t="shared" si="9"/>
        <v>0</v>
      </c>
      <c r="AE19" s="29"/>
      <c r="AF19" s="29"/>
      <c r="AG19" s="576">
        <f t="shared" si="10"/>
        <v>0</v>
      </c>
    </row>
    <row r="20" spans="1:33" ht="12.9" customHeight="1" x14ac:dyDescent="0.3">
      <c r="A20" s="578" t="s">
        <v>56</v>
      </c>
      <c r="B20" s="1112" t="s">
        <v>55</v>
      </c>
      <c r="C20" s="1086"/>
      <c r="D20" s="649">
        <f t="shared" si="1"/>
        <v>57131</v>
      </c>
      <c r="E20" s="58">
        <f t="shared" si="2"/>
        <v>450</v>
      </c>
      <c r="F20" s="576">
        <f t="shared" si="3"/>
        <v>57581</v>
      </c>
      <c r="G20" s="31"/>
      <c r="H20" s="29"/>
      <c r="I20" s="58">
        <f t="shared" si="4"/>
        <v>0</v>
      </c>
      <c r="J20" s="741">
        <v>41739</v>
      </c>
      <c r="K20" s="741"/>
      <c r="L20" s="58">
        <f t="shared" si="5"/>
        <v>41739</v>
      </c>
      <c r="M20" s="741">
        <v>15392</v>
      </c>
      <c r="N20" s="29"/>
      <c r="O20" s="58">
        <f t="shared" si="6"/>
        <v>15392</v>
      </c>
      <c r="P20" s="29"/>
      <c r="Q20" s="29"/>
      <c r="R20" s="29"/>
      <c r="S20" s="29"/>
      <c r="T20" s="29"/>
      <c r="U20" s="29"/>
      <c r="V20" s="29"/>
      <c r="W20" s="29"/>
      <c r="X20" s="58">
        <f t="shared" si="7"/>
        <v>0</v>
      </c>
      <c r="Y20" s="29"/>
      <c r="Z20" s="29"/>
      <c r="AA20" s="58">
        <f t="shared" si="8"/>
        <v>0</v>
      </c>
      <c r="AB20" s="29"/>
      <c r="AC20" s="29"/>
      <c r="AD20" s="58">
        <f t="shared" si="9"/>
        <v>0</v>
      </c>
      <c r="AE20" s="29"/>
      <c r="AF20" s="29">
        <v>450</v>
      </c>
      <c r="AG20" s="576">
        <f t="shared" si="10"/>
        <v>450</v>
      </c>
    </row>
    <row r="21" spans="1:33" ht="12.9" customHeight="1" x14ac:dyDescent="0.3">
      <c r="A21" s="578" t="s">
        <v>57</v>
      </c>
      <c r="B21" s="1112" t="s">
        <v>167</v>
      </c>
      <c r="C21" s="1086"/>
      <c r="D21" s="649">
        <f t="shared" si="1"/>
        <v>360</v>
      </c>
      <c r="E21" s="58">
        <f t="shared" si="2"/>
        <v>0</v>
      </c>
      <c r="F21" s="576">
        <f t="shared" si="3"/>
        <v>360</v>
      </c>
      <c r="G21" s="31">
        <v>360</v>
      </c>
      <c r="H21" s="29"/>
      <c r="I21" s="58">
        <f t="shared" si="4"/>
        <v>360</v>
      </c>
      <c r="J21" s="741"/>
      <c r="K21" s="741"/>
      <c r="L21" s="58">
        <f t="shared" si="5"/>
        <v>0</v>
      </c>
      <c r="M21" s="741"/>
      <c r="N21" s="29"/>
      <c r="O21" s="58">
        <f t="shared" si="6"/>
        <v>0</v>
      </c>
      <c r="P21" s="29"/>
      <c r="Q21" s="29"/>
      <c r="R21" s="29"/>
      <c r="S21" s="29"/>
      <c r="T21" s="29"/>
      <c r="U21" s="29"/>
      <c r="V21" s="29"/>
      <c r="W21" s="29"/>
      <c r="X21" s="58">
        <f t="shared" si="7"/>
        <v>0</v>
      </c>
      <c r="Y21" s="29"/>
      <c r="Z21" s="29"/>
      <c r="AA21" s="58">
        <f t="shared" si="8"/>
        <v>0</v>
      </c>
      <c r="AB21" s="29"/>
      <c r="AC21" s="29"/>
      <c r="AD21" s="58">
        <f t="shared" si="9"/>
        <v>0</v>
      </c>
      <c r="AE21" s="29"/>
      <c r="AF21" s="29"/>
      <c r="AG21" s="576">
        <f t="shared" si="10"/>
        <v>0</v>
      </c>
    </row>
    <row r="22" spans="1:33" ht="12.9" customHeight="1" x14ac:dyDescent="0.3">
      <c r="A22" s="578" t="s">
        <v>59</v>
      </c>
      <c r="B22" s="1112" t="s">
        <v>58</v>
      </c>
      <c r="C22" s="1086"/>
      <c r="D22" s="649">
        <f t="shared" si="1"/>
        <v>0</v>
      </c>
      <c r="E22" s="58">
        <f t="shared" si="2"/>
        <v>0</v>
      </c>
      <c r="F22" s="576">
        <f t="shared" si="3"/>
        <v>0</v>
      </c>
      <c r="G22" s="31"/>
      <c r="H22" s="29"/>
      <c r="I22" s="58">
        <f t="shared" si="4"/>
        <v>0</v>
      </c>
      <c r="J22" s="741"/>
      <c r="K22" s="741"/>
      <c r="L22" s="58">
        <f t="shared" si="5"/>
        <v>0</v>
      </c>
      <c r="M22" s="741"/>
      <c r="N22" s="29"/>
      <c r="O22" s="58">
        <f t="shared" si="6"/>
        <v>0</v>
      </c>
      <c r="P22" s="29"/>
      <c r="Q22" s="29"/>
      <c r="R22" s="29"/>
      <c r="S22" s="29"/>
      <c r="T22" s="29"/>
      <c r="U22" s="29"/>
      <c r="V22" s="29"/>
      <c r="W22" s="29"/>
      <c r="X22" s="58">
        <f t="shared" si="7"/>
        <v>0</v>
      </c>
      <c r="Y22" s="29"/>
      <c r="Z22" s="29"/>
      <c r="AA22" s="58">
        <f t="shared" si="8"/>
        <v>0</v>
      </c>
      <c r="AB22" s="29"/>
      <c r="AC22" s="29"/>
      <c r="AD22" s="58">
        <f t="shared" si="9"/>
        <v>0</v>
      </c>
      <c r="AE22" s="29"/>
      <c r="AF22" s="29"/>
      <c r="AG22" s="576">
        <f t="shared" si="10"/>
        <v>0</v>
      </c>
    </row>
    <row r="23" spans="1:33" ht="12.9" customHeight="1" x14ac:dyDescent="0.3">
      <c r="A23" s="578" t="s">
        <v>60</v>
      </c>
      <c r="B23" s="1112" t="s">
        <v>166</v>
      </c>
      <c r="C23" s="1086"/>
      <c r="D23" s="649">
        <f t="shared" si="1"/>
        <v>1500</v>
      </c>
      <c r="E23" s="58">
        <f t="shared" si="2"/>
        <v>0</v>
      </c>
      <c r="F23" s="576">
        <f t="shared" si="3"/>
        <v>1500</v>
      </c>
      <c r="G23" s="31">
        <v>1500</v>
      </c>
      <c r="H23" s="29"/>
      <c r="I23" s="58">
        <f t="shared" si="4"/>
        <v>1500</v>
      </c>
      <c r="J23" s="741"/>
      <c r="K23" s="741"/>
      <c r="L23" s="58">
        <f t="shared" si="5"/>
        <v>0</v>
      </c>
      <c r="M23" s="741"/>
      <c r="N23" s="29"/>
      <c r="O23" s="58">
        <f t="shared" si="6"/>
        <v>0</v>
      </c>
      <c r="P23" s="29"/>
      <c r="Q23" s="29"/>
      <c r="R23" s="29"/>
      <c r="S23" s="29"/>
      <c r="T23" s="29"/>
      <c r="U23" s="29"/>
      <c r="V23" s="29"/>
      <c r="W23" s="29"/>
      <c r="X23" s="58">
        <f t="shared" si="7"/>
        <v>0</v>
      </c>
      <c r="Y23" s="29"/>
      <c r="Z23" s="29"/>
      <c r="AA23" s="58">
        <f t="shared" si="8"/>
        <v>0</v>
      </c>
      <c r="AB23" s="29"/>
      <c r="AC23" s="29"/>
      <c r="AD23" s="58">
        <f t="shared" si="9"/>
        <v>0</v>
      </c>
      <c r="AE23" s="29"/>
      <c r="AF23" s="29"/>
      <c r="AG23" s="576">
        <f t="shared" si="10"/>
        <v>0</v>
      </c>
    </row>
    <row r="24" spans="1:33" ht="12.9" customHeight="1" x14ac:dyDescent="0.3">
      <c r="A24" s="578" t="s">
        <v>63</v>
      </c>
      <c r="B24" s="1112" t="s">
        <v>62</v>
      </c>
      <c r="C24" s="1086"/>
      <c r="D24" s="649">
        <f t="shared" si="1"/>
        <v>0</v>
      </c>
      <c r="E24" s="58">
        <f t="shared" si="2"/>
        <v>0</v>
      </c>
      <c r="F24" s="576">
        <f t="shared" si="3"/>
        <v>0</v>
      </c>
      <c r="G24" s="31"/>
      <c r="H24" s="29"/>
      <c r="I24" s="58">
        <f t="shared" si="4"/>
        <v>0</v>
      </c>
      <c r="J24" s="741"/>
      <c r="K24" s="741"/>
      <c r="L24" s="58">
        <f t="shared" si="5"/>
        <v>0</v>
      </c>
      <c r="M24" s="741"/>
      <c r="N24" s="29"/>
      <c r="O24" s="58">
        <f t="shared" si="6"/>
        <v>0</v>
      </c>
      <c r="P24" s="29"/>
      <c r="Q24" s="29"/>
      <c r="R24" s="29"/>
      <c r="S24" s="29"/>
      <c r="T24" s="29"/>
      <c r="U24" s="29"/>
      <c r="V24" s="29"/>
      <c r="W24" s="29"/>
      <c r="X24" s="58">
        <f t="shared" si="7"/>
        <v>0</v>
      </c>
      <c r="Y24" s="29"/>
      <c r="Z24" s="29"/>
      <c r="AA24" s="58">
        <f t="shared" si="8"/>
        <v>0</v>
      </c>
      <c r="AB24" s="29"/>
      <c r="AC24" s="29"/>
      <c r="AD24" s="58">
        <f t="shared" si="9"/>
        <v>0</v>
      </c>
      <c r="AE24" s="29"/>
      <c r="AF24" s="29"/>
      <c r="AG24" s="576">
        <f t="shared" si="10"/>
        <v>0</v>
      </c>
    </row>
    <row r="25" spans="1:33" ht="12.9" customHeight="1" x14ac:dyDescent="0.3">
      <c r="A25" s="578" t="s">
        <v>65</v>
      </c>
      <c r="B25" s="1112" t="s">
        <v>64</v>
      </c>
      <c r="C25" s="1086"/>
      <c r="D25" s="649">
        <f t="shared" si="1"/>
        <v>9686</v>
      </c>
      <c r="E25" s="58">
        <f t="shared" si="2"/>
        <v>666</v>
      </c>
      <c r="F25" s="576">
        <f t="shared" si="3"/>
        <v>10352</v>
      </c>
      <c r="G25" s="31">
        <f>1472+464+840+300</f>
        <v>3076</v>
      </c>
      <c r="H25" s="29"/>
      <c r="I25" s="58">
        <f t="shared" si="4"/>
        <v>3076</v>
      </c>
      <c r="J25" s="741"/>
      <c r="K25" s="741">
        <v>330</v>
      </c>
      <c r="L25" s="58">
        <f t="shared" si="5"/>
        <v>330</v>
      </c>
      <c r="M25" s="741"/>
      <c r="N25" s="29"/>
      <c r="O25" s="58">
        <f t="shared" si="6"/>
        <v>0</v>
      </c>
      <c r="P25" s="29"/>
      <c r="Q25" s="29"/>
      <c r="R25" s="29"/>
      <c r="S25" s="29"/>
      <c r="T25" s="29"/>
      <c r="U25" s="29"/>
      <c r="V25" s="29"/>
      <c r="W25" s="29"/>
      <c r="X25" s="58">
        <f t="shared" si="7"/>
        <v>0</v>
      </c>
      <c r="Y25" s="29">
        <v>3500</v>
      </c>
      <c r="Z25" s="29">
        <v>158</v>
      </c>
      <c r="AA25" s="58">
        <f t="shared" si="8"/>
        <v>3658</v>
      </c>
      <c r="AB25" s="29">
        <v>3110</v>
      </c>
      <c r="AC25" s="29">
        <v>-22</v>
      </c>
      <c r="AD25" s="58">
        <f t="shared" si="9"/>
        <v>3088</v>
      </c>
      <c r="AE25" s="29"/>
      <c r="AF25" s="29">
        <v>200</v>
      </c>
      <c r="AG25" s="576">
        <f t="shared" si="10"/>
        <v>200</v>
      </c>
    </row>
    <row r="26" spans="1:33" s="44" customFormat="1" ht="12.9" customHeight="1" x14ac:dyDescent="0.25">
      <c r="A26" s="575" t="s">
        <v>66</v>
      </c>
      <c r="B26" s="1111" t="s">
        <v>156</v>
      </c>
      <c r="C26" s="1084"/>
      <c r="D26" s="649">
        <f t="shared" si="1"/>
        <v>68677</v>
      </c>
      <c r="E26" s="58">
        <f t="shared" si="2"/>
        <v>1116</v>
      </c>
      <c r="F26" s="576">
        <f t="shared" si="3"/>
        <v>69793</v>
      </c>
      <c r="G26" s="649">
        <f t="shared" ref="G26:AF26" si="17">+G25+G24+G23+G22+G21+G20+G19</f>
        <v>4936</v>
      </c>
      <c r="H26" s="58">
        <f t="shared" si="17"/>
        <v>0</v>
      </c>
      <c r="I26" s="58">
        <f t="shared" si="4"/>
        <v>4936</v>
      </c>
      <c r="J26" s="742">
        <f t="shared" si="17"/>
        <v>41739</v>
      </c>
      <c r="K26" s="742">
        <f t="shared" si="17"/>
        <v>330</v>
      </c>
      <c r="L26" s="58">
        <f t="shared" si="5"/>
        <v>42069</v>
      </c>
      <c r="M26" s="742">
        <f t="shared" si="17"/>
        <v>15392</v>
      </c>
      <c r="N26" s="58">
        <f t="shared" si="17"/>
        <v>0</v>
      </c>
      <c r="O26" s="58">
        <f t="shared" si="6"/>
        <v>15392</v>
      </c>
      <c r="P26" s="58">
        <f t="shared" si="17"/>
        <v>0</v>
      </c>
      <c r="Q26" s="58">
        <f t="shared" si="17"/>
        <v>0</v>
      </c>
      <c r="R26" s="58">
        <f t="shared" si="17"/>
        <v>0</v>
      </c>
      <c r="S26" s="58">
        <f t="shared" si="17"/>
        <v>0</v>
      </c>
      <c r="T26" s="58">
        <f t="shared" si="17"/>
        <v>0</v>
      </c>
      <c r="U26" s="58">
        <f t="shared" si="17"/>
        <v>0</v>
      </c>
      <c r="V26" s="58">
        <f t="shared" si="17"/>
        <v>0</v>
      </c>
      <c r="W26" s="58">
        <f t="shared" si="17"/>
        <v>0</v>
      </c>
      <c r="X26" s="58">
        <f t="shared" si="7"/>
        <v>0</v>
      </c>
      <c r="Y26" s="58">
        <f t="shared" si="17"/>
        <v>3500</v>
      </c>
      <c r="Z26" s="58">
        <f t="shared" si="17"/>
        <v>158</v>
      </c>
      <c r="AA26" s="58">
        <f t="shared" si="8"/>
        <v>3658</v>
      </c>
      <c r="AB26" s="58">
        <f t="shared" si="17"/>
        <v>3110</v>
      </c>
      <c r="AC26" s="58">
        <f t="shared" si="17"/>
        <v>-22</v>
      </c>
      <c r="AD26" s="58">
        <f t="shared" si="9"/>
        <v>3088</v>
      </c>
      <c r="AE26" s="58">
        <f t="shared" si="17"/>
        <v>0</v>
      </c>
      <c r="AF26" s="58">
        <f t="shared" si="17"/>
        <v>650</v>
      </c>
      <c r="AG26" s="576">
        <f t="shared" si="10"/>
        <v>650</v>
      </c>
    </row>
    <row r="27" spans="1:33" ht="12.9" customHeight="1" x14ac:dyDescent="0.3">
      <c r="A27" s="578" t="s">
        <v>68</v>
      </c>
      <c r="B27" s="1112" t="s">
        <v>67</v>
      </c>
      <c r="C27" s="1086"/>
      <c r="D27" s="649">
        <f t="shared" si="1"/>
        <v>0</v>
      </c>
      <c r="E27" s="58">
        <f t="shared" si="2"/>
        <v>0</v>
      </c>
      <c r="F27" s="576">
        <f t="shared" si="3"/>
        <v>0</v>
      </c>
      <c r="G27" s="31"/>
      <c r="H27" s="29"/>
      <c r="I27" s="58">
        <f t="shared" si="4"/>
        <v>0</v>
      </c>
      <c r="J27" s="741"/>
      <c r="K27" s="741"/>
      <c r="L27" s="58">
        <f t="shared" si="5"/>
        <v>0</v>
      </c>
      <c r="M27" s="741"/>
      <c r="N27" s="29"/>
      <c r="O27" s="58">
        <f t="shared" si="6"/>
        <v>0</v>
      </c>
      <c r="P27" s="29"/>
      <c r="Q27" s="29"/>
      <c r="R27" s="29"/>
      <c r="S27" s="29"/>
      <c r="T27" s="29"/>
      <c r="U27" s="29"/>
      <c r="V27" s="29"/>
      <c r="W27" s="29"/>
      <c r="X27" s="58">
        <f t="shared" si="7"/>
        <v>0</v>
      </c>
      <c r="Y27" s="29"/>
      <c r="Z27" s="29"/>
      <c r="AA27" s="58">
        <f t="shared" si="8"/>
        <v>0</v>
      </c>
      <c r="AB27" s="29"/>
      <c r="AC27" s="29"/>
      <c r="AD27" s="58">
        <f t="shared" si="9"/>
        <v>0</v>
      </c>
      <c r="AE27" s="29"/>
      <c r="AF27" s="29"/>
      <c r="AG27" s="576">
        <f t="shared" si="10"/>
        <v>0</v>
      </c>
    </row>
    <row r="28" spans="1:33" ht="12.9" customHeight="1" x14ac:dyDescent="0.3">
      <c r="A28" s="578" t="s">
        <v>70</v>
      </c>
      <c r="B28" s="1112" t="s">
        <v>69</v>
      </c>
      <c r="C28" s="1086"/>
      <c r="D28" s="649">
        <f t="shared" si="1"/>
        <v>0</v>
      </c>
      <c r="E28" s="58">
        <f t="shared" si="2"/>
        <v>22</v>
      </c>
      <c r="F28" s="576">
        <f t="shared" si="3"/>
        <v>22</v>
      </c>
      <c r="G28" s="31"/>
      <c r="H28" s="29"/>
      <c r="I28" s="58">
        <f t="shared" si="4"/>
        <v>0</v>
      </c>
      <c r="J28" s="741"/>
      <c r="K28" s="741"/>
      <c r="L28" s="58">
        <f t="shared" si="5"/>
        <v>0</v>
      </c>
      <c r="M28" s="741"/>
      <c r="N28" s="29"/>
      <c r="O28" s="58">
        <f t="shared" si="6"/>
        <v>0</v>
      </c>
      <c r="P28" s="29"/>
      <c r="Q28" s="29"/>
      <c r="R28" s="29"/>
      <c r="S28" s="29"/>
      <c r="T28" s="29"/>
      <c r="U28" s="29"/>
      <c r="V28" s="29"/>
      <c r="W28" s="29"/>
      <c r="X28" s="58">
        <f t="shared" si="7"/>
        <v>0</v>
      </c>
      <c r="Y28" s="29"/>
      <c r="Z28" s="29"/>
      <c r="AA28" s="58">
        <f t="shared" si="8"/>
        <v>0</v>
      </c>
      <c r="AB28" s="29"/>
      <c r="AC28" s="29">
        <v>22</v>
      </c>
      <c r="AD28" s="58">
        <f t="shared" si="9"/>
        <v>22</v>
      </c>
      <c r="AE28" s="29"/>
      <c r="AF28" s="29"/>
      <c r="AG28" s="576">
        <f t="shared" si="10"/>
        <v>0</v>
      </c>
    </row>
    <row r="29" spans="1:33" s="44" customFormat="1" ht="12.9" customHeight="1" x14ac:dyDescent="0.25">
      <c r="A29" s="575" t="s">
        <v>71</v>
      </c>
      <c r="B29" s="1111" t="s">
        <v>155</v>
      </c>
      <c r="C29" s="1084"/>
      <c r="D29" s="649">
        <f t="shared" si="1"/>
        <v>0</v>
      </c>
      <c r="E29" s="58">
        <f t="shared" si="2"/>
        <v>22</v>
      </c>
      <c r="F29" s="576">
        <f t="shared" si="3"/>
        <v>22</v>
      </c>
      <c r="G29" s="649">
        <f t="shared" ref="G29:H29" si="18">+G27+G28</f>
        <v>0</v>
      </c>
      <c r="H29" s="58">
        <f t="shared" si="18"/>
        <v>0</v>
      </c>
      <c r="I29" s="58">
        <f t="shared" si="4"/>
        <v>0</v>
      </c>
      <c r="J29" s="742"/>
      <c r="K29" s="742"/>
      <c r="L29" s="58">
        <f t="shared" si="5"/>
        <v>0</v>
      </c>
      <c r="M29" s="742">
        <f>+M27+M28</f>
        <v>0</v>
      </c>
      <c r="N29" s="58">
        <f>+N27+N28</f>
        <v>0</v>
      </c>
      <c r="O29" s="58">
        <f t="shared" si="6"/>
        <v>0</v>
      </c>
      <c r="P29" s="58">
        <f t="shared" ref="P29:AC29" si="19">+P27+P28</f>
        <v>0</v>
      </c>
      <c r="Q29" s="58">
        <f t="shared" si="19"/>
        <v>0</v>
      </c>
      <c r="R29" s="58">
        <f t="shared" si="19"/>
        <v>0</v>
      </c>
      <c r="S29" s="58">
        <f t="shared" si="19"/>
        <v>0</v>
      </c>
      <c r="T29" s="58">
        <f t="shared" si="19"/>
        <v>0</v>
      </c>
      <c r="U29" s="58">
        <f t="shared" si="19"/>
        <v>0</v>
      </c>
      <c r="V29" s="58">
        <f t="shared" si="19"/>
        <v>0</v>
      </c>
      <c r="W29" s="58">
        <f t="shared" si="19"/>
        <v>0</v>
      </c>
      <c r="X29" s="58">
        <f t="shared" si="7"/>
        <v>0</v>
      </c>
      <c r="Y29" s="58">
        <f t="shared" si="19"/>
        <v>0</v>
      </c>
      <c r="Z29" s="58">
        <f t="shared" si="19"/>
        <v>0</v>
      </c>
      <c r="AA29" s="58">
        <f t="shared" si="8"/>
        <v>0</v>
      </c>
      <c r="AB29" s="58">
        <f t="shared" si="19"/>
        <v>0</v>
      </c>
      <c r="AC29" s="58">
        <f t="shared" si="19"/>
        <v>22</v>
      </c>
      <c r="AD29" s="58">
        <f t="shared" si="9"/>
        <v>22</v>
      </c>
      <c r="AE29" s="58">
        <f>+AE27+AE28</f>
        <v>0</v>
      </c>
      <c r="AF29" s="58">
        <f>+AF27+AF28</f>
        <v>0</v>
      </c>
      <c r="AG29" s="576">
        <f t="shared" si="10"/>
        <v>0</v>
      </c>
    </row>
    <row r="30" spans="1:33" ht="12.9" customHeight="1" x14ac:dyDescent="0.3">
      <c r="A30" s="578" t="s">
        <v>73</v>
      </c>
      <c r="B30" s="1112" t="s">
        <v>72</v>
      </c>
      <c r="C30" s="1086"/>
      <c r="D30" s="649">
        <f t="shared" si="1"/>
        <v>17540</v>
      </c>
      <c r="E30" s="58">
        <f t="shared" si="2"/>
        <v>0</v>
      </c>
      <c r="F30" s="576">
        <f t="shared" si="3"/>
        <v>17540</v>
      </c>
      <c r="G30" s="985">
        <v>757</v>
      </c>
      <c r="H30" s="29"/>
      <c r="I30" s="58">
        <f t="shared" si="4"/>
        <v>757</v>
      </c>
      <c r="J30" s="138">
        <v>11270</v>
      </c>
      <c r="K30" s="741"/>
      <c r="L30" s="58">
        <f t="shared" si="5"/>
        <v>11270</v>
      </c>
      <c r="M30" s="741">
        <v>4156</v>
      </c>
      <c r="N30" s="29"/>
      <c r="O30" s="58">
        <f t="shared" si="6"/>
        <v>4156</v>
      </c>
      <c r="P30" s="511"/>
      <c r="Q30" s="29"/>
      <c r="R30" s="29"/>
      <c r="S30" s="29"/>
      <c r="T30" s="29"/>
      <c r="U30" s="29"/>
      <c r="V30" s="29"/>
      <c r="W30" s="29"/>
      <c r="X30" s="58">
        <f t="shared" si="7"/>
        <v>0</v>
      </c>
      <c r="Y30" s="29">
        <v>175</v>
      </c>
      <c r="Z30" s="29"/>
      <c r="AA30" s="58">
        <f t="shared" si="8"/>
        <v>175</v>
      </c>
      <c r="AB30" s="29">
        <f>840+342</f>
        <v>1182</v>
      </c>
      <c r="AC30" s="29"/>
      <c r="AD30" s="58">
        <f t="shared" si="9"/>
        <v>1182</v>
      </c>
      <c r="AE30" s="29"/>
      <c r="AF30" s="29"/>
      <c r="AG30" s="576">
        <f t="shared" si="10"/>
        <v>0</v>
      </c>
    </row>
    <row r="31" spans="1:33" ht="12.9" customHeight="1" x14ac:dyDescent="0.3">
      <c r="A31" s="578" t="s">
        <v>75</v>
      </c>
      <c r="B31" s="1112" t="s">
        <v>74</v>
      </c>
      <c r="C31" s="1086"/>
      <c r="D31" s="649">
        <f t="shared" si="1"/>
        <v>9617</v>
      </c>
      <c r="E31" s="58">
        <f t="shared" si="2"/>
        <v>0</v>
      </c>
      <c r="F31" s="576">
        <f t="shared" si="3"/>
        <v>9617</v>
      </c>
      <c r="G31" s="985">
        <f>405+405</f>
        <v>810</v>
      </c>
      <c r="H31" s="29"/>
      <c r="I31" s="58">
        <f t="shared" si="4"/>
        <v>810</v>
      </c>
      <c r="J31" s="741">
        <v>3900</v>
      </c>
      <c r="K31" s="741"/>
      <c r="L31" s="58">
        <f t="shared" si="5"/>
        <v>3900</v>
      </c>
      <c r="M31" s="741">
        <v>681</v>
      </c>
      <c r="N31" s="29"/>
      <c r="O31" s="58">
        <f t="shared" si="6"/>
        <v>681</v>
      </c>
      <c r="P31" s="29"/>
      <c r="Q31" s="29"/>
      <c r="R31" s="29"/>
      <c r="S31" s="29"/>
      <c r="T31" s="29"/>
      <c r="U31" s="29"/>
      <c r="V31" s="29"/>
      <c r="W31" s="29"/>
      <c r="X31" s="58">
        <f t="shared" si="7"/>
        <v>0</v>
      </c>
      <c r="Y31" s="511">
        <v>68</v>
      </c>
      <c r="Z31" s="29"/>
      <c r="AA31" s="58">
        <f t="shared" si="8"/>
        <v>68</v>
      </c>
      <c r="AB31" s="29"/>
      <c r="AC31" s="29"/>
      <c r="AD31" s="58">
        <f t="shared" si="9"/>
        <v>0</v>
      </c>
      <c r="AE31" s="511">
        <v>4158</v>
      </c>
      <c r="AF31" s="29"/>
      <c r="AG31" s="576">
        <f t="shared" si="10"/>
        <v>4158</v>
      </c>
    </row>
    <row r="32" spans="1:33" ht="12.9" customHeight="1" x14ac:dyDescent="0.3">
      <c r="A32" s="578" t="s">
        <v>76</v>
      </c>
      <c r="B32" s="1112" t="s">
        <v>154</v>
      </c>
      <c r="C32" s="1086"/>
      <c r="D32" s="649">
        <f t="shared" si="1"/>
        <v>0</v>
      </c>
      <c r="E32" s="58">
        <f t="shared" si="2"/>
        <v>0</v>
      </c>
      <c r="F32" s="576">
        <f t="shared" si="3"/>
        <v>0</v>
      </c>
      <c r="G32" s="31"/>
      <c r="H32" s="29"/>
      <c r="I32" s="58">
        <f t="shared" si="4"/>
        <v>0</v>
      </c>
      <c r="J32" s="741"/>
      <c r="K32" s="741"/>
      <c r="L32" s="58">
        <f t="shared" si="5"/>
        <v>0</v>
      </c>
      <c r="M32" s="741"/>
      <c r="N32" s="29"/>
      <c r="O32" s="58">
        <f t="shared" si="6"/>
        <v>0</v>
      </c>
      <c r="P32" s="29"/>
      <c r="Q32" s="29"/>
      <c r="R32" s="29"/>
      <c r="S32" s="29"/>
      <c r="T32" s="29"/>
      <c r="U32" s="29"/>
      <c r="V32" s="29"/>
      <c r="W32" s="29"/>
      <c r="X32" s="58">
        <f t="shared" si="7"/>
        <v>0</v>
      </c>
      <c r="Y32" s="29"/>
      <c r="Z32" s="29"/>
      <c r="AA32" s="58">
        <f t="shared" si="8"/>
        <v>0</v>
      </c>
      <c r="AB32" s="29"/>
      <c r="AC32" s="29"/>
      <c r="AD32" s="58">
        <f t="shared" si="9"/>
        <v>0</v>
      </c>
      <c r="AE32" s="29"/>
      <c r="AF32" s="29"/>
      <c r="AG32" s="576">
        <f t="shared" si="10"/>
        <v>0</v>
      </c>
    </row>
    <row r="33" spans="1:33" ht="12.9" customHeight="1" x14ac:dyDescent="0.3">
      <c r="A33" s="578" t="s">
        <v>77</v>
      </c>
      <c r="B33" s="1112" t="s">
        <v>153</v>
      </c>
      <c r="C33" s="1086"/>
      <c r="D33" s="649">
        <f t="shared" si="1"/>
        <v>0</v>
      </c>
      <c r="E33" s="58">
        <f t="shared" si="2"/>
        <v>0</v>
      </c>
      <c r="F33" s="576">
        <f t="shared" si="3"/>
        <v>0</v>
      </c>
      <c r="G33" s="31"/>
      <c r="H33" s="29"/>
      <c r="I33" s="58">
        <f t="shared" si="4"/>
        <v>0</v>
      </c>
      <c r="J33" s="29"/>
      <c r="K33" s="29"/>
      <c r="L33" s="58">
        <f t="shared" si="5"/>
        <v>0</v>
      </c>
      <c r="M33" s="29"/>
      <c r="N33" s="29"/>
      <c r="O33" s="58">
        <f t="shared" si="6"/>
        <v>0</v>
      </c>
      <c r="P33" s="29"/>
      <c r="Q33" s="29"/>
      <c r="R33" s="29"/>
      <c r="S33" s="29"/>
      <c r="T33" s="29"/>
      <c r="U33" s="29"/>
      <c r="V33" s="29"/>
      <c r="W33" s="29"/>
      <c r="X33" s="58">
        <f t="shared" si="7"/>
        <v>0</v>
      </c>
      <c r="Y33" s="29"/>
      <c r="Z33" s="29"/>
      <c r="AA33" s="58">
        <f t="shared" si="8"/>
        <v>0</v>
      </c>
      <c r="AB33" s="29"/>
      <c r="AC33" s="29"/>
      <c r="AD33" s="58">
        <f t="shared" si="9"/>
        <v>0</v>
      </c>
      <c r="AE33" s="29"/>
      <c r="AF33" s="29"/>
      <c r="AG33" s="576">
        <f t="shared" si="10"/>
        <v>0</v>
      </c>
    </row>
    <row r="34" spans="1:33" ht="12.9" customHeight="1" x14ac:dyDescent="0.3">
      <c r="A34" s="578" t="s">
        <v>79</v>
      </c>
      <c r="B34" s="1112" t="s">
        <v>78</v>
      </c>
      <c r="C34" s="1086"/>
      <c r="D34" s="649">
        <f t="shared" si="1"/>
        <v>0</v>
      </c>
      <c r="E34" s="58">
        <f t="shared" si="2"/>
        <v>200</v>
      </c>
      <c r="F34" s="576">
        <f t="shared" si="3"/>
        <v>200</v>
      </c>
      <c r="G34" s="31"/>
      <c r="H34" s="29"/>
      <c r="I34" s="58">
        <f t="shared" si="4"/>
        <v>0</v>
      </c>
      <c r="J34" s="29"/>
      <c r="K34" s="29"/>
      <c r="L34" s="58">
        <f t="shared" si="5"/>
        <v>0</v>
      </c>
      <c r="M34" s="29"/>
      <c r="N34" s="29"/>
      <c r="O34" s="58">
        <f t="shared" si="6"/>
        <v>0</v>
      </c>
      <c r="P34" s="29"/>
      <c r="Q34" s="29"/>
      <c r="R34" s="29"/>
      <c r="S34" s="29"/>
      <c r="T34" s="29"/>
      <c r="U34" s="29"/>
      <c r="V34" s="29"/>
      <c r="W34" s="29">
        <v>200</v>
      </c>
      <c r="X34" s="58">
        <f t="shared" si="7"/>
        <v>200</v>
      </c>
      <c r="Y34" s="29"/>
      <c r="Z34" s="29"/>
      <c r="AA34" s="58">
        <f t="shared" si="8"/>
        <v>0</v>
      </c>
      <c r="AB34" s="29"/>
      <c r="AC34" s="29"/>
      <c r="AD34" s="58">
        <f t="shared" si="9"/>
        <v>0</v>
      </c>
      <c r="AE34" s="29"/>
      <c r="AF34" s="29"/>
      <c r="AG34" s="576">
        <f t="shared" si="10"/>
        <v>0</v>
      </c>
    </row>
    <row r="35" spans="1:33" s="44" customFormat="1" ht="12.9" customHeight="1" x14ac:dyDescent="0.25">
      <c r="A35" s="575" t="s">
        <v>80</v>
      </c>
      <c r="B35" s="1111" t="s">
        <v>152</v>
      </c>
      <c r="C35" s="1084"/>
      <c r="D35" s="649">
        <f t="shared" si="1"/>
        <v>27157</v>
      </c>
      <c r="E35" s="58">
        <f t="shared" si="2"/>
        <v>200</v>
      </c>
      <c r="F35" s="576">
        <f t="shared" si="3"/>
        <v>27357</v>
      </c>
      <c r="G35" s="649">
        <f t="shared" ref="G35:M35" si="20">SUM(G30:G34)</f>
        <v>1567</v>
      </c>
      <c r="H35" s="58">
        <f t="shared" si="20"/>
        <v>0</v>
      </c>
      <c r="I35" s="58">
        <f t="shared" si="4"/>
        <v>1567</v>
      </c>
      <c r="J35" s="58">
        <f t="shared" si="20"/>
        <v>15170</v>
      </c>
      <c r="K35" s="58">
        <f t="shared" si="20"/>
        <v>0</v>
      </c>
      <c r="L35" s="58">
        <f t="shared" si="5"/>
        <v>15170</v>
      </c>
      <c r="M35" s="58">
        <f t="shared" si="20"/>
        <v>4837</v>
      </c>
      <c r="N35" s="58">
        <f>SUM(N30:N34)</f>
        <v>0</v>
      </c>
      <c r="O35" s="58">
        <f t="shared" si="6"/>
        <v>4837</v>
      </c>
      <c r="P35" s="58">
        <f t="shared" ref="P35:Z35" si="21">SUM(P30:P34)</f>
        <v>0</v>
      </c>
      <c r="Q35" s="58">
        <f t="shared" si="21"/>
        <v>0</v>
      </c>
      <c r="R35" s="58">
        <f t="shared" si="21"/>
        <v>0</v>
      </c>
      <c r="S35" s="58">
        <f t="shared" si="21"/>
        <v>0</v>
      </c>
      <c r="T35" s="58">
        <f t="shared" si="21"/>
        <v>0</v>
      </c>
      <c r="U35" s="58">
        <f t="shared" si="21"/>
        <v>0</v>
      </c>
      <c r="V35" s="58">
        <f t="shared" si="21"/>
        <v>0</v>
      </c>
      <c r="W35" s="58">
        <f t="shared" si="21"/>
        <v>200</v>
      </c>
      <c r="X35" s="58">
        <f t="shared" si="7"/>
        <v>200</v>
      </c>
      <c r="Y35" s="58">
        <f t="shared" si="21"/>
        <v>243</v>
      </c>
      <c r="Z35" s="58">
        <f t="shared" si="21"/>
        <v>0</v>
      </c>
      <c r="AA35" s="58">
        <f t="shared" si="8"/>
        <v>243</v>
      </c>
      <c r="AB35" s="58">
        <f t="shared" ref="AB35:AC35" si="22">SUM(AB30:AB34)</f>
        <v>1182</v>
      </c>
      <c r="AC35" s="58">
        <f t="shared" si="22"/>
        <v>0</v>
      </c>
      <c r="AD35" s="58">
        <f t="shared" si="9"/>
        <v>1182</v>
      </c>
      <c r="AE35" s="58">
        <f>SUM(AE30:AE34)</f>
        <v>4158</v>
      </c>
      <c r="AF35" s="58">
        <f>SUM(AF30:AF34)</f>
        <v>0</v>
      </c>
      <c r="AG35" s="576">
        <f t="shared" si="10"/>
        <v>4158</v>
      </c>
    </row>
    <row r="36" spans="1:33" s="44" customFormat="1" ht="12.9" customHeight="1" x14ac:dyDescent="0.25">
      <c r="A36" s="575" t="s">
        <v>81</v>
      </c>
      <c r="B36" s="1111" t="s">
        <v>151</v>
      </c>
      <c r="C36" s="1084"/>
      <c r="D36" s="649">
        <f t="shared" si="1"/>
        <v>100482</v>
      </c>
      <c r="E36" s="58">
        <f t="shared" si="2"/>
        <v>1338</v>
      </c>
      <c r="F36" s="576">
        <f t="shared" si="3"/>
        <v>101820</v>
      </c>
      <c r="G36" s="649">
        <f>+G35+G29+G26+G18+G15</f>
        <v>9883</v>
      </c>
      <c r="H36" s="58">
        <f t="shared" ref="H36:AF36" si="23">+H35+H29+H26+H18+H15</f>
        <v>0</v>
      </c>
      <c r="I36" s="58">
        <f t="shared" si="4"/>
        <v>9883</v>
      </c>
      <c r="J36" s="58">
        <f t="shared" si="23"/>
        <v>56909</v>
      </c>
      <c r="K36" s="58">
        <f t="shared" si="23"/>
        <v>330</v>
      </c>
      <c r="L36" s="58">
        <f t="shared" si="5"/>
        <v>57239</v>
      </c>
      <c r="M36" s="58">
        <f t="shared" si="23"/>
        <v>20229</v>
      </c>
      <c r="N36" s="58">
        <f t="shared" si="23"/>
        <v>0</v>
      </c>
      <c r="O36" s="58">
        <f t="shared" si="6"/>
        <v>20229</v>
      </c>
      <c r="P36" s="58">
        <f t="shared" si="23"/>
        <v>0</v>
      </c>
      <c r="Q36" s="58">
        <f t="shared" si="23"/>
        <v>0</v>
      </c>
      <c r="R36" s="58">
        <f t="shared" si="23"/>
        <v>0</v>
      </c>
      <c r="S36" s="58">
        <f t="shared" si="23"/>
        <v>0</v>
      </c>
      <c r="T36" s="58">
        <f t="shared" si="23"/>
        <v>0</v>
      </c>
      <c r="U36" s="58">
        <f t="shared" si="23"/>
        <v>0</v>
      </c>
      <c r="V36" s="58">
        <f t="shared" si="23"/>
        <v>0</v>
      </c>
      <c r="W36" s="58">
        <f t="shared" si="23"/>
        <v>200</v>
      </c>
      <c r="X36" s="58">
        <f t="shared" si="7"/>
        <v>200</v>
      </c>
      <c r="Y36" s="58">
        <f t="shared" si="23"/>
        <v>3743</v>
      </c>
      <c r="Z36" s="58">
        <f t="shared" si="23"/>
        <v>158</v>
      </c>
      <c r="AA36" s="58">
        <f t="shared" si="8"/>
        <v>3901</v>
      </c>
      <c r="AB36" s="58">
        <f t="shared" ref="AB36:AC36" si="24">+AB35+AB29+AB26+AB18+AB15</f>
        <v>5560</v>
      </c>
      <c r="AC36" s="58">
        <f t="shared" si="24"/>
        <v>0</v>
      </c>
      <c r="AD36" s="58">
        <f t="shared" si="9"/>
        <v>5560</v>
      </c>
      <c r="AE36" s="58">
        <f t="shared" si="23"/>
        <v>4158</v>
      </c>
      <c r="AF36" s="58">
        <f t="shared" si="23"/>
        <v>650</v>
      </c>
      <c r="AG36" s="576">
        <f t="shared" si="10"/>
        <v>4808</v>
      </c>
    </row>
    <row r="37" spans="1:33" ht="8.25" customHeight="1" x14ac:dyDescent="0.3">
      <c r="A37" s="577"/>
      <c r="B37" s="880"/>
      <c r="C37" s="356"/>
      <c r="D37" s="246"/>
      <c r="E37" s="246"/>
      <c r="F37" s="651"/>
      <c r="G37" s="61"/>
      <c r="H37" s="61"/>
      <c r="I37" s="246"/>
      <c r="J37" s="61"/>
      <c r="K37" s="61"/>
      <c r="L37" s="246"/>
      <c r="M37" s="61"/>
      <c r="N37" s="61"/>
      <c r="O37" s="246"/>
      <c r="P37" s="61"/>
      <c r="Q37" s="61"/>
      <c r="R37" s="61"/>
      <c r="S37" s="61"/>
      <c r="T37" s="61"/>
      <c r="U37" s="61"/>
      <c r="V37" s="61"/>
      <c r="W37" s="61"/>
      <c r="X37" s="246"/>
      <c r="Y37" s="61"/>
      <c r="Z37" s="61"/>
      <c r="AA37" s="246"/>
      <c r="AB37" s="61"/>
      <c r="AC37" s="61"/>
      <c r="AD37" s="246"/>
      <c r="AE37" s="61"/>
      <c r="AF37" s="61"/>
      <c r="AG37" s="651"/>
    </row>
    <row r="38" spans="1:33" ht="12.9" hidden="1" customHeight="1" x14ac:dyDescent="0.3">
      <c r="A38" s="103" t="s">
        <v>83</v>
      </c>
      <c r="B38" s="1124" t="s">
        <v>82</v>
      </c>
      <c r="C38" s="1125"/>
      <c r="D38" s="246">
        <f t="shared" si="1"/>
        <v>0</v>
      </c>
      <c r="E38" s="246">
        <f t="shared" si="2"/>
        <v>0</v>
      </c>
      <c r="F38" s="651">
        <f t="shared" si="3"/>
        <v>0</v>
      </c>
      <c r="G38" s="61"/>
      <c r="H38" s="61"/>
      <c r="I38" s="246">
        <f t="shared" si="4"/>
        <v>0</v>
      </c>
      <c r="J38" s="61"/>
      <c r="K38" s="61"/>
      <c r="L38" s="246">
        <f t="shared" si="5"/>
        <v>0</v>
      </c>
      <c r="M38" s="61"/>
      <c r="N38" s="61"/>
      <c r="O38" s="246">
        <f t="shared" si="6"/>
        <v>0</v>
      </c>
      <c r="P38" s="61"/>
      <c r="Q38" s="61"/>
      <c r="R38" s="61"/>
      <c r="S38" s="61"/>
      <c r="T38" s="61"/>
      <c r="U38" s="61"/>
      <c r="V38" s="61"/>
      <c r="W38" s="61"/>
      <c r="X38" s="246">
        <f t="shared" si="7"/>
        <v>0</v>
      </c>
      <c r="Y38" s="61"/>
      <c r="Z38" s="61"/>
      <c r="AA38" s="246">
        <f t="shared" si="8"/>
        <v>0</v>
      </c>
      <c r="AB38" s="61"/>
      <c r="AC38" s="61"/>
      <c r="AD38" s="246">
        <f t="shared" si="9"/>
        <v>0</v>
      </c>
      <c r="AE38" s="61"/>
      <c r="AF38" s="61"/>
      <c r="AG38" s="651">
        <f t="shared" si="10"/>
        <v>0</v>
      </c>
    </row>
    <row r="39" spans="1:33" ht="12.9" hidden="1" customHeight="1" x14ac:dyDescent="0.3">
      <c r="A39" s="977" t="s">
        <v>84</v>
      </c>
      <c r="B39" s="1124" t="s">
        <v>136</v>
      </c>
      <c r="C39" s="1125"/>
      <c r="D39" s="246">
        <f t="shared" si="1"/>
        <v>0</v>
      </c>
      <c r="E39" s="246">
        <f t="shared" si="2"/>
        <v>0</v>
      </c>
      <c r="F39" s="651">
        <f t="shared" si="3"/>
        <v>0</v>
      </c>
      <c r="G39" s="61"/>
      <c r="H39" s="61"/>
      <c r="I39" s="246">
        <f t="shared" si="4"/>
        <v>0</v>
      </c>
      <c r="J39" s="61"/>
      <c r="K39" s="61"/>
      <c r="L39" s="246">
        <f t="shared" si="5"/>
        <v>0</v>
      </c>
      <c r="M39" s="61"/>
      <c r="N39" s="61"/>
      <c r="O39" s="246">
        <f t="shared" si="6"/>
        <v>0</v>
      </c>
      <c r="P39" s="61"/>
      <c r="Q39" s="61"/>
      <c r="R39" s="61"/>
      <c r="S39" s="61"/>
      <c r="T39" s="61"/>
      <c r="U39" s="61"/>
      <c r="V39" s="61"/>
      <c r="W39" s="61"/>
      <c r="X39" s="246">
        <f t="shared" si="7"/>
        <v>0</v>
      </c>
      <c r="Y39" s="61"/>
      <c r="Z39" s="61"/>
      <c r="AA39" s="246">
        <f t="shared" si="8"/>
        <v>0</v>
      </c>
      <c r="AB39" s="61"/>
      <c r="AC39" s="61"/>
      <c r="AD39" s="246">
        <f t="shared" si="9"/>
        <v>0</v>
      </c>
      <c r="AE39" s="61"/>
      <c r="AF39" s="61"/>
      <c r="AG39" s="651">
        <f t="shared" si="10"/>
        <v>0</v>
      </c>
    </row>
    <row r="40" spans="1:33" s="40" customFormat="1" ht="12.9" hidden="1" customHeight="1" x14ac:dyDescent="0.25">
      <c r="A40" s="978" t="s">
        <v>84</v>
      </c>
      <c r="B40" s="973"/>
      <c r="C40" s="989" t="s">
        <v>138</v>
      </c>
      <c r="D40" s="246">
        <f t="shared" si="1"/>
        <v>0</v>
      </c>
      <c r="E40" s="246">
        <f t="shared" si="2"/>
        <v>0</v>
      </c>
      <c r="F40" s="651">
        <f t="shared" si="3"/>
        <v>0</v>
      </c>
      <c r="G40" s="974"/>
      <c r="H40" s="974"/>
      <c r="I40" s="246">
        <f t="shared" si="4"/>
        <v>0</v>
      </c>
      <c r="J40" s="974"/>
      <c r="K40" s="974"/>
      <c r="L40" s="246">
        <f t="shared" si="5"/>
        <v>0</v>
      </c>
      <c r="M40" s="974"/>
      <c r="N40" s="974"/>
      <c r="O40" s="246">
        <f t="shared" si="6"/>
        <v>0</v>
      </c>
      <c r="P40" s="974"/>
      <c r="Q40" s="974"/>
      <c r="R40" s="974"/>
      <c r="S40" s="974"/>
      <c r="T40" s="974"/>
      <c r="U40" s="974"/>
      <c r="V40" s="974"/>
      <c r="W40" s="974"/>
      <c r="X40" s="246">
        <f t="shared" si="7"/>
        <v>0</v>
      </c>
      <c r="Y40" s="974"/>
      <c r="Z40" s="974"/>
      <c r="AA40" s="246">
        <f t="shared" si="8"/>
        <v>0</v>
      </c>
      <c r="AB40" s="974"/>
      <c r="AC40" s="974"/>
      <c r="AD40" s="246">
        <f t="shared" si="9"/>
        <v>0</v>
      </c>
      <c r="AE40" s="974"/>
      <c r="AF40" s="974"/>
      <c r="AG40" s="651">
        <f t="shared" si="10"/>
        <v>0</v>
      </c>
    </row>
    <row r="41" spans="1:33" ht="12.9" hidden="1" customHeight="1" x14ac:dyDescent="0.3">
      <c r="A41" s="103" t="s">
        <v>86</v>
      </c>
      <c r="B41" s="1124" t="s">
        <v>85</v>
      </c>
      <c r="C41" s="1125"/>
      <c r="D41" s="246">
        <f t="shared" si="1"/>
        <v>0</v>
      </c>
      <c r="E41" s="246">
        <f t="shared" si="2"/>
        <v>0</v>
      </c>
      <c r="F41" s="651">
        <f t="shared" si="3"/>
        <v>0</v>
      </c>
      <c r="G41" s="61"/>
      <c r="H41" s="61"/>
      <c r="I41" s="246">
        <f t="shared" si="4"/>
        <v>0</v>
      </c>
      <c r="J41" s="61"/>
      <c r="K41" s="61"/>
      <c r="L41" s="246">
        <f t="shared" si="5"/>
        <v>0</v>
      </c>
      <c r="M41" s="61"/>
      <c r="N41" s="61"/>
      <c r="O41" s="246">
        <f t="shared" si="6"/>
        <v>0</v>
      </c>
      <c r="P41" s="61"/>
      <c r="Q41" s="61"/>
      <c r="R41" s="61"/>
      <c r="S41" s="61"/>
      <c r="T41" s="61"/>
      <c r="U41" s="61"/>
      <c r="V41" s="61"/>
      <c r="W41" s="61"/>
      <c r="X41" s="246">
        <f t="shared" si="7"/>
        <v>0</v>
      </c>
      <c r="Y41" s="61"/>
      <c r="Z41" s="61"/>
      <c r="AA41" s="246">
        <f t="shared" si="8"/>
        <v>0</v>
      </c>
      <c r="AB41" s="61"/>
      <c r="AC41" s="61"/>
      <c r="AD41" s="246">
        <f t="shared" si="9"/>
        <v>0</v>
      </c>
      <c r="AE41" s="61"/>
      <c r="AF41" s="61"/>
      <c r="AG41" s="651">
        <f t="shared" si="10"/>
        <v>0</v>
      </c>
    </row>
    <row r="42" spans="1:33" ht="12.9" hidden="1" customHeight="1" x14ac:dyDescent="0.3">
      <c r="A42" s="977" t="s">
        <v>87</v>
      </c>
      <c r="B42" s="1124" t="s">
        <v>139</v>
      </c>
      <c r="C42" s="1125"/>
      <c r="D42" s="246">
        <f t="shared" si="1"/>
        <v>0</v>
      </c>
      <c r="E42" s="246">
        <f t="shared" si="2"/>
        <v>0</v>
      </c>
      <c r="F42" s="651">
        <f t="shared" si="3"/>
        <v>0</v>
      </c>
      <c r="G42" s="61"/>
      <c r="H42" s="61"/>
      <c r="I42" s="246">
        <f t="shared" si="4"/>
        <v>0</v>
      </c>
      <c r="J42" s="61"/>
      <c r="K42" s="61"/>
      <c r="L42" s="246">
        <f t="shared" si="5"/>
        <v>0</v>
      </c>
      <c r="M42" s="61"/>
      <c r="N42" s="61"/>
      <c r="O42" s="246">
        <f t="shared" si="6"/>
        <v>0</v>
      </c>
      <c r="P42" s="61"/>
      <c r="Q42" s="61"/>
      <c r="R42" s="61"/>
      <c r="S42" s="61"/>
      <c r="T42" s="61"/>
      <c r="U42" s="61"/>
      <c r="V42" s="61"/>
      <c r="W42" s="61"/>
      <c r="X42" s="246">
        <f t="shared" si="7"/>
        <v>0</v>
      </c>
      <c r="Y42" s="61"/>
      <c r="Z42" s="61"/>
      <c r="AA42" s="246">
        <f t="shared" si="8"/>
        <v>0</v>
      </c>
      <c r="AB42" s="61"/>
      <c r="AC42" s="61"/>
      <c r="AD42" s="246">
        <f t="shared" si="9"/>
        <v>0</v>
      </c>
      <c r="AE42" s="61"/>
      <c r="AF42" s="61"/>
      <c r="AG42" s="651">
        <f t="shared" si="10"/>
        <v>0</v>
      </c>
    </row>
    <row r="43" spans="1:33" s="40" customFormat="1" ht="12.9" hidden="1" customHeight="1" x14ac:dyDescent="0.25">
      <c r="A43" s="978" t="s">
        <v>87</v>
      </c>
      <c r="B43" s="973"/>
      <c r="C43" s="990" t="s">
        <v>88</v>
      </c>
      <c r="D43" s="246">
        <f t="shared" si="1"/>
        <v>0</v>
      </c>
      <c r="E43" s="246">
        <f t="shared" si="2"/>
        <v>0</v>
      </c>
      <c r="F43" s="651">
        <f t="shared" si="3"/>
        <v>0</v>
      </c>
      <c r="G43" s="974"/>
      <c r="H43" s="974"/>
      <c r="I43" s="246">
        <f t="shared" si="4"/>
        <v>0</v>
      </c>
      <c r="J43" s="974"/>
      <c r="K43" s="974"/>
      <c r="L43" s="246">
        <f t="shared" si="5"/>
        <v>0</v>
      </c>
      <c r="M43" s="974"/>
      <c r="N43" s="974"/>
      <c r="O43" s="246">
        <f t="shared" si="6"/>
        <v>0</v>
      </c>
      <c r="P43" s="974"/>
      <c r="Q43" s="974"/>
      <c r="R43" s="974"/>
      <c r="S43" s="974"/>
      <c r="T43" s="974"/>
      <c r="U43" s="974"/>
      <c r="V43" s="974"/>
      <c r="W43" s="974"/>
      <c r="X43" s="246">
        <f t="shared" si="7"/>
        <v>0</v>
      </c>
      <c r="Y43" s="974"/>
      <c r="Z43" s="974"/>
      <c r="AA43" s="246">
        <f t="shared" si="8"/>
        <v>0</v>
      </c>
      <c r="AB43" s="974"/>
      <c r="AC43" s="974"/>
      <c r="AD43" s="246">
        <f t="shared" si="9"/>
        <v>0</v>
      </c>
      <c r="AE43" s="974"/>
      <c r="AF43" s="974"/>
      <c r="AG43" s="651">
        <f t="shared" si="10"/>
        <v>0</v>
      </c>
    </row>
    <row r="44" spans="1:33" s="40" customFormat="1" ht="12.9" hidden="1" customHeight="1" x14ac:dyDescent="0.25">
      <c r="A44" s="978" t="s">
        <v>87</v>
      </c>
      <c r="B44" s="973"/>
      <c r="C44" s="989" t="s">
        <v>140</v>
      </c>
      <c r="D44" s="246">
        <f t="shared" si="1"/>
        <v>0</v>
      </c>
      <c r="E44" s="246">
        <f t="shared" si="2"/>
        <v>0</v>
      </c>
      <c r="F44" s="651">
        <f t="shared" si="3"/>
        <v>0</v>
      </c>
      <c r="G44" s="974"/>
      <c r="H44" s="974"/>
      <c r="I44" s="246">
        <f t="shared" si="4"/>
        <v>0</v>
      </c>
      <c r="J44" s="974"/>
      <c r="K44" s="974"/>
      <c r="L44" s="246">
        <f t="shared" si="5"/>
        <v>0</v>
      </c>
      <c r="M44" s="974"/>
      <c r="N44" s="974"/>
      <c r="O44" s="246">
        <f t="shared" si="6"/>
        <v>0</v>
      </c>
      <c r="P44" s="974"/>
      <c r="Q44" s="974"/>
      <c r="R44" s="974"/>
      <c r="S44" s="974"/>
      <c r="T44" s="974"/>
      <c r="U44" s="974"/>
      <c r="V44" s="974"/>
      <c r="W44" s="974"/>
      <c r="X44" s="246">
        <f t="shared" si="7"/>
        <v>0</v>
      </c>
      <c r="Y44" s="974"/>
      <c r="Z44" s="974"/>
      <c r="AA44" s="246">
        <f t="shared" si="8"/>
        <v>0</v>
      </c>
      <c r="AB44" s="974"/>
      <c r="AC44" s="974"/>
      <c r="AD44" s="246">
        <f t="shared" si="9"/>
        <v>0</v>
      </c>
      <c r="AE44" s="974"/>
      <c r="AF44" s="974"/>
      <c r="AG44" s="651">
        <f t="shared" si="10"/>
        <v>0</v>
      </c>
    </row>
    <row r="45" spans="1:33" ht="12.9" hidden="1" customHeight="1" x14ac:dyDescent="0.3">
      <c r="A45" s="977" t="s">
        <v>89</v>
      </c>
      <c r="B45" s="1128" t="s">
        <v>141</v>
      </c>
      <c r="C45" s="1093"/>
      <c r="D45" s="246">
        <f t="shared" si="1"/>
        <v>0</v>
      </c>
      <c r="E45" s="246">
        <f t="shared" si="2"/>
        <v>0</v>
      </c>
      <c r="F45" s="651">
        <f t="shared" si="3"/>
        <v>0</v>
      </c>
      <c r="G45" s="61"/>
      <c r="H45" s="61"/>
      <c r="I45" s="246">
        <f t="shared" si="4"/>
        <v>0</v>
      </c>
      <c r="J45" s="61"/>
      <c r="K45" s="61"/>
      <c r="L45" s="246">
        <f t="shared" si="5"/>
        <v>0</v>
      </c>
      <c r="M45" s="61"/>
      <c r="N45" s="61"/>
      <c r="O45" s="246">
        <f t="shared" si="6"/>
        <v>0</v>
      </c>
      <c r="P45" s="61"/>
      <c r="Q45" s="61"/>
      <c r="R45" s="61"/>
      <c r="S45" s="61"/>
      <c r="T45" s="61"/>
      <c r="U45" s="61"/>
      <c r="V45" s="61"/>
      <c r="W45" s="61"/>
      <c r="X45" s="246">
        <f t="shared" si="7"/>
        <v>0</v>
      </c>
      <c r="Y45" s="61"/>
      <c r="Z45" s="61"/>
      <c r="AA45" s="246">
        <f t="shared" si="8"/>
        <v>0</v>
      </c>
      <c r="AB45" s="61"/>
      <c r="AC45" s="61"/>
      <c r="AD45" s="246">
        <f t="shared" si="9"/>
        <v>0</v>
      </c>
      <c r="AE45" s="61"/>
      <c r="AF45" s="61"/>
      <c r="AG45" s="651">
        <f t="shared" si="10"/>
        <v>0</v>
      </c>
    </row>
    <row r="46" spans="1:33" s="40" customFormat="1" ht="12.9" hidden="1" customHeight="1" x14ac:dyDescent="0.25">
      <c r="A46" s="978" t="s">
        <v>89</v>
      </c>
      <c r="B46" s="973"/>
      <c r="C46" s="989" t="s">
        <v>142</v>
      </c>
      <c r="D46" s="246">
        <f t="shared" si="1"/>
        <v>0</v>
      </c>
      <c r="E46" s="246">
        <f t="shared" si="2"/>
        <v>0</v>
      </c>
      <c r="F46" s="651">
        <f t="shared" si="3"/>
        <v>0</v>
      </c>
      <c r="G46" s="974"/>
      <c r="H46" s="974"/>
      <c r="I46" s="246">
        <f t="shared" si="4"/>
        <v>0</v>
      </c>
      <c r="J46" s="974"/>
      <c r="K46" s="974"/>
      <c r="L46" s="246">
        <f t="shared" si="5"/>
        <v>0</v>
      </c>
      <c r="M46" s="974"/>
      <c r="N46" s="974"/>
      <c r="O46" s="246">
        <f t="shared" si="6"/>
        <v>0</v>
      </c>
      <c r="P46" s="974"/>
      <c r="Q46" s="974"/>
      <c r="R46" s="974"/>
      <c r="S46" s="974"/>
      <c r="T46" s="974"/>
      <c r="U46" s="974"/>
      <c r="V46" s="974"/>
      <c r="W46" s="974"/>
      <c r="X46" s="246">
        <f t="shared" si="7"/>
        <v>0</v>
      </c>
      <c r="Y46" s="974"/>
      <c r="Z46" s="974"/>
      <c r="AA46" s="246">
        <f t="shared" si="8"/>
        <v>0</v>
      </c>
      <c r="AB46" s="974"/>
      <c r="AC46" s="974"/>
      <c r="AD46" s="246">
        <f t="shared" si="9"/>
        <v>0</v>
      </c>
      <c r="AE46" s="974"/>
      <c r="AF46" s="974"/>
      <c r="AG46" s="651">
        <f t="shared" si="10"/>
        <v>0</v>
      </c>
    </row>
    <row r="47" spans="1:33" ht="12.9" hidden="1" customHeight="1" x14ac:dyDescent="0.3">
      <c r="A47" s="977" t="s">
        <v>90</v>
      </c>
      <c r="B47" s="1128" t="s">
        <v>143</v>
      </c>
      <c r="C47" s="1093"/>
      <c r="D47" s="246">
        <f t="shared" si="1"/>
        <v>0</v>
      </c>
      <c r="E47" s="246">
        <f t="shared" si="2"/>
        <v>0</v>
      </c>
      <c r="F47" s="651">
        <f t="shared" si="3"/>
        <v>0</v>
      </c>
      <c r="G47" s="61"/>
      <c r="H47" s="61"/>
      <c r="I47" s="246">
        <f t="shared" si="4"/>
        <v>0</v>
      </c>
      <c r="J47" s="61"/>
      <c r="K47" s="61"/>
      <c r="L47" s="246">
        <f t="shared" si="5"/>
        <v>0</v>
      </c>
      <c r="M47" s="61"/>
      <c r="N47" s="61"/>
      <c r="O47" s="246">
        <f t="shared" si="6"/>
        <v>0</v>
      </c>
      <c r="P47" s="61"/>
      <c r="Q47" s="61"/>
      <c r="R47" s="61"/>
      <c r="S47" s="61"/>
      <c r="T47" s="61"/>
      <c r="U47" s="61"/>
      <c r="V47" s="61"/>
      <c r="W47" s="61"/>
      <c r="X47" s="246">
        <f t="shared" si="7"/>
        <v>0</v>
      </c>
      <c r="Y47" s="61"/>
      <c r="Z47" s="61"/>
      <c r="AA47" s="246">
        <f t="shared" si="8"/>
        <v>0</v>
      </c>
      <c r="AB47" s="61"/>
      <c r="AC47" s="61"/>
      <c r="AD47" s="246">
        <f t="shared" si="9"/>
        <v>0</v>
      </c>
      <c r="AE47" s="61"/>
      <c r="AF47" s="61"/>
      <c r="AG47" s="651">
        <f t="shared" si="10"/>
        <v>0</v>
      </c>
    </row>
    <row r="48" spans="1:33" s="40" customFormat="1" ht="12.9" hidden="1" customHeight="1" x14ac:dyDescent="0.25">
      <c r="A48" s="978" t="s">
        <v>90</v>
      </c>
      <c r="B48" s="973"/>
      <c r="C48" s="989" t="s">
        <v>144</v>
      </c>
      <c r="D48" s="246">
        <f t="shared" si="1"/>
        <v>0</v>
      </c>
      <c r="E48" s="246">
        <f t="shared" si="2"/>
        <v>0</v>
      </c>
      <c r="F48" s="651">
        <f t="shared" si="3"/>
        <v>0</v>
      </c>
      <c r="G48" s="974"/>
      <c r="H48" s="974"/>
      <c r="I48" s="246">
        <f t="shared" si="4"/>
        <v>0</v>
      </c>
      <c r="J48" s="974"/>
      <c r="K48" s="974"/>
      <c r="L48" s="246">
        <f t="shared" si="5"/>
        <v>0</v>
      </c>
      <c r="M48" s="974"/>
      <c r="N48" s="974"/>
      <c r="O48" s="246">
        <f t="shared" si="6"/>
        <v>0</v>
      </c>
      <c r="P48" s="974"/>
      <c r="Q48" s="974"/>
      <c r="R48" s="974"/>
      <c r="S48" s="974"/>
      <c r="T48" s="974"/>
      <c r="U48" s="974"/>
      <c r="V48" s="974"/>
      <c r="W48" s="974"/>
      <c r="X48" s="246">
        <f t="shared" si="7"/>
        <v>0</v>
      </c>
      <c r="Y48" s="974"/>
      <c r="Z48" s="974"/>
      <c r="AA48" s="246">
        <f t="shared" si="8"/>
        <v>0</v>
      </c>
      <c r="AB48" s="974"/>
      <c r="AC48" s="974"/>
      <c r="AD48" s="246">
        <f t="shared" si="9"/>
        <v>0</v>
      </c>
      <c r="AE48" s="974"/>
      <c r="AF48" s="974"/>
      <c r="AG48" s="651">
        <f t="shared" si="10"/>
        <v>0</v>
      </c>
    </row>
    <row r="49" spans="1:33" ht="12.9" hidden="1" customHeight="1" x14ac:dyDescent="0.3">
      <c r="A49" s="103" t="s">
        <v>91</v>
      </c>
      <c r="B49" s="1128" t="s">
        <v>145</v>
      </c>
      <c r="C49" s="1093"/>
      <c r="D49" s="246">
        <f t="shared" si="1"/>
        <v>0</v>
      </c>
      <c r="E49" s="246">
        <f t="shared" si="2"/>
        <v>0</v>
      </c>
      <c r="F49" s="651">
        <f t="shared" si="3"/>
        <v>0</v>
      </c>
      <c r="G49" s="61"/>
      <c r="H49" s="61"/>
      <c r="I49" s="246">
        <f t="shared" si="4"/>
        <v>0</v>
      </c>
      <c r="J49" s="61"/>
      <c r="K49" s="61"/>
      <c r="L49" s="246">
        <f t="shared" si="5"/>
        <v>0</v>
      </c>
      <c r="M49" s="61"/>
      <c r="N49" s="61"/>
      <c r="O49" s="246">
        <f t="shared" si="6"/>
        <v>0</v>
      </c>
      <c r="P49" s="61"/>
      <c r="Q49" s="61"/>
      <c r="R49" s="61"/>
      <c r="S49" s="61"/>
      <c r="T49" s="61"/>
      <c r="U49" s="61"/>
      <c r="V49" s="61"/>
      <c r="W49" s="61"/>
      <c r="X49" s="246">
        <f t="shared" si="7"/>
        <v>0</v>
      </c>
      <c r="Y49" s="61"/>
      <c r="Z49" s="61"/>
      <c r="AA49" s="246">
        <f t="shared" si="8"/>
        <v>0</v>
      </c>
      <c r="AB49" s="61"/>
      <c r="AC49" s="61"/>
      <c r="AD49" s="246">
        <f t="shared" si="9"/>
        <v>0</v>
      </c>
      <c r="AE49" s="61"/>
      <c r="AF49" s="61"/>
      <c r="AG49" s="651">
        <f t="shared" si="10"/>
        <v>0</v>
      </c>
    </row>
    <row r="50" spans="1:33" s="40" customFormat="1" ht="12.9" hidden="1" customHeight="1" x14ac:dyDescent="0.25">
      <c r="A50" s="978" t="s">
        <v>91</v>
      </c>
      <c r="B50" s="973"/>
      <c r="C50" s="989" t="s">
        <v>92</v>
      </c>
      <c r="D50" s="246">
        <f t="shared" si="1"/>
        <v>0</v>
      </c>
      <c r="E50" s="246">
        <f t="shared" si="2"/>
        <v>0</v>
      </c>
      <c r="F50" s="651">
        <f t="shared" si="3"/>
        <v>0</v>
      </c>
      <c r="G50" s="974"/>
      <c r="H50" s="974"/>
      <c r="I50" s="246">
        <f t="shared" si="4"/>
        <v>0</v>
      </c>
      <c r="J50" s="974"/>
      <c r="K50" s="974"/>
      <c r="L50" s="246">
        <f t="shared" si="5"/>
        <v>0</v>
      </c>
      <c r="M50" s="974"/>
      <c r="N50" s="974"/>
      <c r="O50" s="246">
        <f t="shared" si="6"/>
        <v>0</v>
      </c>
      <c r="P50" s="974"/>
      <c r="Q50" s="974"/>
      <c r="R50" s="974"/>
      <c r="S50" s="974"/>
      <c r="T50" s="974"/>
      <c r="U50" s="974"/>
      <c r="V50" s="974"/>
      <c r="W50" s="974"/>
      <c r="X50" s="246">
        <f t="shared" si="7"/>
        <v>0</v>
      </c>
      <c r="Y50" s="974"/>
      <c r="Z50" s="974"/>
      <c r="AA50" s="246">
        <f t="shared" si="8"/>
        <v>0</v>
      </c>
      <c r="AB50" s="974"/>
      <c r="AC50" s="974"/>
      <c r="AD50" s="246">
        <f t="shared" si="9"/>
        <v>0</v>
      </c>
      <c r="AE50" s="974"/>
      <c r="AF50" s="974"/>
      <c r="AG50" s="651">
        <f t="shared" si="10"/>
        <v>0</v>
      </c>
    </row>
    <row r="51" spans="1:33" ht="12.9" hidden="1" customHeight="1" x14ac:dyDescent="0.3">
      <c r="A51" s="977" t="s">
        <v>93</v>
      </c>
      <c r="B51" s="1128" t="s">
        <v>146</v>
      </c>
      <c r="C51" s="1093"/>
      <c r="D51" s="246">
        <f t="shared" si="1"/>
        <v>0</v>
      </c>
      <c r="E51" s="246">
        <f t="shared" si="2"/>
        <v>0</v>
      </c>
      <c r="F51" s="651">
        <f t="shared" si="3"/>
        <v>0</v>
      </c>
      <c r="G51" s="61"/>
      <c r="H51" s="61"/>
      <c r="I51" s="246">
        <f t="shared" si="4"/>
        <v>0</v>
      </c>
      <c r="J51" s="61"/>
      <c r="K51" s="61"/>
      <c r="L51" s="246">
        <f t="shared" si="5"/>
        <v>0</v>
      </c>
      <c r="M51" s="61"/>
      <c r="N51" s="61"/>
      <c r="O51" s="246">
        <f t="shared" si="6"/>
        <v>0</v>
      </c>
      <c r="P51" s="61"/>
      <c r="Q51" s="61"/>
      <c r="R51" s="61"/>
      <c r="S51" s="61"/>
      <c r="T51" s="61"/>
      <c r="U51" s="61"/>
      <c r="V51" s="61"/>
      <c r="W51" s="61"/>
      <c r="X51" s="246">
        <f t="shared" si="7"/>
        <v>0</v>
      </c>
      <c r="Y51" s="61"/>
      <c r="Z51" s="61"/>
      <c r="AA51" s="246">
        <f t="shared" si="8"/>
        <v>0</v>
      </c>
      <c r="AB51" s="61"/>
      <c r="AC51" s="61"/>
      <c r="AD51" s="246">
        <f t="shared" si="9"/>
        <v>0</v>
      </c>
      <c r="AE51" s="61"/>
      <c r="AF51" s="61"/>
      <c r="AG51" s="651">
        <f t="shared" si="10"/>
        <v>0</v>
      </c>
    </row>
    <row r="52" spans="1:33" s="40" customFormat="1" ht="12.9" hidden="1" customHeight="1" x14ac:dyDescent="0.25">
      <c r="A52" s="978" t="s">
        <v>93</v>
      </c>
      <c r="B52" s="973"/>
      <c r="C52" s="989" t="s">
        <v>147</v>
      </c>
      <c r="D52" s="246">
        <f t="shared" si="1"/>
        <v>0</v>
      </c>
      <c r="E52" s="246">
        <f t="shared" si="2"/>
        <v>0</v>
      </c>
      <c r="F52" s="651">
        <f t="shared" si="3"/>
        <v>0</v>
      </c>
      <c r="G52" s="974"/>
      <c r="H52" s="974"/>
      <c r="I52" s="246">
        <f t="shared" si="4"/>
        <v>0</v>
      </c>
      <c r="J52" s="974"/>
      <c r="K52" s="974"/>
      <c r="L52" s="246">
        <f t="shared" si="5"/>
        <v>0</v>
      </c>
      <c r="M52" s="974"/>
      <c r="N52" s="974"/>
      <c r="O52" s="246">
        <f t="shared" si="6"/>
        <v>0</v>
      </c>
      <c r="P52" s="974"/>
      <c r="Q52" s="974"/>
      <c r="R52" s="974"/>
      <c r="S52" s="974"/>
      <c r="T52" s="974"/>
      <c r="U52" s="974"/>
      <c r="V52" s="974"/>
      <c r="W52" s="974"/>
      <c r="X52" s="246">
        <f t="shared" si="7"/>
        <v>0</v>
      </c>
      <c r="Y52" s="974"/>
      <c r="Z52" s="974"/>
      <c r="AA52" s="246">
        <f t="shared" si="8"/>
        <v>0</v>
      </c>
      <c r="AB52" s="974"/>
      <c r="AC52" s="974"/>
      <c r="AD52" s="246">
        <f t="shared" si="9"/>
        <v>0</v>
      </c>
      <c r="AE52" s="974"/>
      <c r="AF52" s="974"/>
      <c r="AG52" s="651">
        <f t="shared" si="10"/>
        <v>0</v>
      </c>
    </row>
    <row r="53" spans="1:33" s="40" customFormat="1" ht="12.9" hidden="1" customHeight="1" x14ac:dyDescent="0.25">
      <c r="A53" s="978" t="s">
        <v>93</v>
      </c>
      <c r="B53" s="973"/>
      <c r="C53" s="989" t="s">
        <v>137</v>
      </c>
      <c r="D53" s="246">
        <f t="shared" si="1"/>
        <v>0</v>
      </c>
      <c r="E53" s="246">
        <f t="shared" si="2"/>
        <v>0</v>
      </c>
      <c r="F53" s="651">
        <f t="shared" si="3"/>
        <v>0</v>
      </c>
      <c r="G53" s="974"/>
      <c r="H53" s="974"/>
      <c r="I53" s="246">
        <f t="shared" si="4"/>
        <v>0</v>
      </c>
      <c r="J53" s="974"/>
      <c r="K53" s="974"/>
      <c r="L53" s="246">
        <f t="shared" si="5"/>
        <v>0</v>
      </c>
      <c r="M53" s="974"/>
      <c r="N53" s="974"/>
      <c r="O53" s="246">
        <f t="shared" si="6"/>
        <v>0</v>
      </c>
      <c r="P53" s="974"/>
      <c r="Q53" s="974"/>
      <c r="R53" s="974"/>
      <c r="S53" s="974"/>
      <c r="T53" s="974"/>
      <c r="U53" s="974"/>
      <c r="V53" s="974"/>
      <c r="W53" s="974"/>
      <c r="X53" s="246">
        <f t="shared" si="7"/>
        <v>0</v>
      </c>
      <c r="Y53" s="974"/>
      <c r="Z53" s="974"/>
      <c r="AA53" s="246">
        <f t="shared" si="8"/>
        <v>0</v>
      </c>
      <c r="AB53" s="974"/>
      <c r="AC53" s="974"/>
      <c r="AD53" s="246">
        <f t="shared" si="9"/>
        <v>0</v>
      </c>
      <c r="AE53" s="974"/>
      <c r="AF53" s="974"/>
      <c r="AG53" s="651">
        <f t="shared" si="10"/>
        <v>0</v>
      </c>
    </row>
    <row r="54" spans="1:33" s="40" customFormat="1" ht="12.9" hidden="1" customHeight="1" x14ac:dyDescent="0.25">
      <c r="A54" s="979" t="s">
        <v>93</v>
      </c>
      <c r="B54" s="973"/>
      <c r="C54" s="989" t="s">
        <v>148</v>
      </c>
      <c r="D54" s="246">
        <f t="shared" si="1"/>
        <v>0</v>
      </c>
      <c r="E54" s="246">
        <f t="shared" si="2"/>
        <v>0</v>
      </c>
      <c r="F54" s="651">
        <f t="shared" si="3"/>
        <v>0</v>
      </c>
      <c r="G54" s="975"/>
      <c r="H54" s="975"/>
      <c r="I54" s="246">
        <f t="shared" si="4"/>
        <v>0</v>
      </c>
      <c r="J54" s="975"/>
      <c r="K54" s="975"/>
      <c r="L54" s="246">
        <f t="shared" si="5"/>
        <v>0</v>
      </c>
      <c r="M54" s="975"/>
      <c r="N54" s="975"/>
      <c r="O54" s="246">
        <f t="shared" si="6"/>
        <v>0</v>
      </c>
      <c r="P54" s="975"/>
      <c r="Q54" s="975"/>
      <c r="R54" s="975"/>
      <c r="S54" s="975"/>
      <c r="T54" s="975"/>
      <c r="U54" s="975"/>
      <c r="V54" s="975"/>
      <c r="W54" s="975"/>
      <c r="X54" s="246">
        <f t="shared" si="7"/>
        <v>0</v>
      </c>
      <c r="Y54" s="975"/>
      <c r="Z54" s="975"/>
      <c r="AA54" s="246">
        <f t="shared" si="8"/>
        <v>0</v>
      </c>
      <c r="AB54" s="975"/>
      <c r="AC54" s="975"/>
      <c r="AD54" s="246">
        <f t="shared" si="9"/>
        <v>0</v>
      </c>
      <c r="AE54" s="975"/>
      <c r="AF54" s="975"/>
      <c r="AG54" s="651">
        <f t="shared" si="10"/>
        <v>0</v>
      </c>
    </row>
    <row r="55" spans="1:33" s="40" customFormat="1" ht="12.9" hidden="1" customHeight="1" x14ac:dyDescent="0.25">
      <c r="A55" s="978" t="s">
        <v>93</v>
      </c>
      <c r="B55" s="973"/>
      <c r="C55" s="989" t="s">
        <v>149</v>
      </c>
      <c r="D55" s="246">
        <f t="shared" si="1"/>
        <v>0</v>
      </c>
      <c r="E55" s="246">
        <f t="shared" si="2"/>
        <v>0</v>
      </c>
      <c r="F55" s="651">
        <f t="shared" si="3"/>
        <v>0</v>
      </c>
      <c r="G55" s="974"/>
      <c r="H55" s="974"/>
      <c r="I55" s="246">
        <f t="shared" si="4"/>
        <v>0</v>
      </c>
      <c r="J55" s="974"/>
      <c r="K55" s="974"/>
      <c r="L55" s="246">
        <f t="shared" si="5"/>
        <v>0</v>
      </c>
      <c r="M55" s="974"/>
      <c r="N55" s="974"/>
      <c r="O55" s="246">
        <f t="shared" si="6"/>
        <v>0</v>
      </c>
      <c r="P55" s="974"/>
      <c r="Q55" s="974"/>
      <c r="R55" s="974"/>
      <c r="S55" s="974"/>
      <c r="T55" s="974"/>
      <c r="U55" s="974"/>
      <c r="V55" s="974"/>
      <c r="W55" s="974"/>
      <c r="X55" s="246">
        <f t="shared" si="7"/>
        <v>0</v>
      </c>
      <c r="Y55" s="974"/>
      <c r="Z55" s="974"/>
      <c r="AA55" s="246">
        <f t="shared" si="8"/>
        <v>0</v>
      </c>
      <c r="AB55" s="974"/>
      <c r="AC55" s="974"/>
      <c r="AD55" s="246">
        <f t="shared" si="9"/>
        <v>0</v>
      </c>
      <c r="AE55" s="974"/>
      <c r="AF55" s="974"/>
      <c r="AG55" s="651">
        <f t="shared" si="10"/>
        <v>0</v>
      </c>
    </row>
    <row r="56" spans="1:33" s="44" customFormat="1" ht="12.9" hidden="1" customHeight="1" x14ac:dyDescent="0.25">
      <c r="A56" s="577" t="s">
        <v>94</v>
      </c>
      <c r="B56" s="1126" t="s">
        <v>150</v>
      </c>
      <c r="C56" s="1127"/>
      <c r="D56" s="246">
        <f t="shared" si="1"/>
        <v>0</v>
      </c>
      <c r="E56" s="246">
        <f t="shared" si="2"/>
        <v>0</v>
      </c>
      <c r="F56" s="651">
        <f t="shared" si="3"/>
        <v>0</v>
      </c>
      <c r="G56" s="246"/>
      <c r="H56" s="246"/>
      <c r="I56" s="246">
        <f t="shared" si="4"/>
        <v>0</v>
      </c>
      <c r="J56" s="246"/>
      <c r="K56" s="246"/>
      <c r="L56" s="246">
        <f t="shared" si="5"/>
        <v>0</v>
      </c>
      <c r="M56" s="246"/>
      <c r="N56" s="246"/>
      <c r="O56" s="246">
        <f t="shared" si="6"/>
        <v>0</v>
      </c>
      <c r="P56" s="246"/>
      <c r="Q56" s="246"/>
      <c r="R56" s="246"/>
      <c r="S56" s="246"/>
      <c r="T56" s="246"/>
      <c r="U56" s="246"/>
      <c r="V56" s="246"/>
      <c r="W56" s="246"/>
      <c r="X56" s="246">
        <f t="shared" si="7"/>
        <v>0</v>
      </c>
      <c r="Y56" s="246"/>
      <c r="Z56" s="246"/>
      <c r="AA56" s="246">
        <f t="shared" si="8"/>
        <v>0</v>
      </c>
      <c r="AB56" s="246"/>
      <c r="AC56" s="246"/>
      <c r="AD56" s="246">
        <f t="shared" si="9"/>
        <v>0</v>
      </c>
      <c r="AE56" s="246"/>
      <c r="AF56" s="246"/>
      <c r="AG56" s="651">
        <f t="shared" si="10"/>
        <v>0</v>
      </c>
    </row>
    <row r="57" spans="1:33" ht="7.5" hidden="1" customHeight="1" x14ac:dyDescent="0.3">
      <c r="A57" s="577"/>
      <c r="B57" s="1126"/>
      <c r="C57" s="1127"/>
      <c r="D57" s="246">
        <f t="shared" si="1"/>
        <v>0</v>
      </c>
      <c r="E57" s="246">
        <f t="shared" si="2"/>
        <v>0</v>
      </c>
      <c r="F57" s="651">
        <f t="shared" si="3"/>
        <v>0</v>
      </c>
      <c r="G57" s="246"/>
      <c r="H57" s="246"/>
      <c r="I57" s="246">
        <f t="shared" si="4"/>
        <v>0</v>
      </c>
      <c r="J57" s="246"/>
      <c r="K57" s="246"/>
      <c r="L57" s="246">
        <f t="shared" si="5"/>
        <v>0</v>
      </c>
      <c r="M57" s="246"/>
      <c r="N57" s="246"/>
      <c r="O57" s="246">
        <f t="shared" si="6"/>
        <v>0</v>
      </c>
      <c r="P57" s="61"/>
      <c r="Q57" s="61"/>
      <c r="R57" s="61"/>
      <c r="S57" s="61"/>
      <c r="T57" s="61"/>
      <c r="U57" s="61"/>
      <c r="V57" s="61"/>
      <c r="W57" s="61"/>
      <c r="X57" s="246">
        <f t="shared" si="7"/>
        <v>0</v>
      </c>
      <c r="Y57" s="61"/>
      <c r="Z57" s="61"/>
      <c r="AA57" s="246">
        <f t="shared" si="8"/>
        <v>0</v>
      </c>
      <c r="AB57" s="61"/>
      <c r="AC57" s="61"/>
      <c r="AD57" s="246">
        <f t="shared" si="9"/>
        <v>0</v>
      </c>
      <c r="AE57" s="61"/>
      <c r="AF57" s="61"/>
      <c r="AG57" s="651">
        <f t="shared" si="10"/>
        <v>0</v>
      </c>
    </row>
    <row r="58" spans="1:33" ht="12.9" customHeight="1" x14ac:dyDescent="0.3">
      <c r="A58" s="578" t="s">
        <v>96</v>
      </c>
      <c r="B58" s="1107" t="s">
        <v>95</v>
      </c>
      <c r="C58" s="1146"/>
      <c r="D58" s="649">
        <f t="shared" si="1"/>
        <v>0</v>
      </c>
      <c r="E58" s="58">
        <f t="shared" si="2"/>
        <v>1033</v>
      </c>
      <c r="F58" s="576">
        <f t="shared" si="3"/>
        <v>1033</v>
      </c>
      <c r="G58" s="31"/>
      <c r="H58" s="29"/>
      <c r="I58" s="58">
        <f t="shared" si="4"/>
        <v>0</v>
      </c>
      <c r="J58" s="29"/>
      <c r="K58" s="29"/>
      <c r="L58" s="58">
        <f t="shared" si="5"/>
        <v>0</v>
      </c>
      <c r="M58" s="29"/>
      <c r="N58" s="29"/>
      <c r="O58" s="58">
        <f t="shared" si="6"/>
        <v>0</v>
      </c>
      <c r="P58" s="29"/>
      <c r="Q58" s="29"/>
      <c r="R58" s="29"/>
      <c r="S58" s="29"/>
      <c r="T58" s="29"/>
      <c r="U58" s="29"/>
      <c r="V58" s="29"/>
      <c r="W58" s="29"/>
      <c r="X58" s="58">
        <f t="shared" si="7"/>
        <v>0</v>
      </c>
      <c r="Y58" s="29"/>
      <c r="Z58" s="29"/>
      <c r="AA58" s="58">
        <f t="shared" si="8"/>
        <v>0</v>
      </c>
      <c r="AB58" s="29"/>
      <c r="AC58" s="29"/>
      <c r="AD58" s="58">
        <f t="shared" si="9"/>
        <v>0</v>
      </c>
      <c r="AE58" s="29"/>
      <c r="AF58" s="29">
        <v>1033</v>
      </c>
      <c r="AG58" s="576">
        <f t="shared" si="10"/>
        <v>1033</v>
      </c>
    </row>
    <row r="59" spans="1:33" ht="12.9" customHeight="1" x14ac:dyDescent="0.3">
      <c r="A59" s="578" t="s">
        <v>98</v>
      </c>
      <c r="B59" s="1107" t="s">
        <v>97</v>
      </c>
      <c r="C59" s="1146"/>
      <c r="D59" s="649">
        <f t="shared" si="1"/>
        <v>0</v>
      </c>
      <c r="E59" s="58">
        <f t="shared" si="2"/>
        <v>0</v>
      </c>
      <c r="F59" s="576">
        <f t="shared" si="3"/>
        <v>0</v>
      </c>
      <c r="G59" s="31"/>
      <c r="H59" s="29"/>
      <c r="I59" s="58">
        <f t="shared" si="4"/>
        <v>0</v>
      </c>
      <c r="J59" s="29"/>
      <c r="K59" s="29"/>
      <c r="L59" s="58">
        <f t="shared" si="5"/>
        <v>0</v>
      </c>
      <c r="M59" s="29"/>
      <c r="N59" s="29"/>
      <c r="O59" s="58">
        <f t="shared" si="6"/>
        <v>0</v>
      </c>
      <c r="P59" s="29"/>
      <c r="Q59" s="29"/>
      <c r="R59" s="29"/>
      <c r="S59" s="29"/>
      <c r="T59" s="29"/>
      <c r="U59" s="29"/>
      <c r="V59" s="29"/>
      <c r="W59" s="29"/>
      <c r="X59" s="58">
        <f t="shared" si="7"/>
        <v>0</v>
      </c>
      <c r="Y59" s="29"/>
      <c r="Z59" s="29"/>
      <c r="AA59" s="58">
        <f t="shared" si="8"/>
        <v>0</v>
      </c>
      <c r="AB59" s="29"/>
      <c r="AC59" s="29"/>
      <c r="AD59" s="58">
        <f t="shared" si="9"/>
        <v>0</v>
      </c>
      <c r="AE59" s="29"/>
      <c r="AF59" s="29"/>
      <c r="AG59" s="576">
        <f t="shared" si="10"/>
        <v>0</v>
      </c>
    </row>
    <row r="60" spans="1:33" ht="12.9" customHeight="1" x14ac:dyDescent="0.3">
      <c r="A60" s="578" t="s">
        <v>101</v>
      </c>
      <c r="B60" s="1107" t="s">
        <v>165</v>
      </c>
      <c r="C60" s="1146"/>
      <c r="D60" s="649">
        <f t="shared" si="1"/>
        <v>0</v>
      </c>
      <c r="E60" s="58">
        <f t="shared" si="2"/>
        <v>0</v>
      </c>
      <c r="F60" s="576">
        <f t="shared" si="3"/>
        <v>0</v>
      </c>
      <c r="G60" s="31"/>
      <c r="H60" s="29"/>
      <c r="I60" s="58">
        <f t="shared" si="4"/>
        <v>0</v>
      </c>
      <c r="J60" s="29"/>
      <c r="K60" s="29"/>
      <c r="L60" s="58">
        <f t="shared" si="5"/>
        <v>0</v>
      </c>
      <c r="M60" s="29"/>
      <c r="N60" s="29"/>
      <c r="O60" s="58">
        <f t="shared" si="6"/>
        <v>0</v>
      </c>
      <c r="P60" s="29"/>
      <c r="Q60" s="29"/>
      <c r="R60" s="29"/>
      <c r="S60" s="29"/>
      <c r="T60" s="29"/>
      <c r="U60" s="29"/>
      <c r="V60" s="29"/>
      <c r="W60" s="29"/>
      <c r="X60" s="58">
        <f t="shared" si="7"/>
        <v>0</v>
      </c>
      <c r="Y60" s="29"/>
      <c r="Z60" s="29"/>
      <c r="AA60" s="58">
        <f t="shared" si="8"/>
        <v>0</v>
      </c>
      <c r="AB60" s="29"/>
      <c r="AC60" s="29"/>
      <c r="AD60" s="58">
        <f t="shared" si="9"/>
        <v>0</v>
      </c>
      <c r="AE60" s="29"/>
      <c r="AF60" s="29"/>
      <c r="AG60" s="576">
        <f t="shared" si="10"/>
        <v>0</v>
      </c>
    </row>
    <row r="61" spans="1:33" ht="12.9" customHeight="1" x14ac:dyDescent="0.3">
      <c r="A61" s="578" t="s">
        <v>103</v>
      </c>
      <c r="B61" s="1107" t="s">
        <v>102</v>
      </c>
      <c r="C61" s="1146"/>
      <c r="D61" s="649">
        <f t="shared" si="1"/>
        <v>0</v>
      </c>
      <c r="E61" s="58">
        <f t="shared" si="2"/>
        <v>0</v>
      </c>
      <c r="F61" s="576">
        <f t="shared" si="3"/>
        <v>0</v>
      </c>
      <c r="G61" s="31"/>
      <c r="H61" s="29"/>
      <c r="I61" s="58">
        <f t="shared" si="4"/>
        <v>0</v>
      </c>
      <c r="J61" s="29"/>
      <c r="K61" s="29"/>
      <c r="L61" s="58">
        <f t="shared" si="5"/>
        <v>0</v>
      </c>
      <c r="M61" s="29"/>
      <c r="N61" s="29"/>
      <c r="O61" s="58">
        <f t="shared" si="6"/>
        <v>0</v>
      </c>
      <c r="P61" s="29"/>
      <c r="Q61" s="29"/>
      <c r="R61" s="29"/>
      <c r="S61" s="29"/>
      <c r="T61" s="29"/>
      <c r="U61" s="29"/>
      <c r="V61" s="29"/>
      <c r="W61" s="29"/>
      <c r="X61" s="58">
        <f t="shared" si="7"/>
        <v>0</v>
      </c>
      <c r="Y61" s="29"/>
      <c r="Z61" s="29"/>
      <c r="AA61" s="58">
        <f t="shared" si="8"/>
        <v>0</v>
      </c>
      <c r="AB61" s="29"/>
      <c r="AC61" s="29"/>
      <c r="AD61" s="58">
        <f t="shared" si="9"/>
        <v>0</v>
      </c>
      <c r="AE61" s="29"/>
      <c r="AF61" s="29"/>
      <c r="AG61" s="576">
        <f t="shared" si="10"/>
        <v>0</v>
      </c>
    </row>
    <row r="62" spans="1:33" ht="12.9" customHeight="1" x14ac:dyDescent="0.3">
      <c r="A62" s="578" t="s">
        <v>105</v>
      </c>
      <c r="B62" s="1107" t="s">
        <v>164</v>
      </c>
      <c r="C62" s="1146"/>
      <c r="D62" s="649">
        <f t="shared" si="1"/>
        <v>0</v>
      </c>
      <c r="E62" s="58">
        <f t="shared" si="2"/>
        <v>0</v>
      </c>
      <c r="F62" s="576">
        <f t="shared" si="3"/>
        <v>0</v>
      </c>
      <c r="G62" s="31"/>
      <c r="H62" s="29"/>
      <c r="I62" s="58">
        <f t="shared" si="4"/>
        <v>0</v>
      </c>
      <c r="J62" s="29"/>
      <c r="K62" s="29"/>
      <c r="L62" s="58">
        <f t="shared" si="5"/>
        <v>0</v>
      </c>
      <c r="M62" s="29"/>
      <c r="N62" s="29"/>
      <c r="O62" s="58">
        <f t="shared" si="6"/>
        <v>0</v>
      </c>
      <c r="P62" s="29"/>
      <c r="Q62" s="29"/>
      <c r="R62" s="29"/>
      <c r="S62" s="29"/>
      <c r="T62" s="29"/>
      <c r="U62" s="29"/>
      <c r="V62" s="29"/>
      <c r="W62" s="29"/>
      <c r="X62" s="58">
        <f t="shared" si="7"/>
        <v>0</v>
      </c>
      <c r="Y62" s="29"/>
      <c r="Z62" s="29"/>
      <c r="AA62" s="58">
        <f t="shared" si="8"/>
        <v>0</v>
      </c>
      <c r="AB62" s="29"/>
      <c r="AC62" s="29"/>
      <c r="AD62" s="58">
        <f t="shared" si="9"/>
        <v>0</v>
      </c>
      <c r="AE62" s="29"/>
      <c r="AF62" s="29"/>
      <c r="AG62" s="576">
        <f t="shared" si="10"/>
        <v>0</v>
      </c>
    </row>
    <row r="63" spans="1:33" ht="12.9" customHeight="1" x14ac:dyDescent="0.3">
      <c r="A63" s="578" t="s">
        <v>107</v>
      </c>
      <c r="B63" s="1112" t="s">
        <v>106</v>
      </c>
      <c r="C63" s="1086"/>
      <c r="D63" s="649">
        <f t="shared" si="1"/>
        <v>338240</v>
      </c>
      <c r="E63" s="58">
        <f t="shared" si="2"/>
        <v>26445</v>
      </c>
      <c r="F63" s="576">
        <f t="shared" si="3"/>
        <v>364685</v>
      </c>
      <c r="G63" s="31"/>
      <c r="H63" s="29"/>
      <c r="I63" s="58">
        <f t="shared" si="4"/>
        <v>0</v>
      </c>
      <c r="J63" s="29"/>
      <c r="K63" s="29"/>
      <c r="L63" s="58">
        <f t="shared" si="5"/>
        <v>0</v>
      </c>
      <c r="M63" s="29"/>
      <c r="N63" s="29"/>
      <c r="O63" s="58">
        <f t="shared" si="6"/>
        <v>0</v>
      </c>
      <c r="P63" s="29"/>
      <c r="Q63" s="29"/>
      <c r="R63" s="29"/>
      <c r="S63" s="29"/>
      <c r="T63" s="29"/>
      <c r="U63" s="29"/>
      <c r="V63" s="29"/>
      <c r="W63" s="29"/>
      <c r="X63" s="58">
        <f t="shared" si="7"/>
        <v>0</v>
      </c>
      <c r="Y63" s="29"/>
      <c r="Z63" s="29"/>
      <c r="AA63" s="58">
        <f t="shared" si="8"/>
        <v>0</v>
      </c>
      <c r="AB63" s="29"/>
      <c r="AC63" s="29"/>
      <c r="AD63" s="58">
        <f t="shared" si="9"/>
        <v>0</v>
      </c>
      <c r="AE63" s="29">
        <f>SUM(AE64:AE74)</f>
        <v>338240</v>
      </c>
      <c r="AF63" s="29">
        <f>SUM(AF64:AF74)</f>
        <v>26445</v>
      </c>
      <c r="AG63" s="576">
        <f t="shared" si="10"/>
        <v>364685</v>
      </c>
    </row>
    <row r="64" spans="1:33" ht="12.9" customHeight="1" x14ac:dyDescent="0.3">
      <c r="A64" s="578"/>
      <c r="B64" s="878"/>
      <c r="C64" s="939" t="s">
        <v>630</v>
      </c>
      <c r="D64" s="31">
        <f t="shared" si="1"/>
        <v>6500</v>
      </c>
      <c r="E64" s="29">
        <f t="shared" si="2"/>
        <v>-1499</v>
      </c>
      <c r="F64" s="579">
        <f t="shared" si="3"/>
        <v>5001</v>
      </c>
      <c r="G64" s="31"/>
      <c r="H64" s="29"/>
      <c r="I64" s="58">
        <f t="shared" si="4"/>
        <v>0</v>
      </c>
      <c r="J64" s="29"/>
      <c r="K64" s="29"/>
      <c r="L64" s="58">
        <f t="shared" si="5"/>
        <v>0</v>
      </c>
      <c r="M64" s="29"/>
      <c r="N64" s="29"/>
      <c r="O64" s="58">
        <f t="shared" si="6"/>
        <v>0</v>
      </c>
      <c r="P64" s="29"/>
      <c r="Q64" s="29"/>
      <c r="R64" s="29"/>
      <c r="S64" s="29"/>
      <c r="T64" s="29"/>
      <c r="U64" s="29"/>
      <c r="V64" s="29"/>
      <c r="W64" s="29"/>
      <c r="X64" s="58">
        <f t="shared" si="7"/>
        <v>0</v>
      </c>
      <c r="Y64" s="29"/>
      <c r="Z64" s="29"/>
      <c r="AA64" s="58">
        <f t="shared" si="8"/>
        <v>0</v>
      </c>
      <c r="AB64" s="29"/>
      <c r="AC64" s="29"/>
      <c r="AD64" s="58">
        <f t="shared" si="9"/>
        <v>0</v>
      </c>
      <c r="AE64" s="511">
        <f>5000+1500</f>
        <v>6500</v>
      </c>
      <c r="AF64" s="29">
        <v>-1499</v>
      </c>
      <c r="AG64" s="576">
        <f t="shared" si="10"/>
        <v>5001</v>
      </c>
    </row>
    <row r="65" spans="1:36" ht="12.9" customHeight="1" x14ac:dyDescent="0.3">
      <c r="A65" s="578"/>
      <c r="B65" s="878"/>
      <c r="C65" s="939" t="s">
        <v>676</v>
      </c>
      <c r="D65" s="31">
        <f t="shared" si="1"/>
        <v>0</v>
      </c>
      <c r="E65" s="29">
        <f t="shared" si="2"/>
        <v>0</v>
      </c>
      <c r="F65" s="579">
        <f t="shared" si="3"/>
        <v>0</v>
      </c>
      <c r="G65" s="31"/>
      <c r="H65" s="29"/>
      <c r="I65" s="58">
        <f t="shared" si="4"/>
        <v>0</v>
      </c>
      <c r="J65" s="29"/>
      <c r="K65" s="29"/>
      <c r="L65" s="58">
        <f t="shared" si="5"/>
        <v>0</v>
      </c>
      <c r="M65" s="29"/>
      <c r="N65" s="29"/>
      <c r="O65" s="58">
        <f t="shared" si="6"/>
        <v>0</v>
      </c>
      <c r="P65" s="29"/>
      <c r="Q65" s="29"/>
      <c r="R65" s="29"/>
      <c r="S65" s="29"/>
      <c r="T65" s="29"/>
      <c r="U65" s="29"/>
      <c r="V65" s="29"/>
      <c r="W65" s="29"/>
      <c r="X65" s="58">
        <f t="shared" si="7"/>
        <v>0</v>
      </c>
      <c r="Y65" s="29"/>
      <c r="Z65" s="29"/>
      <c r="AA65" s="58">
        <f t="shared" si="8"/>
        <v>0</v>
      </c>
      <c r="AB65" s="29"/>
      <c r="AC65" s="29"/>
      <c r="AD65" s="58">
        <f t="shared" si="9"/>
        <v>0</v>
      </c>
      <c r="AE65" s="511">
        <v>0</v>
      </c>
      <c r="AF65" s="29"/>
      <c r="AG65" s="576">
        <f t="shared" si="10"/>
        <v>0</v>
      </c>
    </row>
    <row r="66" spans="1:36" ht="12.9" customHeight="1" x14ac:dyDescent="0.3">
      <c r="A66" s="578"/>
      <c r="B66" s="878"/>
      <c r="C66" s="939" t="s">
        <v>678</v>
      </c>
      <c r="D66" s="31">
        <f t="shared" si="1"/>
        <v>0</v>
      </c>
      <c r="E66" s="29">
        <f t="shared" si="2"/>
        <v>0</v>
      </c>
      <c r="F66" s="579">
        <f t="shared" si="3"/>
        <v>0</v>
      </c>
      <c r="G66" s="31"/>
      <c r="H66" s="29"/>
      <c r="I66" s="58">
        <f t="shared" si="4"/>
        <v>0</v>
      </c>
      <c r="J66" s="29"/>
      <c r="K66" s="29"/>
      <c r="L66" s="58">
        <f t="shared" si="5"/>
        <v>0</v>
      </c>
      <c r="M66" s="29"/>
      <c r="N66" s="29"/>
      <c r="O66" s="58">
        <f t="shared" si="6"/>
        <v>0</v>
      </c>
      <c r="P66" s="29"/>
      <c r="Q66" s="29"/>
      <c r="R66" s="29"/>
      <c r="S66" s="29"/>
      <c r="T66" s="29"/>
      <c r="U66" s="29"/>
      <c r="V66" s="29"/>
      <c r="W66" s="29"/>
      <c r="X66" s="58">
        <f t="shared" si="7"/>
        <v>0</v>
      </c>
      <c r="Y66" s="29"/>
      <c r="Z66" s="29"/>
      <c r="AA66" s="58">
        <f t="shared" si="8"/>
        <v>0</v>
      </c>
      <c r="AB66" s="29"/>
      <c r="AC66" s="29"/>
      <c r="AD66" s="58">
        <f t="shared" si="9"/>
        <v>0</v>
      </c>
      <c r="AE66" s="511">
        <v>0</v>
      </c>
      <c r="AF66" s="29"/>
      <c r="AG66" s="576">
        <f t="shared" si="10"/>
        <v>0</v>
      </c>
    </row>
    <row r="67" spans="1:36" ht="12.9" customHeight="1" x14ac:dyDescent="0.3">
      <c r="A67" s="578"/>
      <c r="B67" s="878"/>
      <c r="C67" s="939" t="s">
        <v>631</v>
      </c>
      <c r="D67" s="31">
        <f t="shared" si="1"/>
        <v>0</v>
      </c>
      <c r="E67" s="29">
        <f t="shared" si="2"/>
        <v>0</v>
      </c>
      <c r="F67" s="579">
        <f t="shared" si="3"/>
        <v>0</v>
      </c>
      <c r="G67" s="31"/>
      <c r="H67" s="29"/>
      <c r="I67" s="58">
        <f t="shared" si="4"/>
        <v>0</v>
      </c>
      <c r="J67" s="29"/>
      <c r="K67" s="29"/>
      <c r="L67" s="58">
        <f t="shared" si="5"/>
        <v>0</v>
      </c>
      <c r="M67" s="29"/>
      <c r="N67" s="29"/>
      <c r="O67" s="58">
        <f t="shared" si="6"/>
        <v>0</v>
      </c>
      <c r="P67" s="29"/>
      <c r="Q67" s="29"/>
      <c r="R67" s="29"/>
      <c r="S67" s="29"/>
      <c r="T67" s="29"/>
      <c r="U67" s="29"/>
      <c r="V67" s="29"/>
      <c r="W67" s="29"/>
      <c r="X67" s="58">
        <f t="shared" si="7"/>
        <v>0</v>
      </c>
      <c r="Y67" s="29"/>
      <c r="Z67" s="29"/>
      <c r="AA67" s="58">
        <f t="shared" si="8"/>
        <v>0</v>
      </c>
      <c r="AB67" s="29"/>
      <c r="AC67" s="29"/>
      <c r="AD67" s="58">
        <f t="shared" si="9"/>
        <v>0</v>
      </c>
      <c r="AE67" s="29">
        <v>0</v>
      </c>
      <c r="AF67" s="29"/>
      <c r="AG67" s="576">
        <f t="shared" si="10"/>
        <v>0</v>
      </c>
    </row>
    <row r="68" spans="1:36" ht="12.9" customHeight="1" x14ac:dyDescent="0.3">
      <c r="A68" s="578"/>
      <c r="B68" s="878"/>
      <c r="C68" s="939" t="s">
        <v>737</v>
      </c>
      <c r="D68" s="31">
        <f t="shared" si="1"/>
        <v>239565</v>
      </c>
      <c r="E68" s="29">
        <f t="shared" si="2"/>
        <v>0</v>
      </c>
      <c r="F68" s="579">
        <f t="shared" si="3"/>
        <v>239565</v>
      </c>
      <c r="G68" s="31"/>
      <c r="H68" s="29"/>
      <c r="I68" s="58">
        <f t="shared" si="4"/>
        <v>0</v>
      </c>
      <c r="J68" s="29"/>
      <c r="K68" s="29"/>
      <c r="L68" s="58">
        <f t="shared" si="5"/>
        <v>0</v>
      </c>
      <c r="M68" s="29"/>
      <c r="N68" s="29"/>
      <c r="O68" s="58">
        <f t="shared" si="6"/>
        <v>0</v>
      </c>
      <c r="P68" s="29"/>
      <c r="Q68" s="29"/>
      <c r="R68" s="29"/>
      <c r="S68" s="29"/>
      <c r="T68" s="29"/>
      <c r="U68" s="29"/>
      <c r="V68" s="29"/>
      <c r="W68" s="29"/>
      <c r="X68" s="58">
        <f t="shared" si="7"/>
        <v>0</v>
      </c>
      <c r="Y68" s="29"/>
      <c r="Z68" s="29"/>
      <c r="AA68" s="58">
        <f t="shared" si="8"/>
        <v>0</v>
      </c>
      <c r="AB68" s="29"/>
      <c r="AC68" s="29"/>
      <c r="AD68" s="58">
        <f t="shared" si="9"/>
        <v>0</v>
      </c>
      <c r="AE68" s="29">
        <f>239335+230</f>
        <v>239565</v>
      </c>
      <c r="AF68" s="29"/>
      <c r="AG68" s="576">
        <f t="shared" si="10"/>
        <v>239565</v>
      </c>
    </row>
    <row r="69" spans="1:36" ht="12.9" customHeight="1" x14ac:dyDescent="0.3">
      <c r="A69" s="578"/>
      <c r="B69" s="878"/>
      <c r="C69" s="939" t="s">
        <v>633</v>
      </c>
      <c r="D69" s="31">
        <f t="shared" si="1"/>
        <v>0</v>
      </c>
      <c r="E69" s="29">
        <f t="shared" si="2"/>
        <v>0</v>
      </c>
      <c r="F69" s="579">
        <f t="shared" si="3"/>
        <v>0</v>
      </c>
      <c r="G69" s="31"/>
      <c r="H69" s="29"/>
      <c r="I69" s="58">
        <f t="shared" si="4"/>
        <v>0</v>
      </c>
      <c r="J69" s="29"/>
      <c r="K69" s="29"/>
      <c r="L69" s="58">
        <f t="shared" si="5"/>
        <v>0</v>
      </c>
      <c r="M69" s="29"/>
      <c r="N69" s="29"/>
      <c r="O69" s="58">
        <f t="shared" si="6"/>
        <v>0</v>
      </c>
      <c r="P69" s="29"/>
      <c r="Q69" s="29"/>
      <c r="R69" s="29"/>
      <c r="S69" s="29"/>
      <c r="T69" s="29"/>
      <c r="U69" s="29"/>
      <c r="V69" s="29"/>
      <c r="W69" s="29"/>
      <c r="X69" s="58">
        <f t="shared" si="7"/>
        <v>0</v>
      </c>
      <c r="Y69" s="29"/>
      <c r="Z69" s="29"/>
      <c r="AA69" s="58">
        <f t="shared" si="8"/>
        <v>0</v>
      </c>
      <c r="AB69" s="29"/>
      <c r="AC69" s="29"/>
      <c r="AD69" s="58">
        <f t="shared" si="9"/>
        <v>0</v>
      </c>
      <c r="AE69" s="29">
        <v>0</v>
      </c>
      <c r="AF69" s="29"/>
      <c r="AG69" s="576">
        <f t="shared" si="10"/>
        <v>0</v>
      </c>
    </row>
    <row r="70" spans="1:36" ht="12.9" customHeight="1" x14ac:dyDescent="0.3">
      <c r="A70" s="578"/>
      <c r="B70" s="878"/>
      <c r="C70" s="939" t="s">
        <v>768</v>
      </c>
      <c r="D70" s="31">
        <f t="shared" si="1"/>
        <v>1050</v>
      </c>
      <c r="E70" s="29">
        <f t="shared" si="2"/>
        <v>0</v>
      </c>
      <c r="F70" s="579">
        <f t="shared" si="3"/>
        <v>1050</v>
      </c>
      <c r="G70" s="31"/>
      <c r="H70" s="29"/>
      <c r="I70" s="58">
        <f t="shared" si="4"/>
        <v>0</v>
      </c>
      <c r="J70" s="29"/>
      <c r="K70" s="29"/>
      <c r="L70" s="58">
        <f t="shared" si="5"/>
        <v>0</v>
      </c>
      <c r="M70" s="29"/>
      <c r="N70" s="29"/>
      <c r="O70" s="58">
        <f t="shared" si="6"/>
        <v>0</v>
      </c>
      <c r="P70" s="29"/>
      <c r="Q70" s="29"/>
      <c r="R70" s="29"/>
      <c r="S70" s="29"/>
      <c r="T70" s="29"/>
      <c r="U70" s="29"/>
      <c r="V70" s="29"/>
      <c r="W70" s="29"/>
      <c r="X70" s="58">
        <f t="shared" si="7"/>
        <v>0</v>
      </c>
      <c r="Y70" s="29"/>
      <c r="Z70" s="29"/>
      <c r="AA70" s="58">
        <f t="shared" si="8"/>
        <v>0</v>
      </c>
      <c r="AB70" s="29"/>
      <c r="AC70" s="29"/>
      <c r="AD70" s="58">
        <f t="shared" si="9"/>
        <v>0</v>
      </c>
      <c r="AE70" s="29">
        <v>1050</v>
      </c>
      <c r="AF70" s="29"/>
      <c r="AG70" s="576">
        <f t="shared" si="10"/>
        <v>1050</v>
      </c>
    </row>
    <row r="71" spans="1:36" s="733" customFormat="1" ht="12.9" customHeight="1" x14ac:dyDescent="0.3">
      <c r="A71" s="578"/>
      <c r="B71" s="878"/>
      <c r="C71" s="939" t="s">
        <v>766</v>
      </c>
      <c r="D71" s="985">
        <f t="shared" ref="D71:D107" si="25">+G71+M71+P71+S71+V71+AE71+J71+Y71+AB71</f>
        <v>11262</v>
      </c>
      <c r="E71" s="511">
        <f t="shared" ref="E71:E107" si="26">+H71+N71+Q71+T71+W71+AF71+K71+Z71+AC71</f>
        <v>0</v>
      </c>
      <c r="F71" s="988">
        <f t="shared" ref="F71:F107" si="27">+I71+O71+R71+U71+X71+AG71+L71+AA71+AD71</f>
        <v>11262</v>
      </c>
      <c r="G71" s="985"/>
      <c r="H71" s="511"/>
      <c r="I71" s="58">
        <f t="shared" ref="I71:I107" si="28">+H71+G71</f>
        <v>0</v>
      </c>
      <c r="J71" s="511"/>
      <c r="K71" s="511"/>
      <c r="L71" s="58">
        <f t="shared" ref="L71:L107" si="29">+K71+J71</f>
        <v>0</v>
      </c>
      <c r="M71" s="511"/>
      <c r="N71" s="511"/>
      <c r="O71" s="58">
        <f t="shared" ref="O71:O107" si="30">+N71+M71</f>
        <v>0</v>
      </c>
      <c r="P71" s="511"/>
      <c r="Q71" s="511"/>
      <c r="R71" s="511"/>
      <c r="S71" s="511"/>
      <c r="T71" s="511"/>
      <c r="U71" s="511"/>
      <c r="V71" s="511"/>
      <c r="W71" s="511"/>
      <c r="X71" s="58">
        <f t="shared" ref="X71:X107" si="31">+W71+V71</f>
        <v>0</v>
      </c>
      <c r="Y71" s="511"/>
      <c r="Z71" s="511"/>
      <c r="AA71" s="58">
        <f t="shared" ref="AA71:AA107" si="32">+Z71+Y71</f>
        <v>0</v>
      </c>
      <c r="AB71" s="511"/>
      <c r="AC71" s="511"/>
      <c r="AD71" s="58">
        <f t="shared" ref="AD71:AD107" si="33">+AC71+AB71</f>
        <v>0</v>
      </c>
      <c r="AE71" s="511">
        <v>11262</v>
      </c>
      <c r="AF71" s="511"/>
      <c r="AG71" s="576">
        <f t="shared" ref="AG71:AG106" si="34">+AF71+AE71</f>
        <v>11262</v>
      </c>
      <c r="AH71" s="976"/>
      <c r="AI71" s="976"/>
      <c r="AJ71" s="976"/>
    </row>
    <row r="72" spans="1:36" s="733" customFormat="1" ht="12.9" customHeight="1" x14ac:dyDescent="0.3">
      <c r="A72" s="578"/>
      <c r="B72" s="1005"/>
      <c r="C72" s="1006" t="s">
        <v>935</v>
      </c>
      <c r="D72" s="985"/>
      <c r="E72" s="511">
        <v>20000</v>
      </c>
      <c r="F72" s="988">
        <v>20000</v>
      </c>
      <c r="G72" s="985"/>
      <c r="H72" s="511"/>
      <c r="I72" s="58"/>
      <c r="J72" s="511"/>
      <c r="K72" s="511"/>
      <c r="L72" s="58"/>
      <c r="M72" s="511"/>
      <c r="N72" s="511"/>
      <c r="O72" s="58"/>
      <c r="P72" s="511"/>
      <c r="Q72" s="511"/>
      <c r="R72" s="511"/>
      <c r="S72" s="511"/>
      <c r="T72" s="511"/>
      <c r="U72" s="511"/>
      <c r="V72" s="511"/>
      <c r="W72" s="511"/>
      <c r="X72" s="58"/>
      <c r="Y72" s="511"/>
      <c r="Z72" s="511"/>
      <c r="AA72" s="58"/>
      <c r="AB72" s="511"/>
      <c r="AC72" s="511"/>
      <c r="AD72" s="58"/>
      <c r="AE72" s="511"/>
      <c r="AF72" s="511">
        <v>20000</v>
      </c>
      <c r="AG72" s="576">
        <v>20000</v>
      </c>
      <c r="AH72" s="976"/>
      <c r="AI72" s="976"/>
      <c r="AJ72" s="976"/>
    </row>
    <row r="73" spans="1:36" ht="12.9" customHeight="1" x14ac:dyDescent="0.3">
      <c r="A73" s="578"/>
      <c r="B73" s="878"/>
      <c r="C73" s="939" t="s">
        <v>632</v>
      </c>
      <c r="D73" s="31">
        <f t="shared" si="25"/>
        <v>10000</v>
      </c>
      <c r="E73" s="29">
        <f t="shared" si="26"/>
        <v>8241</v>
      </c>
      <c r="F73" s="579">
        <f t="shared" si="27"/>
        <v>18241</v>
      </c>
      <c r="G73" s="31"/>
      <c r="H73" s="29"/>
      <c r="I73" s="58">
        <f t="shared" si="28"/>
        <v>0</v>
      </c>
      <c r="J73" s="29"/>
      <c r="K73" s="29"/>
      <c r="L73" s="58">
        <f t="shared" si="29"/>
        <v>0</v>
      </c>
      <c r="M73" s="29"/>
      <c r="N73" s="29"/>
      <c r="O73" s="58">
        <f t="shared" si="30"/>
        <v>0</v>
      </c>
      <c r="P73" s="29"/>
      <c r="Q73" s="29"/>
      <c r="R73" s="29"/>
      <c r="S73" s="29"/>
      <c r="T73" s="29"/>
      <c r="U73" s="29"/>
      <c r="V73" s="29"/>
      <c r="W73" s="29"/>
      <c r="X73" s="58">
        <f t="shared" si="31"/>
        <v>0</v>
      </c>
      <c r="Y73" s="29"/>
      <c r="Z73" s="29"/>
      <c r="AA73" s="58">
        <f t="shared" si="32"/>
        <v>0</v>
      </c>
      <c r="AB73" s="29"/>
      <c r="AC73" s="29"/>
      <c r="AD73" s="58">
        <f t="shared" si="33"/>
        <v>0</v>
      </c>
      <c r="AE73" s="511">
        <v>10000</v>
      </c>
      <c r="AF73" s="29">
        <f>4756-309-72-158-100+4124</f>
        <v>8241</v>
      </c>
      <c r="AG73" s="576">
        <f t="shared" si="34"/>
        <v>18241</v>
      </c>
    </row>
    <row r="74" spans="1:36" ht="12.9" customHeight="1" x14ac:dyDescent="0.3">
      <c r="A74" s="578"/>
      <c r="B74" s="878"/>
      <c r="C74" s="939" t="s">
        <v>610</v>
      </c>
      <c r="D74" s="31">
        <f t="shared" si="25"/>
        <v>69863</v>
      </c>
      <c r="E74" s="29">
        <f t="shared" si="26"/>
        <v>-297</v>
      </c>
      <c r="F74" s="579">
        <f t="shared" si="27"/>
        <v>69566</v>
      </c>
      <c r="G74" s="31"/>
      <c r="H74" s="29"/>
      <c r="I74" s="58">
        <f t="shared" si="28"/>
        <v>0</v>
      </c>
      <c r="J74" s="29"/>
      <c r="K74" s="29"/>
      <c r="L74" s="58">
        <f t="shared" si="29"/>
        <v>0</v>
      </c>
      <c r="M74" s="29"/>
      <c r="N74" s="29"/>
      <c r="O74" s="58">
        <f t="shared" si="30"/>
        <v>0</v>
      </c>
      <c r="P74" s="29"/>
      <c r="Q74" s="29"/>
      <c r="R74" s="29"/>
      <c r="S74" s="29"/>
      <c r="T74" s="29"/>
      <c r="U74" s="29"/>
      <c r="V74" s="29"/>
      <c r="W74" s="29"/>
      <c r="X74" s="58">
        <f t="shared" si="31"/>
        <v>0</v>
      </c>
      <c r="Y74" s="29"/>
      <c r="Z74" s="29"/>
      <c r="AA74" s="58">
        <f t="shared" si="32"/>
        <v>0</v>
      </c>
      <c r="AB74" s="29"/>
      <c r="AC74" s="29"/>
      <c r="AD74" s="58">
        <f t="shared" si="33"/>
        <v>0</v>
      </c>
      <c r="AE74" s="29">
        <f>50305+19558</f>
        <v>69863</v>
      </c>
      <c r="AF74" s="29">
        <v>-297</v>
      </c>
      <c r="AG74" s="576">
        <f t="shared" si="34"/>
        <v>69566</v>
      </c>
    </row>
    <row r="75" spans="1:36" s="44" customFormat="1" ht="12.9" customHeight="1" x14ac:dyDescent="0.25">
      <c r="A75" s="575" t="s">
        <v>108</v>
      </c>
      <c r="B75" s="1111" t="s">
        <v>163</v>
      </c>
      <c r="C75" s="1084"/>
      <c r="D75" s="649">
        <f t="shared" si="25"/>
        <v>338240</v>
      </c>
      <c r="E75" s="58">
        <f t="shared" si="26"/>
        <v>27478</v>
      </c>
      <c r="F75" s="576">
        <f t="shared" si="27"/>
        <v>365718</v>
      </c>
      <c r="G75" s="649">
        <f>+G63+G62+G61+G60+G59+G58</f>
        <v>0</v>
      </c>
      <c r="H75" s="58">
        <f>+H63+H62+H61+H60+H59+H58</f>
        <v>0</v>
      </c>
      <c r="I75" s="58">
        <f t="shared" si="28"/>
        <v>0</v>
      </c>
      <c r="J75" s="58"/>
      <c r="K75" s="58"/>
      <c r="L75" s="58">
        <f t="shared" si="29"/>
        <v>0</v>
      </c>
      <c r="M75" s="58"/>
      <c r="N75" s="58"/>
      <c r="O75" s="58">
        <f t="shared" si="30"/>
        <v>0</v>
      </c>
      <c r="P75" s="58">
        <f t="shared" ref="P75:W75" si="35">+P63+P62+P61+P60+P59+P58</f>
        <v>0</v>
      </c>
      <c r="Q75" s="58">
        <f t="shared" si="35"/>
        <v>0</v>
      </c>
      <c r="R75" s="58">
        <f t="shared" si="35"/>
        <v>0</v>
      </c>
      <c r="S75" s="58">
        <f t="shared" si="35"/>
        <v>0</v>
      </c>
      <c r="T75" s="58">
        <f t="shared" si="35"/>
        <v>0</v>
      </c>
      <c r="U75" s="58">
        <f t="shared" si="35"/>
        <v>0</v>
      </c>
      <c r="V75" s="58">
        <f t="shared" si="35"/>
        <v>0</v>
      </c>
      <c r="W75" s="58">
        <f t="shared" si="35"/>
        <v>0</v>
      </c>
      <c r="X75" s="58">
        <f t="shared" si="31"/>
        <v>0</v>
      </c>
      <c r="Y75" s="58">
        <f t="shared" ref="Y75:Z75" si="36">+Y63+Y62+Y61+Y60+Y59+Y58</f>
        <v>0</v>
      </c>
      <c r="Z75" s="58">
        <f t="shared" si="36"/>
        <v>0</v>
      </c>
      <c r="AA75" s="58">
        <f t="shared" si="32"/>
        <v>0</v>
      </c>
      <c r="AB75" s="58"/>
      <c r="AC75" s="58"/>
      <c r="AD75" s="58">
        <f t="shared" si="33"/>
        <v>0</v>
      </c>
      <c r="AE75" s="58">
        <f>+AE63+AE62+AE61+AE60+AE59+AE58</f>
        <v>338240</v>
      </c>
      <c r="AF75" s="58">
        <f>+AF63+AF62+AF61+AF60+AF59+AF58</f>
        <v>27478</v>
      </c>
      <c r="AG75" s="576">
        <f t="shared" si="34"/>
        <v>365718</v>
      </c>
    </row>
    <row r="76" spans="1:36" ht="11.25" customHeight="1" x14ac:dyDescent="0.3">
      <c r="A76" s="577"/>
      <c r="B76" s="880"/>
      <c r="C76" s="356"/>
      <c r="D76" s="246"/>
      <c r="E76" s="246"/>
      <c r="F76" s="651"/>
      <c r="G76" s="61"/>
      <c r="H76" s="61"/>
      <c r="I76" s="246"/>
      <c r="J76" s="61"/>
      <c r="K76" s="61"/>
      <c r="L76" s="246"/>
      <c r="M76" s="61"/>
      <c r="N76" s="61"/>
      <c r="O76" s="246"/>
      <c r="P76" s="61"/>
      <c r="Q76" s="61"/>
      <c r="R76" s="61"/>
      <c r="S76" s="61"/>
      <c r="T76" s="61"/>
      <c r="U76" s="61"/>
      <c r="V76" s="61"/>
      <c r="W76" s="61"/>
      <c r="X76" s="246"/>
      <c r="Y76" s="61"/>
      <c r="Z76" s="61"/>
      <c r="AA76" s="246"/>
      <c r="AB76" s="61"/>
      <c r="AC76" s="61"/>
      <c r="AD76" s="246"/>
      <c r="AE76" s="61"/>
      <c r="AF76" s="61"/>
      <c r="AG76" s="651"/>
    </row>
    <row r="77" spans="1:36" ht="12.9" hidden="1" customHeight="1" x14ac:dyDescent="0.3">
      <c r="A77" s="103" t="s">
        <v>110</v>
      </c>
      <c r="B77" s="1124" t="s">
        <v>109</v>
      </c>
      <c r="C77" s="1125"/>
      <c r="D77" s="246">
        <f t="shared" si="25"/>
        <v>0</v>
      </c>
      <c r="E77" s="246">
        <f t="shared" si="26"/>
        <v>0</v>
      </c>
      <c r="F77" s="651">
        <f t="shared" si="27"/>
        <v>0</v>
      </c>
      <c r="G77" s="61"/>
      <c r="H77" s="61"/>
      <c r="I77" s="246">
        <f t="shared" si="28"/>
        <v>0</v>
      </c>
      <c r="J77" s="61"/>
      <c r="K77" s="61"/>
      <c r="L77" s="246">
        <f t="shared" si="29"/>
        <v>0</v>
      </c>
      <c r="M77" s="61"/>
      <c r="N77" s="61"/>
      <c r="O77" s="246">
        <f t="shared" si="30"/>
        <v>0</v>
      </c>
      <c r="P77" s="61"/>
      <c r="Q77" s="61"/>
      <c r="R77" s="61"/>
      <c r="S77" s="61"/>
      <c r="T77" s="61"/>
      <c r="U77" s="61"/>
      <c r="V77" s="61"/>
      <c r="W77" s="61"/>
      <c r="X77" s="246">
        <f t="shared" si="31"/>
        <v>0</v>
      </c>
      <c r="Y77" s="61"/>
      <c r="Z77" s="61"/>
      <c r="AA77" s="246">
        <f t="shared" si="32"/>
        <v>0</v>
      </c>
      <c r="AB77" s="61"/>
      <c r="AC77" s="61"/>
      <c r="AD77" s="246">
        <f t="shared" si="33"/>
        <v>0</v>
      </c>
      <c r="AE77" s="61"/>
      <c r="AF77" s="61"/>
      <c r="AG77" s="651">
        <f t="shared" si="34"/>
        <v>0</v>
      </c>
    </row>
    <row r="78" spans="1:36" ht="12.9" hidden="1" customHeight="1" x14ac:dyDescent="0.3">
      <c r="A78" s="103" t="s">
        <v>111</v>
      </c>
      <c r="B78" s="1124" t="s">
        <v>162</v>
      </c>
      <c r="C78" s="1125"/>
      <c r="D78" s="246">
        <f t="shared" si="25"/>
        <v>0</v>
      </c>
      <c r="E78" s="246">
        <f t="shared" si="26"/>
        <v>0</v>
      </c>
      <c r="F78" s="651">
        <f t="shared" si="27"/>
        <v>0</v>
      </c>
      <c r="G78" s="61"/>
      <c r="H78" s="61"/>
      <c r="I78" s="246">
        <f t="shared" si="28"/>
        <v>0</v>
      </c>
      <c r="J78" s="61"/>
      <c r="K78" s="61"/>
      <c r="L78" s="246">
        <f t="shared" si="29"/>
        <v>0</v>
      </c>
      <c r="M78" s="61"/>
      <c r="N78" s="61"/>
      <c r="O78" s="246">
        <f t="shared" si="30"/>
        <v>0</v>
      </c>
      <c r="P78" s="61"/>
      <c r="Q78" s="61"/>
      <c r="R78" s="61"/>
      <c r="S78" s="61"/>
      <c r="T78" s="61"/>
      <c r="U78" s="61"/>
      <c r="V78" s="61"/>
      <c r="W78" s="61"/>
      <c r="X78" s="246">
        <f t="shared" si="31"/>
        <v>0</v>
      </c>
      <c r="Y78" s="61"/>
      <c r="Z78" s="61"/>
      <c r="AA78" s="246">
        <f t="shared" si="32"/>
        <v>0</v>
      </c>
      <c r="AB78" s="61"/>
      <c r="AC78" s="61"/>
      <c r="AD78" s="246">
        <f t="shared" si="33"/>
        <v>0</v>
      </c>
      <c r="AE78" s="61"/>
      <c r="AF78" s="61"/>
      <c r="AG78" s="651">
        <f t="shared" si="34"/>
        <v>0</v>
      </c>
    </row>
    <row r="79" spans="1:36" s="40" customFormat="1" ht="12.9" hidden="1" customHeight="1" x14ac:dyDescent="0.25">
      <c r="A79" s="978" t="s">
        <v>111</v>
      </c>
      <c r="B79" s="973"/>
      <c r="C79" s="991" t="s">
        <v>112</v>
      </c>
      <c r="D79" s="246">
        <f t="shared" si="25"/>
        <v>0</v>
      </c>
      <c r="E79" s="246">
        <f t="shared" si="26"/>
        <v>0</v>
      </c>
      <c r="F79" s="651">
        <f t="shared" si="27"/>
        <v>0</v>
      </c>
      <c r="G79" s="974"/>
      <c r="H79" s="974"/>
      <c r="I79" s="246">
        <f t="shared" si="28"/>
        <v>0</v>
      </c>
      <c r="J79" s="974"/>
      <c r="K79" s="974"/>
      <c r="L79" s="246">
        <f t="shared" si="29"/>
        <v>0</v>
      </c>
      <c r="M79" s="974"/>
      <c r="N79" s="974"/>
      <c r="O79" s="246">
        <f t="shared" si="30"/>
        <v>0</v>
      </c>
      <c r="P79" s="974"/>
      <c r="Q79" s="974"/>
      <c r="R79" s="974"/>
      <c r="S79" s="974"/>
      <c r="T79" s="974"/>
      <c r="U79" s="974"/>
      <c r="V79" s="974"/>
      <c r="W79" s="974"/>
      <c r="X79" s="246">
        <f t="shared" si="31"/>
        <v>0</v>
      </c>
      <c r="Y79" s="974"/>
      <c r="Z79" s="974"/>
      <c r="AA79" s="246">
        <f t="shared" si="32"/>
        <v>0</v>
      </c>
      <c r="AB79" s="974"/>
      <c r="AC79" s="974"/>
      <c r="AD79" s="246">
        <f t="shared" si="33"/>
        <v>0</v>
      </c>
      <c r="AE79" s="974"/>
      <c r="AF79" s="974"/>
      <c r="AG79" s="651">
        <f t="shared" si="34"/>
        <v>0</v>
      </c>
    </row>
    <row r="80" spans="1:36" ht="12.9" hidden="1" customHeight="1" x14ac:dyDescent="0.3">
      <c r="A80" s="103" t="s">
        <v>114</v>
      </c>
      <c r="B80" s="1124" t="s">
        <v>113</v>
      </c>
      <c r="C80" s="1125"/>
      <c r="D80" s="246">
        <f t="shared" si="25"/>
        <v>0</v>
      </c>
      <c r="E80" s="246">
        <f t="shared" si="26"/>
        <v>0</v>
      </c>
      <c r="F80" s="651">
        <f t="shared" si="27"/>
        <v>0</v>
      </c>
      <c r="G80" s="61"/>
      <c r="H80" s="61"/>
      <c r="I80" s="246">
        <f t="shared" si="28"/>
        <v>0</v>
      </c>
      <c r="J80" s="61"/>
      <c r="K80" s="61"/>
      <c r="L80" s="246">
        <f t="shared" si="29"/>
        <v>0</v>
      </c>
      <c r="M80" s="61"/>
      <c r="N80" s="61"/>
      <c r="O80" s="246">
        <f t="shared" si="30"/>
        <v>0</v>
      </c>
      <c r="P80" s="61"/>
      <c r="Q80" s="61"/>
      <c r="R80" s="61"/>
      <c r="S80" s="61"/>
      <c r="T80" s="61"/>
      <c r="U80" s="61"/>
      <c r="V80" s="61"/>
      <c r="W80" s="61"/>
      <c r="X80" s="246">
        <f t="shared" si="31"/>
        <v>0</v>
      </c>
      <c r="Y80" s="61"/>
      <c r="Z80" s="61"/>
      <c r="AA80" s="246">
        <f t="shared" si="32"/>
        <v>0</v>
      </c>
      <c r="AB80" s="61"/>
      <c r="AC80" s="61"/>
      <c r="AD80" s="246">
        <f t="shared" si="33"/>
        <v>0</v>
      </c>
      <c r="AE80" s="61"/>
      <c r="AF80" s="61"/>
      <c r="AG80" s="651">
        <f t="shared" si="34"/>
        <v>0</v>
      </c>
    </row>
    <row r="81" spans="1:33" ht="12.9" hidden="1" customHeight="1" x14ac:dyDescent="0.3">
      <c r="A81" s="103" t="s">
        <v>116</v>
      </c>
      <c r="B81" s="1124" t="s">
        <v>115</v>
      </c>
      <c r="C81" s="1125"/>
      <c r="D81" s="246">
        <f t="shared" si="25"/>
        <v>0</v>
      </c>
      <c r="E81" s="246">
        <f t="shared" si="26"/>
        <v>0</v>
      </c>
      <c r="F81" s="651">
        <f t="shared" si="27"/>
        <v>0</v>
      </c>
      <c r="G81" s="61"/>
      <c r="H81" s="61"/>
      <c r="I81" s="246">
        <f t="shared" si="28"/>
        <v>0</v>
      </c>
      <c r="J81" s="61"/>
      <c r="K81" s="61"/>
      <c r="L81" s="246">
        <f t="shared" si="29"/>
        <v>0</v>
      </c>
      <c r="M81" s="61"/>
      <c r="N81" s="61"/>
      <c r="O81" s="246">
        <f t="shared" si="30"/>
        <v>0</v>
      </c>
      <c r="P81" s="61"/>
      <c r="Q81" s="61"/>
      <c r="R81" s="61"/>
      <c r="S81" s="61"/>
      <c r="T81" s="61"/>
      <c r="U81" s="61"/>
      <c r="V81" s="61"/>
      <c r="W81" s="61"/>
      <c r="X81" s="246">
        <f t="shared" si="31"/>
        <v>0</v>
      </c>
      <c r="Y81" s="61"/>
      <c r="Z81" s="61"/>
      <c r="AA81" s="246">
        <f t="shared" si="32"/>
        <v>0</v>
      </c>
      <c r="AB81" s="61"/>
      <c r="AC81" s="61"/>
      <c r="AD81" s="246">
        <f t="shared" si="33"/>
        <v>0</v>
      </c>
      <c r="AE81" s="61"/>
      <c r="AF81" s="61"/>
      <c r="AG81" s="651">
        <f t="shared" si="34"/>
        <v>0</v>
      </c>
    </row>
    <row r="82" spans="1:33" ht="12.9" hidden="1" customHeight="1" x14ac:dyDescent="0.3">
      <c r="A82" s="103" t="s">
        <v>118</v>
      </c>
      <c r="B82" s="1124" t="s">
        <v>117</v>
      </c>
      <c r="C82" s="1125"/>
      <c r="D82" s="246">
        <f t="shared" si="25"/>
        <v>0</v>
      </c>
      <c r="E82" s="246">
        <f t="shared" si="26"/>
        <v>0</v>
      </c>
      <c r="F82" s="651">
        <f t="shared" si="27"/>
        <v>0</v>
      </c>
      <c r="G82" s="61"/>
      <c r="H82" s="61"/>
      <c r="I82" s="246">
        <f t="shared" si="28"/>
        <v>0</v>
      </c>
      <c r="J82" s="61"/>
      <c r="K82" s="61"/>
      <c r="L82" s="246">
        <f t="shared" si="29"/>
        <v>0</v>
      </c>
      <c r="M82" s="61"/>
      <c r="N82" s="61"/>
      <c r="O82" s="246">
        <f t="shared" si="30"/>
        <v>0</v>
      </c>
      <c r="P82" s="61"/>
      <c r="Q82" s="61"/>
      <c r="R82" s="61"/>
      <c r="S82" s="61"/>
      <c r="T82" s="61"/>
      <c r="U82" s="61"/>
      <c r="V82" s="61"/>
      <c r="W82" s="61"/>
      <c r="X82" s="246">
        <f t="shared" si="31"/>
        <v>0</v>
      </c>
      <c r="Y82" s="61"/>
      <c r="Z82" s="61"/>
      <c r="AA82" s="246">
        <f t="shared" si="32"/>
        <v>0</v>
      </c>
      <c r="AB82" s="61"/>
      <c r="AC82" s="61"/>
      <c r="AD82" s="246">
        <f t="shared" si="33"/>
        <v>0</v>
      </c>
      <c r="AE82" s="61"/>
      <c r="AF82" s="61"/>
      <c r="AG82" s="651">
        <f t="shared" si="34"/>
        <v>0</v>
      </c>
    </row>
    <row r="83" spans="1:33" ht="12.9" hidden="1" customHeight="1" x14ac:dyDescent="0.3">
      <c r="A83" s="103" t="s">
        <v>120</v>
      </c>
      <c r="B83" s="1124" t="s">
        <v>119</v>
      </c>
      <c r="C83" s="1125"/>
      <c r="D83" s="246">
        <f t="shared" si="25"/>
        <v>0</v>
      </c>
      <c r="E83" s="246">
        <f t="shared" si="26"/>
        <v>0</v>
      </c>
      <c r="F83" s="651">
        <f t="shared" si="27"/>
        <v>0</v>
      </c>
      <c r="G83" s="61"/>
      <c r="H83" s="61"/>
      <c r="I83" s="246">
        <f t="shared" si="28"/>
        <v>0</v>
      </c>
      <c r="J83" s="61"/>
      <c r="K83" s="61"/>
      <c r="L83" s="246">
        <f t="shared" si="29"/>
        <v>0</v>
      </c>
      <c r="M83" s="61"/>
      <c r="N83" s="61"/>
      <c r="O83" s="246">
        <f t="shared" si="30"/>
        <v>0</v>
      </c>
      <c r="P83" s="61"/>
      <c r="Q83" s="61"/>
      <c r="R83" s="61"/>
      <c r="S83" s="61"/>
      <c r="T83" s="61"/>
      <c r="U83" s="61"/>
      <c r="V83" s="61"/>
      <c r="W83" s="61"/>
      <c r="X83" s="246">
        <f t="shared" si="31"/>
        <v>0</v>
      </c>
      <c r="Y83" s="61"/>
      <c r="Z83" s="61"/>
      <c r="AA83" s="246">
        <f t="shared" si="32"/>
        <v>0</v>
      </c>
      <c r="AB83" s="61"/>
      <c r="AC83" s="61"/>
      <c r="AD83" s="246">
        <f t="shared" si="33"/>
        <v>0</v>
      </c>
      <c r="AE83" s="61"/>
      <c r="AF83" s="61"/>
      <c r="AG83" s="651">
        <f t="shared" si="34"/>
        <v>0</v>
      </c>
    </row>
    <row r="84" spans="1:33" ht="12.9" hidden="1" customHeight="1" x14ac:dyDescent="0.3">
      <c r="A84" s="103" t="s">
        <v>122</v>
      </c>
      <c r="B84" s="1124" t="s">
        <v>121</v>
      </c>
      <c r="C84" s="1125"/>
      <c r="D84" s="246">
        <f t="shared" si="25"/>
        <v>0</v>
      </c>
      <c r="E84" s="246">
        <f t="shared" si="26"/>
        <v>0</v>
      </c>
      <c r="F84" s="651">
        <f t="shared" si="27"/>
        <v>0</v>
      </c>
      <c r="G84" s="61"/>
      <c r="H84" s="61"/>
      <c r="I84" s="246">
        <f t="shared" si="28"/>
        <v>0</v>
      </c>
      <c r="J84" s="61"/>
      <c r="K84" s="61"/>
      <c r="L84" s="246">
        <f t="shared" si="29"/>
        <v>0</v>
      </c>
      <c r="M84" s="61"/>
      <c r="N84" s="61"/>
      <c r="O84" s="246">
        <f t="shared" si="30"/>
        <v>0</v>
      </c>
      <c r="P84" s="61"/>
      <c r="Q84" s="61"/>
      <c r="R84" s="61"/>
      <c r="S84" s="61"/>
      <c r="T84" s="61"/>
      <c r="U84" s="61"/>
      <c r="V84" s="61"/>
      <c r="W84" s="61"/>
      <c r="X84" s="246">
        <f t="shared" si="31"/>
        <v>0</v>
      </c>
      <c r="Y84" s="61"/>
      <c r="Z84" s="61"/>
      <c r="AA84" s="246">
        <f t="shared" si="32"/>
        <v>0</v>
      </c>
      <c r="AB84" s="61"/>
      <c r="AC84" s="61"/>
      <c r="AD84" s="246">
        <f t="shared" si="33"/>
        <v>0</v>
      </c>
      <c r="AE84" s="61"/>
      <c r="AF84" s="61"/>
      <c r="AG84" s="651">
        <f t="shared" si="34"/>
        <v>0</v>
      </c>
    </row>
    <row r="85" spans="1:33" s="44" customFormat="1" ht="12.9" hidden="1" customHeight="1" x14ac:dyDescent="0.25">
      <c r="A85" s="577" t="s">
        <v>123</v>
      </c>
      <c r="B85" s="1198" t="s">
        <v>161</v>
      </c>
      <c r="C85" s="1199"/>
      <c r="D85" s="246">
        <f t="shared" si="25"/>
        <v>0</v>
      </c>
      <c r="E85" s="246">
        <f t="shared" si="26"/>
        <v>0</v>
      </c>
      <c r="F85" s="651">
        <f t="shared" si="27"/>
        <v>0</v>
      </c>
      <c r="G85" s="246"/>
      <c r="H85" s="246"/>
      <c r="I85" s="246">
        <f t="shared" si="28"/>
        <v>0</v>
      </c>
      <c r="J85" s="246"/>
      <c r="K85" s="246"/>
      <c r="L85" s="246">
        <f t="shared" si="29"/>
        <v>0</v>
      </c>
      <c r="M85" s="246"/>
      <c r="N85" s="246"/>
      <c r="O85" s="246">
        <f t="shared" si="30"/>
        <v>0</v>
      </c>
      <c r="P85" s="246"/>
      <c r="Q85" s="246"/>
      <c r="R85" s="246"/>
      <c r="S85" s="246"/>
      <c r="T85" s="246"/>
      <c r="U85" s="246"/>
      <c r="V85" s="246"/>
      <c r="W85" s="246"/>
      <c r="X85" s="246">
        <f t="shared" si="31"/>
        <v>0</v>
      </c>
      <c r="Y85" s="246"/>
      <c r="Z85" s="246"/>
      <c r="AA85" s="246">
        <f t="shared" si="32"/>
        <v>0</v>
      </c>
      <c r="AB85" s="246"/>
      <c r="AC85" s="246"/>
      <c r="AD85" s="246">
        <f t="shared" si="33"/>
        <v>0</v>
      </c>
      <c r="AE85" s="246"/>
      <c r="AF85" s="246"/>
      <c r="AG85" s="651">
        <f t="shared" si="34"/>
        <v>0</v>
      </c>
    </row>
    <row r="86" spans="1:33" ht="5.25" hidden="1" customHeight="1" x14ac:dyDescent="0.3">
      <c r="A86" s="577"/>
      <c r="B86" s="880"/>
      <c r="C86" s="356"/>
      <c r="D86" s="246">
        <f t="shared" si="25"/>
        <v>0</v>
      </c>
      <c r="E86" s="246">
        <f t="shared" si="26"/>
        <v>0</v>
      </c>
      <c r="F86" s="651">
        <f t="shared" si="27"/>
        <v>0</v>
      </c>
      <c r="G86" s="61"/>
      <c r="H86" s="61"/>
      <c r="I86" s="246">
        <f t="shared" si="28"/>
        <v>0</v>
      </c>
      <c r="J86" s="61"/>
      <c r="K86" s="61"/>
      <c r="L86" s="246">
        <f t="shared" si="29"/>
        <v>0</v>
      </c>
      <c r="M86" s="61"/>
      <c r="N86" s="61"/>
      <c r="O86" s="246">
        <f t="shared" si="30"/>
        <v>0</v>
      </c>
      <c r="P86" s="61"/>
      <c r="Q86" s="61"/>
      <c r="R86" s="61"/>
      <c r="S86" s="61"/>
      <c r="T86" s="61"/>
      <c r="U86" s="61"/>
      <c r="V86" s="61"/>
      <c r="W86" s="61"/>
      <c r="X86" s="246">
        <f t="shared" si="31"/>
        <v>0</v>
      </c>
      <c r="Y86" s="61"/>
      <c r="Z86" s="61"/>
      <c r="AA86" s="246">
        <f t="shared" si="32"/>
        <v>0</v>
      </c>
      <c r="AB86" s="61"/>
      <c r="AC86" s="61"/>
      <c r="AD86" s="246">
        <f t="shared" si="33"/>
        <v>0</v>
      </c>
      <c r="AE86" s="61"/>
      <c r="AF86" s="61"/>
      <c r="AG86" s="651">
        <f t="shared" si="34"/>
        <v>0</v>
      </c>
    </row>
    <row r="87" spans="1:33" ht="12.9" hidden="1" customHeight="1" x14ac:dyDescent="0.3">
      <c r="A87" s="103" t="s">
        <v>125</v>
      </c>
      <c r="B87" s="1124" t="s">
        <v>124</v>
      </c>
      <c r="C87" s="1125"/>
      <c r="D87" s="246">
        <f t="shared" si="25"/>
        <v>0</v>
      </c>
      <c r="E87" s="246">
        <f t="shared" si="26"/>
        <v>0</v>
      </c>
      <c r="F87" s="651">
        <f t="shared" si="27"/>
        <v>0</v>
      </c>
      <c r="G87" s="61"/>
      <c r="H87" s="61"/>
      <c r="I87" s="246">
        <f t="shared" si="28"/>
        <v>0</v>
      </c>
      <c r="J87" s="61"/>
      <c r="K87" s="61"/>
      <c r="L87" s="246">
        <f t="shared" si="29"/>
        <v>0</v>
      </c>
      <c r="M87" s="61"/>
      <c r="N87" s="61"/>
      <c r="O87" s="246">
        <f t="shared" si="30"/>
        <v>0</v>
      </c>
      <c r="P87" s="61"/>
      <c r="Q87" s="61"/>
      <c r="R87" s="61"/>
      <c r="S87" s="61"/>
      <c r="T87" s="61"/>
      <c r="U87" s="61"/>
      <c r="V87" s="61"/>
      <c r="W87" s="61"/>
      <c r="X87" s="246">
        <f t="shared" si="31"/>
        <v>0</v>
      </c>
      <c r="Y87" s="61"/>
      <c r="Z87" s="61"/>
      <c r="AA87" s="246">
        <f t="shared" si="32"/>
        <v>0</v>
      </c>
      <c r="AB87" s="61"/>
      <c r="AC87" s="61"/>
      <c r="AD87" s="246">
        <f t="shared" si="33"/>
        <v>0</v>
      </c>
      <c r="AE87" s="61"/>
      <c r="AF87" s="61"/>
      <c r="AG87" s="651">
        <f t="shared" si="34"/>
        <v>0</v>
      </c>
    </row>
    <row r="88" spans="1:33" ht="12.9" hidden="1" customHeight="1" x14ac:dyDescent="0.3">
      <c r="A88" s="103" t="s">
        <v>127</v>
      </c>
      <c r="B88" s="1124" t="s">
        <v>126</v>
      </c>
      <c r="C88" s="1125"/>
      <c r="D88" s="246">
        <f t="shared" si="25"/>
        <v>0</v>
      </c>
      <c r="E88" s="246">
        <f t="shared" si="26"/>
        <v>0</v>
      </c>
      <c r="F88" s="651">
        <f t="shared" si="27"/>
        <v>0</v>
      </c>
      <c r="G88" s="61"/>
      <c r="H88" s="61"/>
      <c r="I88" s="246">
        <f t="shared" si="28"/>
        <v>0</v>
      </c>
      <c r="J88" s="61"/>
      <c r="K88" s="61"/>
      <c r="L88" s="246">
        <f t="shared" si="29"/>
        <v>0</v>
      </c>
      <c r="M88" s="61"/>
      <c r="N88" s="61"/>
      <c r="O88" s="246">
        <f t="shared" si="30"/>
        <v>0</v>
      </c>
      <c r="P88" s="61"/>
      <c r="Q88" s="61"/>
      <c r="R88" s="61"/>
      <c r="S88" s="61"/>
      <c r="T88" s="61"/>
      <c r="U88" s="61"/>
      <c r="V88" s="61"/>
      <c r="W88" s="61"/>
      <c r="X88" s="246">
        <f t="shared" si="31"/>
        <v>0</v>
      </c>
      <c r="Y88" s="61"/>
      <c r="Z88" s="61"/>
      <c r="AA88" s="246">
        <f t="shared" si="32"/>
        <v>0</v>
      </c>
      <c r="AB88" s="61"/>
      <c r="AC88" s="61"/>
      <c r="AD88" s="246">
        <f t="shared" si="33"/>
        <v>0</v>
      </c>
      <c r="AE88" s="61"/>
      <c r="AF88" s="61"/>
      <c r="AG88" s="651">
        <f t="shared" si="34"/>
        <v>0</v>
      </c>
    </row>
    <row r="89" spans="1:33" ht="12.9" hidden="1" customHeight="1" x14ac:dyDescent="0.3">
      <c r="A89" s="103" t="s">
        <v>129</v>
      </c>
      <c r="B89" s="1124" t="s">
        <v>128</v>
      </c>
      <c r="C89" s="1125"/>
      <c r="D89" s="246">
        <f t="shared" si="25"/>
        <v>0</v>
      </c>
      <c r="E89" s="246">
        <f t="shared" si="26"/>
        <v>0</v>
      </c>
      <c r="F89" s="651">
        <f t="shared" si="27"/>
        <v>0</v>
      </c>
      <c r="G89" s="61"/>
      <c r="H89" s="61"/>
      <c r="I89" s="246">
        <f t="shared" si="28"/>
        <v>0</v>
      </c>
      <c r="J89" s="61"/>
      <c r="K89" s="61"/>
      <c r="L89" s="246">
        <f t="shared" si="29"/>
        <v>0</v>
      </c>
      <c r="M89" s="61"/>
      <c r="N89" s="61"/>
      <c r="O89" s="246">
        <f t="shared" si="30"/>
        <v>0</v>
      </c>
      <c r="P89" s="61"/>
      <c r="Q89" s="61"/>
      <c r="R89" s="61"/>
      <c r="S89" s="61"/>
      <c r="T89" s="61"/>
      <c r="U89" s="61"/>
      <c r="V89" s="61"/>
      <c r="W89" s="61"/>
      <c r="X89" s="246">
        <f t="shared" si="31"/>
        <v>0</v>
      </c>
      <c r="Y89" s="61"/>
      <c r="Z89" s="61"/>
      <c r="AA89" s="246">
        <f t="shared" si="32"/>
        <v>0</v>
      </c>
      <c r="AB89" s="61"/>
      <c r="AC89" s="61"/>
      <c r="AD89" s="246">
        <f t="shared" si="33"/>
        <v>0</v>
      </c>
      <c r="AE89" s="61"/>
      <c r="AF89" s="61"/>
      <c r="AG89" s="651">
        <f t="shared" si="34"/>
        <v>0</v>
      </c>
    </row>
    <row r="90" spans="1:33" ht="12.9" hidden="1" customHeight="1" x14ac:dyDescent="0.3">
      <c r="A90" s="103" t="s">
        <v>131</v>
      </c>
      <c r="B90" s="1124" t="s">
        <v>130</v>
      </c>
      <c r="C90" s="1125"/>
      <c r="D90" s="246">
        <f t="shared" si="25"/>
        <v>0</v>
      </c>
      <c r="E90" s="246">
        <f t="shared" si="26"/>
        <v>0</v>
      </c>
      <c r="F90" s="651">
        <f t="shared" si="27"/>
        <v>0</v>
      </c>
      <c r="G90" s="61"/>
      <c r="H90" s="61"/>
      <c r="I90" s="246">
        <f t="shared" si="28"/>
        <v>0</v>
      </c>
      <c r="J90" s="61"/>
      <c r="K90" s="61"/>
      <c r="L90" s="246">
        <f t="shared" si="29"/>
        <v>0</v>
      </c>
      <c r="M90" s="61"/>
      <c r="N90" s="61"/>
      <c r="O90" s="246">
        <f t="shared" si="30"/>
        <v>0</v>
      </c>
      <c r="P90" s="61"/>
      <c r="Q90" s="61"/>
      <c r="R90" s="61"/>
      <c r="S90" s="61"/>
      <c r="T90" s="61"/>
      <c r="U90" s="61"/>
      <c r="V90" s="61"/>
      <c r="W90" s="61"/>
      <c r="X90" s="246">
        <f t="shared" si="31"/>
        <v>0</v>
      </c>
      <c r="Y90" s="61"/>
      <c r="Z90" s="61"/>
      <c r="AA90" s="246">
        <f t="shared" si="32"/>
        <v>0</v>
      </c>
      <c r="AB90" s="61"/>
      <c r="AC90" s="61"/>
      <c r="AD90" s="246">
        <f t="shared" si="33"/>
        <v>0</v>
      </c>
      <c r="AE90" s="61"/>
      <c r="AF90" s="61"/>
      <c r="AG90" s="651">
        <f t="shared" si="34"/>
        <v>0</v>
      </c>
    </row>
    <row r="91" spans="1:33" s="44" customFormat="1" ht="12.9" hidden="1" customHeight="1" x14ac:dyDescent="0.25">
      <c r="A91" s="577" t="s">
        <v>132</v>
      </c>
      <c r="B91" s="1198" t="s">
        <v>160</v>
      </c>
      <c r="C91" s="1199"/>
      <c r="D91" s="246">
        <f t="shared" si="25"/>
        <v>0</v>
      </c>
      <c r="E91" s="246">
        <f t="shared" si="26"/>
        <v>0</v>
      </c>
      <c r="F91" s="651">
        <f t="shared" si="27"/>
        <v>0</v>
      </c>
      <c r="G91" s="246"/>
      <c r="H91" s="246"/>
      <c r="I91" s="246">
        <f t="shared" si="28"/>
        <v>0</v>
      </c>
      <c r="J91" s="246"/>
      <c r="K91" s="246"/>
      <c r="L91" s="246">
        <f t="shared" si="29"/>
        <v>0</v>
      </c>
      <c r="M91" s="246"/>
      <c r="N91" s="246"/>
      <c r="O91" s="246">
        <f t="shared" si="30"/>
        <v>0</v>
      </c>
      <c r="P91" s="246"/>
      <c r="Q91" s="246"/>
      <c r="R91" s="246"/>
      <c r="S91" s="246"/>
      <c r="T91" s="246"/>
      <c r="U91" s="246"/>
      <c r="V91" s="246"/>
      <c r="W91" s="246"/>
      <c r="X91" s="246">
        <f t="shared" si="31"/>
        <v>0</v>
      </c>
      <c r="Y91" s="246"/>
      <c r="Z91" s="246"/>
      <c r="AA91" s="246">
        <f t="shared" si="32"/>
        <v>0</v>
      </c>
      <c r="AB91" s="246"/>
      <c r="AC91" s="246"/>
      <c r="AD91" s="246">
        <f t="shared" si="33"/>
        <v>0</v>
      </c>
      <c r="AE91" s="246"/>
      <c r="AF91" s="246"/>
      <c r="AG91" s="651">
        <f t="shared" si="34"/>
        <v>0</v>
      </c>
    </row>
    <row r="92" spans="1:33" ht="12.9" hidden="1" customHeight="1" x14ac:dyDescent="0.3">
      <c r="A92" s="577"/>
      <c r="B92" s="880"/>
      <c r="C92" s="356"/>
      <c r="D92" s="246">
        <f t="shared" si="25"/>
        <v>0</v>
      </c>
      <c r="E92" s="246">
        <f t="shared" si="26"/>
        <v>0</v>
      </c>
      <c r="F92" s="651">
        <f t="shared" si="27"/>
        <v>0</v>
      </c>
      <c r="G92" s="61"/>
      <c r="H92" s="61"/>
      <c r="I92" s="246">
        <f t="shared" si="28"/>
        <v>0</v>
      </c>
      <c r="J92" s="61"/>
      <c r="K92" s="61"/>
      <c r="L92" s="246">
        <f t="shared" si="29"/>
        <v>0</v>
      </c>
      <c r="M92" s="61"/>
      <c r="N92" s="61"/>
      <c r="O92" s="246">
        <f t="shared" si="30"/>
        <v>0</v>
      </c>
      <c r="P92" s="61"/>
      <c r="Q92" s="61"/>
      <c r="R92" s="61"/>
      <c r="S92" s="61"/>
      <c r="T92" s="61"/>
      <c r="U92" s="61"/>
      <c r="V92" s="61"/>
      <c r="W92" s="61"/>
      <c r="X92" s="246">
        <f t="shared" si="31"/>
        <v>0</v>
      </c>
      <c r="Y92" s="61"/>
      <c r="Z92" s="61"/>
      <c r="AA92" s="246">
        <f t="shared" si="32"/>
        <v>0</v>
      </c>
      <c r="AB92" s="61"/>
      <c r="AC92" s="61"/>
      <c r="AD92" s="246">
        <f t="shared" si="33"/>
        <v>0</v>
      </c>
      <c r="AE92" s="61"/>
      <c r="AF92" s="61"/>
      <c r="AG92" s="651">
        <f t="shared" si="34"/>
        <v>0</v>
      </c>
    </row>
    <row r="93" spans="1:33" ht="12.9" hidden="1" customHeight="1" x14ac:dyDescent="0.3">
      <c r="A93" s="103" t="s">
        <v>381</v>
      </c>
      <c r="B93" s="1124" t="s">
        <v>382</v>
      </c>
      <c r="C93" s="1125"/>
      <c r="D93" s="246">
        <f t="shared" si="25"/>
        <v>0</v>
      </c>
      <c r="E93" s="246">
        <f t="shared" si="26"/>
        <v>0</v>
      </c>
      <c r="F93" s="651">
        <f t="shared" si="27"/>
        <v>0</v>
      </c>
      <c r="G93" s="61"/>
      <c r="H93" s="61"/>
      <c r="I93" s="246">
        <f t="shared" si="28"/>
        <v>0</v>
      </c>
      <c r="J93" s="61"/>
      <c r="K93" s="61"/>
      <c r="L93" s="246">
        <f t="shared" si="29"/>
        <v>0</v>
      </c>
      <c r="M93" s="61"/>
      <c r="N93" s="61"/>
      <c r="O93" s="246">
        <f t="shared" si="30"/>
        <v>0</v>
      </c>
      <c r="P93" s="61"/>
      <c r="Q93" s="61"/>
      <c r="R93" s="61"/>
      <c r="S93" s="61"/>
      <c r="T93" s="61"/>
      <c r="U93" s="61"/>
      <c r="V93" s="61"/>
      <c r="W93" s="61"/>
      <c r="X93" s="246">
        <f t="shared" si="31"/>
        <v>0</v>
      </c>
      <c r="Y93" s="61"/>
      <c r="Z93" s="61"/>
      <c r="AA93" s="246">
        <f t="shared" si="32"/>
        <v>0</v>
      </c>
      <c r="AB93" s="61"/>
      <c r="AC93" s="61"/>
      <c r="AD93" s="246">
        <f t="shared" si="33"/>
        <v>0</v>
      </c>
      <c r="AE93" s="61"/>
      <c r="AF93" s="61"/>
      <c r="AG93" s="651">
        <f t="shared" si="34"/>
        <v>0</v>
      </c>
    </row>
    <row r="94" spans="1:33" ht="12.9" hidden="1" customHeight="1" x14ac:dyDescent="0.3">
      <c r="A94" s="103" t="s">
        <v>394</v>
      </c>
      <c r="B94" s="1124" t="s">
        <v>395</v>
      </c>
      <c r="C94" s="1125"/>
      <c r="D94" s="246">
        <f t="shared" si="25"/>
        <v>0</v>
      </c>
      <c r="E94" s="246">
        <f t="shared" si="26"/>
        <v>0</v>
      </c>
      <c r="F94" s="651">
        <f t="shared" si="27"/>
        <v>0</v>
      </c>
      <c r="G94" s="61"/>
      <c r="H94" s="61"/>
      <c r="I94" s="246">
        <f t="shared" si="28"/>
        <v>0</v>
      </c>
      <c r="J94" s="61"/>
      <c r="K94" s="61"/>
      <c r="L94" s="246">
        <f t="shared" si="29"/>
        <v>0</v>
      </c>
      <c r="M94" s="61"/>
      <c r="N94" s="61"/>
      <c r="O94" s="246">
        <f t="shared" si="30"/>
        <v>0</v>
      </c>
      <c r="P94" s="61"/>
      <c r="Q94" s="61"/>
      <c r="R94" s="61"/>
      <c r="S94" s="61"/>
      <c r="T94" s="61"/>
      <c r="U94" s="61"/>
      <c r="V94" s="61"/>
      <c r="W94" s="61"/>
      <c r="X94" s="246">
        <f t="shared" si="31"/>
        <v>0</v>
      </c>
      <c r="Y94" s="61"/>
      <c r="Z94" s="61"/>
      <c r="AA94" s="246">
        <f t="shared" si="32"/>
        <v>0</v>
      </c>
      <c r="AB94" s="61"/>
      <c r="AC94" s="61"/>
      <c r="AD94" s="246">
        <f t="shared" si="33"/>
        <v>0</v>
      </c>
      <c r="AE94" s="61"/>
      <c r="AF94" s="61"/>
      <c r="AG94" s="651">
        <f t="shared" si="34"/>
        <v>0</v>
      </c>
    </row>
    <row r="95" spans="1:33" ht="12.9" hidden="1" customHeight="1" x14ac:dyDescent="0.3">
      <c r="A95" s="103" t="s">
        <v>133</v>
      </c>
      <c r="B95" s="1124" t="s">
        <v>159</v>
      </c>
      <c r="C95" s="1125"/>
      <c r="D95" s="246">
        <f t="shared" si="25"/>
        <v>0</v>
      </c>
      <c r="E95" s="246">
        <f t="shared" si="26"/>
        <v>0</v>
      </c>
      <c r="F95" s="651">
        <f t="shared" si="27"/>
        <v>0</v>
      </c>
      <c r="G95" s="61"/>
      <c r="H95" s="61"/>
      <c r="I95" s="246">
        <f t="shared" si="28"/>
        <v>0</v>
      </c>
      <c r="J95" s="61"/>
      <c r="K95" s="61"/>
      <c r="L95" s="246">
        <f t="shared" si="29"/>
        <v>0</v>
      </c>
      <c r="M95" s="61"/>
      <c r="N95" s="61"/>
      <c r="O95" s="246">
        <f t="shared" si="30"/>
        <v>0</v>
      </c>
      <c r="P95" s="61"/>
      <c r="Q95" s="61"/>
      <c r="R95" s="61"/>
      <c r="S95" s="61"/>
      <c r="T95" s="61"/>
      <c r="U95" s="61"/>
      <c r="V95" s="61"/>
      <c r="W95" s="61"/>
      <c r="X95" s="246">
        <f t="shared" si="31"/>
        <v>0</v>
      </c>
      <c r="Y95" s="61"/>
      <c r="Z95" s="61"/>
      <c r="AA95" s="246">
        <f t="shared" si="32"/>
        <v>0</v>
      </c>
      <c r="AB95" s="61"/>
      <c r="AC95" s="61"/>
      <c r="AD95" s="246">
        <f t="shared" si="33"/>
        <v>0</v>
      </c>
      <c r="AE95" s="61"/>
      <c r="AF95" s="61"/>
      <c r="AG95" s="651">
        <f t="shared" si="34"/>
        <v>0</v>
      </c>
    </row>
    <row r="96" spans="1:33" s="44" customFormat="1" ht="12.9" hidden="1" customHeight="1" x14ac:dyDescent="0.25">
      <c r="A96" s="577" t="s">
        <v>134</v>
      </c>
      <c r="B96" s="1198" t="s">
        <v>158</v>
      </c>
      <c r="C96" s="1199"/>
      <c r="D96" s="246">
        <f t="shared" si="25"/>
        <v>0</v>
      </c>
      <c r="E96" s="246">
        <f t="shared" si="26"/>
        <v>0</v>
      </c>
      <c r="F96" s="651">
        <f t="shared" si="27"/>
        <v>0</v>
      </c>
      <c r="G96" s="246"/>
      <c r="H96" s="246"/>
      <c r="I96" s="246">
        <f t="shared" si="28"/>
        <v>0</v>
      </c>
      <c r="J96" s="246"/>
      <c r="K96" s="246"/>
      <c r="L96" s="246">
        <f t="shared" si="29"/>
        <v>0</v>
      </c>
      <c r="M96" s="246"/>
      <c r="N96" s="246"/>
      <c r="O96" s="246">
        <f t="shared" si="30"/>
        <v>0</v>
      </c>
      <c r="P96" s="246"/>
      <c r="Q96" s="246"/>
      <c r="R96" s="246"/>
      <c r="S96" s="246"/>
      <c r="T96" s="246"/>
      <c r="U96" s="246"/>
      <c r="V96" s="246"/>
      <c r="W96" s="246"/>
      <c r="X96" s="246">
        <f t="shared" si="31"/>
        <v>0</v>
      </c>
      <c r="Y96" s="246"/>
      <c r="Z96" s="246"/>
      <c r="AA96" s="246">
        <f t="shared" si="32"/>
        <v>0</v>
      </c>
      <c r="AB96" s="246"/>
      <c r="AC96" s="246"/>
      <c r="AD96" s="246">
        <f t="shared" si="33"/>
        <v>0</v>
      </c>
      <c r="AE96" s="246"/>
      <c r="AF96" s="246"/>
      <c r="AG96" s="651">
        <f t="shared" si="34"/>
        <v>0</v>
      </c>
    </row>
    <row r="97" spans="1:33" ht="12.9" hidden="1" customHeight="1" x14ac:dyDescent="0.3">
      <c r="A97" s="577"/>
      <c r="B97" s="574"/>
      <c r="C97" s="907"/>
      <c r="D97" s="246">
        <f t="shared" si="25"/>
        <v>0</v>
      </c>
      <c r="E97" s="246">
        <f t="shared" si="26"/>
        <v>0</v>
      </c>
      <c r="F97" s="651">
        <f t="shared" si="27"/>
        <v>0</v>
      </c>
      <c r="G97" s="61"/>
      <c r="H97" s="61"/>
      <c r="I97" s="246">
        <f t="shared" si="28"/>
        <v>0</v>
      </c>
      <c r="J97" s="61"/>
      <c r="K97" s="61"/>
      <c r="L97" s="246">
        <f t="shared" si="29"/>
        <v>0</v>
      </c>
      <c r="M97" s="61"/>
      <c r="N97" s="61"/>
      <c r="O97" s="246">
        <f t="shared" si="30"/>
        <v>0</v>
      </c>
      <c r="P97" s="61"/>
      <c r="Q97" s="61"/>
      <c r="R97" s="61"/>
      <c r="S97" s="61"/>
      <c r="T97" s="61"/>
      <c r="U97" s="61"/>
      <c r="V97" s="61"/>
      <c r="W97" s="61"/>
      <c r="X97" s="246">
        <f t="shared" si="31"/>
        <v>0</v>
      </c>
      <c r="Y97" s="61"/>
      <c r="Z97" s="61"/>
      <c r="AA97" s="246">
        <f t="shared" si="32"/>
        <v>0</v>
      </c>
      <c r="AB97" s="61"/>
      <c r="AC97" s="61"/>
      <c r="AD97" s="246">
        <f t="shared" si="33"/>
        <v>0</v>
      </c>
      <c r="AE97" s="61"/>
      <c r="AF97" s="61"/>
      <c r="AG97" s="651">
        <f t="shared" si="34"/>
        <v>0</v>
      </c>
    </row>
    <row r="98" spans="1:33" s="44" customFormat="1" ht="12.9" customHeight="1" x14ac:dyDescent="0.25">
      <c r="A98" s="898" t="s">
        <v>135</v>
      </c>
      <c r="B98" s="1111" t="s">
        <v>157</v>
      </c>
      <c r="C98" s="1084"/>
      <c r="D98" s="649">
        <f t="shared" si="25"/>
        <v>448017</v>
      </c>
      <c r="E98" s="58">
        <f t="shared" si="26"/>
        <v>28616</v>
      </c>
      <c r="F98" s="576">
        <f t="shared" si="27"/>
        <v>476633</v>
      </c>
      <c r="G98" s="649">
        <f t="shared" ref="G98:AF98" si="37">+G96+G91+G85+G75+G56+G36+G10+G8</f>
        <v>9883</v>
      </c>
      <c r="H98" s="58">
        <f t="shared" si="37"/>
        <v>0</v>
      </c>
      <c r="I98" s="58">
        <f t="shared" si="28"/>
        <v>9883</v>
      </c>
      <c r="J98" s="58">
        <f t="shared" si="37"/>
        <v>56909</v>
      </c>
      <c r="K98" s="58">
        <f t="shared" si="37"/>
        <v>330</v>
      </c>
      <c r="L98" s="58">
        <f t="shared" si="29"/>
        <v>57239</v>
      </c>
      <c r="M98" s="58">
        <f t="shared" si="37"/>
        <v>20229</v>
      </c>
      <c r="N98" s="58">
        <f t="shared" si="37"/>
        <v>0</v>
      </c>
      <c r="O98" s="58">
        <f t="shared" si="30"/>
        <v>20229</v>
      </c>
      <c r="P98" s="58">
        <f t="shared" si="37"/>
        <v>0</v>
      </c>
      <c r="Q98" s="58">
        <f t="shared" si="37"/>
        <v>0</v>
      </c>
      <c r="R98" s="58">
        <f t="shared" si="37"/>
        <v>0</v>
      </c>
      <c r="S98" s="58">
        <f t="shared" si="37"/>
        <v>0</v>
      </c>
      <c r="T98" s="58">
        <f t="shared" si="37"/>
        <v>0</v>
      </c>
      <c r="U98" s="58">
        <f t="shared" si="37"/>
        <v>0</v>
      </c>
      <c r="V98" s="58">
        <f t="shared" si="37"/>
        <v>9295</v>
      </c>
      <c r="W98" s="58">
        <f t="shared" si="37"/>
        <v>0</v>
      </c>
      <c r="X98" s="58">
        <f t="shared" si="31"/>
        <v>9295</v>
      </c>
      <c r="Y98" s="58">
        <f t="shared" si="37"/>
        <v>3743</v>
      </c>
      <c r="Z98" s="58">
        <f t="shared" si="37"/>
        <v>158</v>
      </c>
      <c r="AA98" s="58">
        <f t="shared" si="32"/>
        <v>3901</v>
      </c>
      <c r="AB98" s="58">
        <f>+AB75+AB36+AB10+AB8</f>
        <v>5560</v>
      </c>
      <c r="AC98" s="58">
        <f>+AC75+AC36+AC10+AC8</f>
        <v>0</v>
      </c>
      <c r="AD98" s="58">
        <f t="shared" si="33"/>
        <v>5560</v>
      </c>
      <c r="AE98" s="58">
        <f>+AE75+AE36+AE10+AE8</f>
        <v>342398</v>
      </c>
      <c r="AF98" s="58">
        <f t="shared" si="37"/>
        <v>28128</v>
      </c>
      <c r="AG98" s="576">
        <f t="shared" si="34"/>
        <v>370526</v>
      </c>
    </row>
    <row r="99" spans="1:33" ht="12.9" customHeight="1" x14ac:dyDescent="0.3">
      <c r="A99" s="104"/>
      <c r="C99" s="908"/>
      <c r="D99" s="246"/>
      <c r="E99" s="246"/>
      <c r="F99" s="651"/>
      <c r="I99" s="246"/>
      <c r="L99" s="246"/>
      <c r="O99" s="246"/>
      <c r="X99" s="246"/>
      <c r="AA99" s="246"/>
      <c r="AD99" s="246"/>
      <c r="AG99" s="651"/>
    </row>
    <row r="100" spans="1:33" ht="12.9" hidden="1" customHeight="1" x14ac:dyDescent="0.3">
      <c r="A100" s="980" t="s">
        <v>268</v>
      </c>
      <c r="B100" s="1194" t="s">
        <v>267</v>
      </c>
      <c r="C100" s="1195"/>
      <c r="D100" s="246">
        <f t="shared" si="25"/>
        <v>0</v>
      </c>
      <c r="E100" s="246">
        <f t="shared" si="26"/>
        <v>0</v>
      </c>
      <c r="F100" s="651">
        <f t="shared" si="27"/>
        <v>0</v>
      </c>
      <c r="I100" s="246">
        <f t="shared" si="28"/>
        <v>0</v>
      </c>
      <c r="L100" s="246">
        <f t="shared" si="29"/>
        <v>0</v>
      </c>
      <c r="O100" s="246">
        <f t="shared" si="30"/>
        <v>0</v>
      </c>
      <c r="X100" s="246">
        <f t="shared" si="31"/>
        <v>0</v>
      </c>
      <c r="AA100" s="246">
        <f t="shared" si="32"/>
        <v>0</v>
      </c>
      <c r="AD100" s="246">
        <f t="shared" si="33"/>
        <v>0</v>
      </c>
      <c r="AG100" s="651">
        <f t="shared" si="34"/>
        <v>0</v>
      </c>
    </row>
    <row r="101" spans="1:33" ht="12.9" hidden="1" customHeight="1" x14ac:dyDescent="0.3">
      <c r="A101" s="980" t="s">
        <v>374</v>
      </c>
      <c r="B101" s="1194" t="s">
        <v>377</v>
      </c>
      <c r="C101" s="1195"/>
      <c r="D101" s="246">
        <f t="shared" si="25"/>
        <v>0</v>
      </c>
      <c r="E101" s="246">
        <f t="shared" si="26"/>
        <v>0</v>
      </c>
      <c r="F101" s="651">
        <f t="shared" si="27"/>
        <v>0</v>
      </c>
      <c r="I101" s="246">
        <f t="shared" si="28"/>
        <v>0</v>
      </c>
      <c r="L101" s="246">
        <f t="shared" si="29"/>
        <v>0</v>
      </c>
      <c r="O101" s="246">
        <f t="shared" si="30"/>
        <v>0</v>
      </c>
      <c r="X101" s="246">
        <f t="shared" si="31"/>
        <v>0</v>
      </c>
      <c r="AA101" s="246">
        <f t="shared" si="32"/>
        <v>0</v>
      </c>
      <c r="AD101" s="246">
        <f t="shared" si="33"/>
        <v>0</v>
      </c>
      <c r="AG101" s="651">
        <f t="shared" si="34"/>
        <v>0</v>
      </c>
    </row>
    <row r="102" spans="1:33" ht="12.9" hidden="1" customHeight="1" x14ac:dyDescent="0.3">
      <c r="A102" s="980" t="s">
        <v>375</v>
      </c>
      <c r="B102" s="1194" t="s">
        <v>376</v>
      </c>
      <c r="C102" s="1195"/>
      <c r="D102" s="246">
        <f t="shared" si="25"/>
        <v>0</v>
      </c>
      <c r="E102" s="246">
        <f t="shared" si="26"/>
        <v>0</v>
      </c>
      <c r="F102" s="651">
        <f t="shared" si="27"/>
        <v>0</v>
      </c>
      <c r="I102" s="246">
        <f t="shared" si="28"/>
        <v>0</v>
      </c>
      <c r="L102" s="246">
        <f t="shared" si="29"/>
        <v>0</v>
      </c>
      <c r="O102" s="246">
        <f t="shared" si="30"/>
        <v>0</v>
      </c>
      <c r="X102" s="246">
        <f t="shared" si="31"/>
        <v>0</v>
      </c>
      <c r="AA102" s="246">
        <f t="shared" si="32"/>
        <v>0</v>
      </c>
      <c r="AD102" s="246">
        <f t="shared" si="33"/>
        <v>0</v>
      </c>
      <c r="AG102" s="651">
        <f t="shared" si="34"/>
        <v>0</v>
      </c>
    </row>
    <row r="103" spans="1:33" s="44" customFormat="1" ht="12.9" customHeight="1" x14ac:dyDescent="0.25">
      <c r="A103" s="981" t="s">
        <v>270</v>
      </c>
      <c r="B103" s="1196" t="s">
        <v>269</v>
      </c>
      <c r="C103" s="1197"/>
      <c r="D103" s="649">
        <f t="shared" si="25"/>
        <v>0</v>
      </c>
      <c r="E103" s="58">
        <f t="shared" si="26"/>
        <v>0</v>
      </c>
      <c r="F103" s="576">
        <f t="shared" si="27"/>
        <v>0</v>
      </c>
      <c r="G103" s="986"/>
      <c r="H103" s="45"/>
      <c r="I103" s="58">
        <f t="shared" si="28"/>
        <v>0</v>
      </c>
      <c r="J103" s="45"/>
      <c r="K103" s="45"/>
      <c r="L103" s="58">
        <f t="shared" si="29"/>
        <v>0</v>
      </c>
      <c r="M103" s="45"/>
      <c r="N103" s="45"/>
      <c r="O103" s="58">
        <f t="shared" si="30"/>
        <v>0</v>
      </c>
      <c r="P103" s="45">
        <f t="shared" ref="P103:AE103" si="38">SUM(P100:P102)</f>
        <v>0</v>
      </c>
      <c r="Q103" s="45">
        <f t="shared" si="38"/>
        <v>0</v>
      </c>
      <c r="R103" s="45">
        <f t="shared" si="38"/>
        <v>0</v>
      </c>
      <c r="S103" s="45">
        <f t="shared" si="38"/>
        <v>0</v>
      </c>
      <c r="T103" s="45">
        <f t="shared" si="38"/>
        <v>0</v>
      </c>
      <c r="U103" s="45">
        <f t="shared" si="38"/>
        <v>0</v>
      </c>
      <c r="V103" s="45">
        <f t="shared" si="38"/>
        <v>0</v>
      </c>
      <c r="W103" s="45">
        <f t="shared" si="38"/>
        <v>0</v>
      </c>
      <c r="X103" s="58">
        <f t="shared" si="31"/>
        <v>0</v>
      </c>
      <c r="Y103" s="45"/>
      <c r="Z103" s="45"/>
      <c r="AA103" s="58">
        <f t="shared" si="32"/>
        <v>0</v>
      </c>
      <c r="AB103" s="45"/>
      <c r="AC103" s="45"/>
      <c r="AD103" s="58">
        <f t="shared" si="33"/>
        <v>0</v>
      </c>
      <c r="AE103" s="45">
        <f t="shared" si="38"/>
        <v>0</v>
      </c>
      <c r="AF103" s="45">
        <f>SUM(AF100:AF102)</f>
        <v>0</v>
      </c>
      <c r="AG103" s="576">
        <f t="shared" si="34"/>
        <v>0</v>
      </c>
    </row>
    <row r="104" spans="1:33" s="44" customFormat="1" ht="12.9" customHeight="1" x14ac:dyDescent="0.25">
      <c r="A104" s="981" t="s">
        <v>900</v>
      </c>
      <c r="B104" s="1196" t="s">
        <v>901</v>
      </c>
      <c r="C104" s="1197"/>
      <c r="D104" s="649">
        <f t="shared" si="25"/>
        <v>0</v>
      </c>
      <c r="E104" s="58">
        <f t="shared" si="26"/>
        <v>850000</v>
      </c>
      <c r="F104" s="576">
        <f t="shared" si="27"/>
        <v>850000</v>
      </c>
      <c r="G104" s="986"/>
      <c r="H104" s="45"/>
      <c r="I104" s="58">
        <f t="shared" si="28"/>
        <v>0</v>
      </c>
      <c r="J104" s="45"/>
      <c r="K104" s="45"/>
      <c r="L104" s="58">
        <f t="shared" si="29"/>
        <v>0</v>
      </c>
      <c r="M104" s="45"/>
      <c r="N104" s="45"/>
      <c r="O104" s="58">
        <f t="shared" si="30"/>
        <v>0</v>
      </c>
      <c r="P104" s="45"/>
      <c r="Q104" s="45"/>
      <c r="R104" s="45"/>
      <c r="S104" s="45"/>
      <c r="T104" s="45"/>
      <c r="U104" s="45"/>
      <c r="V104" s="45"/>
      <c r="W104" s="45"/>
      <c r="X104" s="58">
        <f t="shared" si="31"/>
        <v>0</v>
      </c>
      <c r="Y104" s="45"/>
      <c r="Z104" s="45"/>
      <c r="AA104" s="58">
        <f t="shared" si="32"/>
        <v>0</v>
      </c>
      <c r="AB104" s="45"/>
      <c r="AC104" s="45"/>
      <c r="AD104" s="58">
        <f t="shared" si="33"/>
        <v>0</v>
      </c>
      <c r="AE104" s="45"/>
      <c r="AF104" s="45">
        <v>850000</v>
      </c>
      <c r="AG104" s="576">
        <f t="shared" si="34"/>
        <v>850000</v>
      </c>
    </row>
    <row r="105" spans="1:33" s="44" customFormat="1" ht="12.9" customHeight="1" x14ac:dyDescent="0.25">
      <c r="A105" s="981" t="s">
        <v>897</v>
      </c>
      <c r="B105" s="1196" t="s">
        <v>898</v>
      </c>
      <c r="C105" s="1197"/>
      <c r="D105" s="649">
        <f t="shared" si="25"/>
        <v>0</v>
      </c>
      <c r="E105" s="58">
        <f t="shared" si="26"/>
        <v>16154</v>
      </c>
      <c r="F105" s="576">
        <f t="shared" si="27"/>
        <v>16154</v>
      </c>
      <c r="G105" s="986"/>
      <c r="H105" s="45"/>
      <c r="I105" s="58">
        <f t="shared" si="28"/>
        <v>0</v>
      </c>
      <c r="J105" s="45"/>
      <c r="K105" s="45"/>
      <c r="L105" s="58">
        <f t="shared" si="29"/>
        <v>0</v>
      </c>
      <c r="M105" s="45"/>
      <c r="N105" s="45"/>
      <c r="O105" s="58">
        <f t="shared" si="30"/>
        <v>0</v>
      </c>
      <c r="P105" s="45"/>
      <c r="Q105" s="45"/>
      <c r="R105" s="45"/>
      <c r="S105" s="45"/>
      <c r="T105" s="45"/>
      <c r="U105" s="45"/>
      <c r="V105" s="45"/>
      <c r="W105" s="45"/>
      <c r="X105" s="58">
        <f t="shared" si="31"/>
        <v>0</v>
      </c>
      <c r="Y105" s="45"/>
      <c r="Z105" s="45"/>
      <c r="AA105" s="58">
        <f t="shared" si="32"/>
        <v>0</v>
      </c>
      <c r="AB105" s="45"/>
      <c r="AC105" s="45"/>
      <c r="AD105" s="58">
        <f t="shared" si="33"/>
        <v>0</v>
      </c>
      <c r="AE105" s="45"/>
      <c r="AF105" s="45">
        <v>16154</v>
      </c>
      <c r="AG105" s="576">
        <f t="shared" si="34"/>
        <v>16154</v>
      </c>
    </row>
    <row r="106" spans="1:33" s="44" customFormat="1" ht="12.9" customHeight="1" x14ac:dyDescent="0.25">
      <c r="A106" s="981" t="s">
        <v>378</v>
      </c>
      <c r="B106" s="1196" t="s">
        <v>379</v>
      </c>
      <c r="C106" s="1197"/>
      <c r="D106" s="649">
        <f t="shared" si="25"/>
        <v>447990</v>
      </c>
      <c r="E106" s="58">
        <f t="shared" si="26"/>
        <v>2818</v>
      </c>
      <c r="F106" s="576">
        <f t="shared" si="27"/>
        <v>450808</v>
      </c>
      <c r="G106" s="986"/>
      <c r="H106" s="45"/>
      <c r="I106" s="58">
        <f t="shared" si="28"/>
        <v>0</v>
      </c>
      <c r="J106" s="45"/>
      <c r="K106" s="45"/>
      <c r="L106" s="58">
        <f t="shared" si="29"/>
        <v>0</v>
      </c>
      <c r="M106" s="45"/>
      <c r="N106" s="45"/>
      <c r="O106" s="58">
        <f t="shared" si="30"/>
        <v>0</v>
      </c>
      <c r="P106" s="45"/>
      <c r="Q106" s="45"/>
      <c r="R106" s="45"/>
      <c r="S106" s="45"/>
      <c r="T106" s="45"/>
      <c r="U106" s="45"/>
      <c r="V106" s="45"/>
      <c r="W106" s="45"/>
      <c r="X106" s="58">
        <f t="shared" si="31"/>
        <v>0</v>
      </c>
      <c r="Y106" s="45"/>
      <c r="Z106" s="45"/>
      <c r="AA106" s="58">
        <f t="shared" si="32"/>
        <v>0</v>
      </c>
      <c r="AB106" s="45"/>
      <c r="AC106" s="45"/>
      <c r="AD106" s="58">
        <f t="shared" si="33"/>
        <v>0</v>
      </c>
      <c r="AE106" s="45">
        <f>450258-2268</f>
        <v>447990</v>
      </c>
      <c r="AF106" s="45">
        <f>564+309+94+48+1803</f>
        <v>2818</v>
      </c>
      <c r="AG106" s="576">
        <f t="shared" si="34"/>
        <v>450808</v>
      </c>
    </row>
    <row r="107" spans="1:33" s="44" customFormat="1" ht="12.9" customHeight="1" thickBot="1" x14ac:dyDescent="0.3">
      <c r="A107" s="982" t="s">
        <v>271</v>
      </c>
      <c r="B107" s="983" t="s">
        <v>277</v>
      </c>
      <c r="C107" s="992"/>
      <c r="D107" s="909">
        <f t="shared" si="25"/>
        <v>447990</v>
      </c>
      <c r="E107" s="901">
        <f t="shared" si="26"/>
        <v>868972</v>
      </c>
      <c r="F107" s="903">
        <f t="shared" si="27"/>
        <v>1316962</v>
      </c>
      <c r="G107" s="987"/>
      <c r="H107" s="984"/>
      <c r="I107" s="901">
        <f t="shared" si="28"/>
        <v>0</v>
      </c>
      <c r="J107" s="984"/>
      <c r="K107" s="984"/>
      <c r="L107" s="901">
        <f t="shared" si="29"/>
        <v>0</v>
      </c>
      <c r="M107" s="984"/>
      <c r="N107" s="984"/>
      <c r="O107" s="901">
        <f t="shared" si="30"/>
        <v>0</v>
      </c>
      <c r="P107" s="984">
        <f t="shared" ref="P107:Z107" si="39">+P106+P103</f>
        <v>0</v>
      </c>
      <c r="Q107" s="984">
        <f t="shared" si="39"/>
        <v>0</v>
      </c>
      <c r="R107" s="984">
        <f t="shared" si="39"/>
        <v>0</v>
      </c>
      <c r="S107" s="984">
        <f t="shared" si="39"/>
        <v>0</v>
      </c>
      <c r="T107" s="984">
        <f t="shared" si="39"/>
        <v>0</v>
      </c>
      <c r="U107" s="984">
        <f t="shared" si="39"/>
        <v>0</v>
      </c>
      <c r="V107" s="984">
        <f t="shared" si="39"/>
        <v>0</v>
      </c>
      <c r="W107" s="984">
        <f t="shared" si="39"/>
        <v>0</v>
      </c>
      <c r="X107" s="901">
        <f t="shared" si="31"/>
        <v>0</v>
      </c>
      <c r="Y107" s="984">
        <f t="shared" si="39"/>
        <v>0</v>
      </c>
      <c r="Z107" s="984">
        <f t="shared" si="39"/>
        <v>0</v>
      </c>
      <c r="AA107" s="901">
        <f t="shared" si="32"/>
        <v>0</v>
      </c>
      <c r="AB107" s="984"/>
      <c r="AC107" s="984"/>
      <c r="AD107" s="901">
        <f t="shared" si="33"/>
        <v>0</v>
      </c>
      <c r="AE107" s="984">
        <f>+AE106+AE103+AE104+AE105</f>
        <v>447990</v>
      </c>
      <c r="AF107" s="984">
        <f t="shared" ref="AF107:AG107" si="40">+AF106+AF103+AF104+AF105</f>
        <v>868972</v>
      </c>
      <c r="AG107" s="984">
        <f t="shared" si="40"/>
        <v>1316962</v>
      </c>
    </row>
  </sheetData>
  <mergeCells count="95"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65" fitToWidth="2" orientation="landscape" r:id="rId1"/>
  <headerFooter>
    <oddHeader>&amp;C&amp;"Times New Roman,Félkövér"&amp;12Martonvásár Város Önkormányzatának kiadásai 2017.
Egyéb tevékenység&amp;R&amp;"Times New Roman,Félkövér"&amp;10 5/g. melléklet</oddHeader>
  </headerFooter>
  <colBreaks count="1" manualBreakCount="1">
    <brk id="21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topLeftCell="A42" zoomScaleNormal="100" workbookViewId="0">
      <selection activeCell="N42" sqref="N42:N43"/>
    </sheetView>
  </sheetViews>
  <sheetFormatPr defaultRowHeight="14.4" x14ac:dyDescent="0.3"/>
  <cols>
    <col min="1" max="1" width="6.88671875" customWidth="1"/>
    <col min="2" max="2" width="5" customWidth="1"/>
    <col min="3" max="3" width="37" customWidth="1"/>
  </cols>
  <sheetData>
    <row r="2" spans="1:15" ht="29.25" customHeight="1" x14ac:dyDescent="0.3">
      <c r="A2" s="1110" t="s">
        <v>0</v>
      </c>
      <c r="B2" s="1207" t="s">
        <v>283</v>
      </c>
      <c r="C2" s="1208"/>
      <c r="D2" s="1204" t="s">
        <v>301</v>
      </c>
      <c r="E2" s="1204"/>
      <c r="F2" s="1204"/>
      <c r="G2" s="1204" t="s">
        <v>292</v>
      </c>
      <c r="H2" s="1204"/>
      <c r="I2" s="1204"/>
      <c r="J2" s="1204" t="s">
        <v>293</v>
      </c>
      <c r="K2" s="1204"/>
      <c r="L2" s="1204"/>
      <c r="M2" s="1204" t="s">
        <v>294</v>
      </c>
      <c r="N2" s="1204"/>
      <c r="O2" s="1204"/>
    </row>
    <row r="3" spans="1:15" ht="26.4" x14ac:dyDescent="0.3">
      <c r="A3" s="1110"/>
      <c r="B3" s="1209"/>
      <c r="C3" s="1210"/>
      <c r="D3" s="890" t="s">
        <v>177</v>
      </c>
      <c r="E3" s="890" t="s">
        <v>792</v>
      </c>
      <c r="F3" s="890" t="s">
        <v>795</v>
      </c>
      <c r="G3" s="890" t="s">
        <v>177</v>
      </c>
      <c r="H3" s="890" t="s">
        <v>792</v>
      </c>
      <c r="I3" s="890" t="s">
        <v>795</v>
      </c>
      <c r="J3" s="890" t="s">
        <v>177</v>
      </c>
      <c r="K3" s="890" t="s">
        <v>792</v>
      </c>
      <c r="L3" s="890" t="s">
        <v>795</v>
      </c>
      <c r="M3" s="890" t="s">
        <v>177</v>
      </c>
      <c r="N3" s="890" t="s">
        <v>792</v>
      </c>
      <c r="O3" s="890" t="s">
        <v>795</v>
      </c>
    </row>
    <row r="4" spans="1:15" s="164" customFormat="1" ht="24" customHeight="1" x14ac:dyDescent="0.3">
      <c r="A4" s="380" t="s">
        <v>206</v>
      </c>
      <c r="B4" s="1211" t="s">
        <v>205</v>
      </c>
      <c r="C4" s="1212"/>
      <c r="D4" s="506">
        <f>+G4+J4+M4</f>
        <v>0</v>
      </c>
      <c r="E4" s="506">
        <f t="shared" ref="E4:F19" si="0">+H4+K4+N4</f>
        <v>1174</v>
      </c>
      <c r="F4" s="506">
        <f t="shared" si="0"/>
        <v>1174</v>
      </c>
      <c r="G4" s="96">
        <v>0</v>
      </c>
      <c r="H4" s="96">
        <v>1174</v>
      </c>
      <c r="I4" s="96">
        <f>+H4+G4</f>
        <v>1174</v>
      </c>
      <c r="J4" s="96">
        <f>SUM(J5:J14)</f>
        <v>0</v>
      </c>
      <c r="K4" s="96"/>
      <c r="L4" s="96">
        <f>+K4+J4</f>
        <v>0</v>
      </c>
      <c r="M4" s="96">
        <f>SUM(M5:M14)</f>
        <v>0</v>
      </c>
      <c r="N4" s="96"/>
      <c r="O4" s="65">
        <f>+N4+M4</f>
        <v>0</v>
      </c>
    </row>
    <row r="5" spans="1:15" s="1032" customFormat="1" hidden="1" x14ac:dyDescent="0.3">
      <c r="A5" s="95"/>
      <c r="B5" s="1205" t="s">
        <v>334</v>
      </c>
      <c r="C5" s="1206"/>
      <c r="D5" s="1028">
        <f t="shared" ref="D5:F49" si="1">+G5+J5+M5</f>
        <v>0</v>
      </c>
      <c r="E5" s="1029">
        <f t="shared" si="0"/>
        <v>0</v>
      </c>
      <c r="F5" s="1029">
        <f t="shared" si="0"/>
        <v>0</v>
      </c>
      <c r="G5" s="1030"/>
      <c r="H5" s="1030"/>
      <c r="I5" s="1030"/>
      <c r="J5" s="1030"/>
      <c r="K5" s="1030"/>
      <c r="L5" s="1030">
        <f t="shared" ref="L5:L49" si="2">+K5+J5</f>
        <v>0</v>
      </c>
      <c r="M5" s="1030"/>
      <c r="N5" s="1030"/>
      <c r="O5" s="1031">
        <f t="shared" ref="O5:O41" si="3">+N5+M5</f>
        <v>0</v>
      </c>
    </row>
    <row r="6" spans="1:15" s="1032" customFormat="1" hidden="1" x14ac:dyDescent="0.3">
      <c r="A6" s="95"/>
      <c r="B6" s="1205" t="s">
        <v>324</v>
      </c>
      <c r="C6" s="1206"/>
      <c r="D6" s="1028">
        <f t="shared" si="1"/>
        <v>0</v>
      </c>
      <c r="E6" s="1029">
        <f t="shared" si="0"/>
        <v>0</v>
      </c>
      <c r="F6" s="1029">
        <f t="shared" si="0"/>
        <v>0</v>
      </c>
      <c r="G6" s="1030"/>
      <c r="H6" s="1030"/>
      <c r="I6" s="1030"/>
      <c r="J6" s="1030"/>
      <c r="K6" s="1030"/>
      <c r="L6" s="1030">
        <f t="shared" si="2"/>
        <v>0</v>
      </c>
      <c r="M6" s="1030"/>
      <c r="N6" s="1030"/>
      <c r="O6" s="1031">
        <f t="shared" si="3"/>
        <v>0</v>
      </c>
    </row>
    <row r="7" spans="1:15" s="1032" customFormat="1" hidden="1" x14ac:dyDescent="0.3">
      <c r="A7" s="95"/>
      <c r="B7" s="1205" t="s">
        <v>325</v>
      </c>
      <c r="C7" s="1206"/>
      <c r="D7" s="1028">
        <f t="shared" si="1"/>
        <v>0</v>
      </c>
      <c r="E7" s="1029">
        <f t="shared" si="0"/>
        <v>0</v>
      </c>
      <c r="F7" s="1029">
        <f t="shared" si="0"/>
        <v>0</v>
      </c>
      <c r="G7" s="1030"/>
      <c r="H7" s="1030"/>
      <c r="I7" s="1030"/>
      <c r="J7" s="1030"/>
      <c r="K7" s="1030"/>
      <c r="L7" s="1030">
        <f t="shared" si="2"/>
        <v>0</v>
      </c>
      <c r="M7" s="1030"/>
      <c r="N7" s="1030"/>
      <c r="O7" s="1031">
        <f t="shared" si="3"/>
        <v>0</v>
      </c>
    </row>
    <row r="8" spans="1:15" s="1032" customFormat="1" hidden="1" x14ac:dyDescent="0.3">
      <c r="A8" s="95"/>
      <c r="B8" s="1205" t="s">
        <v>326</v>
      </c>
      <c r="C8" s="1206"/>
      <c r="D8" s="1028">
        <f t="shared" si="1"/>
        <v>0</v>
      </c>
      <c r="E8" s="1029">
        <f t="shared" si="0"/>
        <v>0</v>
      </c>
      <c r="F8" s="1029">
        <f t="shared" si="0"/>
        <v>0</v>
      </c>
      <c r="G8" s="1030"/>
      <c r="H8" s="1030"/>
      <c r="I8" s="1030"/>
      <c r="J8" s="1030"/>
      <c r="K8" s="1030"/>
      <c r="L8" s="1030">
        <f t="shared" si="2"/>
        <v>0</v>
      </c>
      <c r="M8" s="1030"/>
      <c r="N8" s="1030"/>
      <c r="O8" s="1031">
        <f t="shared" si="3"/>
        <v>0</v>
      </c>
    </row>
    <row r="9" spans="1:15" s="1032" customFormat="1" hidden="1" x14ac:dyDescent="0.3">
      <c r="A9" s="95"/>
      <c r="B9" s="1205" t="s">
        <v>327</v>
      </c>
      <c r="C9" s="1206"/>
      <c r="D9" s="1028">
        <f t="shared" si="1"/>
        <v>0</v>
      </c>
      <c r="E9" s="1029">
        <f t="shared" si="0"/>
        <v>0</v>
      </c>
      <c r="F9" s="1029">
        <f t="shared" si="0"/>
        <v>0</v>
      </c>
      <c r="G9" s="1030"/>
      <c r="H9" s="1030"/>
      <c r="I9" s="1030"/>
      <c r="J9" s="1030"/>
      <c r="K9" s="1030"/>
      <c r="L9" s="1030">
        <f t="shared" si="2"/>
        <v>0</v>
      </c>
      <c r="M9" s="1030"/>
      <c r="N9" s="1030"/>
      <c r="O9" s="1031">
        <f t="shared" si="3"/>
        <v>0</v>
      </c>
    </row>
    <row r="10" spans="1:15" s="1032" customFormat="1" hidden="1" x14ac:dyDescent="0.3">
      <c r="A10" s="95"/>
      <c r="B10" s="1205" t="s">
        <v>328</v>
      </c>
      <c r="C10" s="1206"/>
      <c r="D10" s="1028">
        <f t="shared" si="1"/>
        <v>0</v>
      </c>
      <c r="E10" s="1029">
        <f t="shared" si="0"/>
        <v>0</v>
      </c>
      <c r="F10" s="1029">
        <f t="shared" si="0"/>
        <v>0</v>
      </c>
      <c r="G10" s="1030"/>
      <c r="H10" s="1030"/>
      <c r="I10" s="1030"/>
      <c r="J10" s="1030"/>
      <c r="K10" s="1030"/>
      <c r="L10" s="1030">
        <f t="shared" si="2"/>
        <v>0</v>
      </c>
      <c r="M10" s="1030"/>
      <c r="N10" s="1030"/>
      <c r="O10" s="1031">
        <f t="shared" si="3"/>
        <v>0</v>
      </c>
    </row>
    <row r="11" spans="1:15" s="1032" customFormat="1" hidden="1" x14ac:dyDescent="0.3">
      <c r="A11" s="95"/>
      <c r="B11" s="1205" t="s">
        <v>99</v>
      </c>
      <c r="C11" s="1206"/>
      <c r="D11" s="1028">
        <f t="shared" si="1"/>
        <v>0</v>
      </c>
      <c r="E11" s="1029">
        <f t="shared" si="0"/>
        <v>0</v>
      </c>
      <c r="F11" s="1029">
        <f t="shared" si="0"/>
        <v>0</v>
      </c>
      <c r="G11" s="1030"/>
      <c r="H11" s="1030"/>
      <c r="I11" s="1030"/>
      <c r="J11" s="1030"/>
      <c r="K11" s="1030"/>
      <c r="L11" s="1030">
        <f t="shared" si="2"/>
        <v>0</v>
      </c>
      <c r="M11" s="1030"/>
      <c r="N11" s="1030"/>
      <c r="O11" s="1031">
        <f t="shared" si="3"/>
        <v>0</v>
      </c>
    </row>
    <row r="12" spans="1:15" s="1032" customFormat="1" hidden="1" x14ac:dyDescent="0.3">
      <c r="A12" s="95"/>
      <c r="B12" s="1205" t="s">
        <v>100</v>
      </c>
      <c r="C12" s="1206"/>
      <c r="D12" s="1028">
        <f t="shared" si="1"/>
        <v>0</v>
      </c>
      <c r="E12" s="1029">
        <f t="shared" si="0"/>
        <v>0</v>
      </c>
      <c r="F12" s="1029">
        <f t="shared" si="0"/>
        <v>0</v>
      </c>
      <c r="G12" s="1030"/>
      <c r="H12" s="1030"/>
      <c r="I12" s="1030"/>
      <c r="J12" s="1030"/>
      <c r="K12" s="1030"/>
      <c r="L12" s="1030">
        <f t="shared" si="2"/>
        <v>0</v>
      </c>
      <c r="M12" s="1030"/>
      <c r="N12" s="1030"/>
      <c r="O12" s="1031">
        <f t="shared" si="3"/>
        <v>0</v>
      </c>
    </row>
    <row r="13" spans="1:15" s="1032" customFormat="1" hidden="1" x14ac:dyDescent="0.3">
      <c r="A13" s="95"/>
      <c r="B13" s="1205" t="s">
        <v>329</v>
      </c>
      <c r="C13" s="1206"/>
      <c r="D13" s="1028">
        <f t="shared" si="1"/>
        <v>0</v>
      </c>
      <c r="E13" s="1029">
        <f t="shared" si="0"/>
        <v>0</v>
      </c>
      <c r="F13" s="1029">
        <f t="shared" si="0"/>
        <v>0</v>
      </c>
      <c r="G13" s="1030"/>
      <c r="H13" s="1030"/>
      <c r="I13" s="1030"/>
      <c r="J13" s="1030"/>
      <c r="K13" s="1030"/>
      <c r="L13" s="1030">
        <f t="shared" si="2"/>
        <v>0</v>
      </c>
      <c r="M13" s="1030"/>
      <c r="N13" s="1030"/>
      <c r="O13" s="1031">
        <f t="shared" si="3"/>
        <v>0</v>
      </c>
    </row>
    <row r="14" spans="1:15" s="1032" customFormat="1" hidden="1" x14ac:dyDescent="0.3">
      <c r="A14" s="95"/>
      <c r="B14" s="1205" t="s">
        <v>330</v>
      </c>
      <c r="C14" s="1206"/>
      <c r="D14" s="1028">
        <f t="shared" si="1"/>
        <v>0</v>
      </c>
      <c r="E14" s="1029">
        <f t="shared" si="0"/>
        <v>0</v>
      </c>
      <c r="F14" s="1029">
        <f t="shared" si="0"/>
        <v>0</v>
      </c>
      <c r="G14" s="1030"/>
      <c r="H14" s="1030"/>
      <c r="I14" s="1030"/>
      <c r="J14" s="1030"/>
      <c r="K14" s="1030"/>
      <c r="L14" s="1030">
        <f t="shared" si="2"/>
        <v>0</v>
      </c>
      <c r="M14" s="1030"/>
      <c r="N14" s="1030"/>
      <c r="O14" s="1031">
        <f t="shared" si="3"/>
        <v>0</v>
      </c>
    </row>
    <row r="15" spans="1:15" s="1032" customFormat="1" x14ac:dyDescent="0.3">
      <c r="A15" s="68" t="s">
        <v>207</v>
      </c>
      <c r="B15" s="1213" t="s">
        <v>410</v>
      </c>
      <c r="C15" s="1214"/>
      <c r="D15" s="1033">
        <f t="shared" si="1"/>
        <v>0</v>
      </c>
      <c r="E15" s="1033">
        <f t="shared" si="0"/>
        <v>1174</v>
      </c>
      <c r="F15" s="1033">
        <f t="shared" si="0"/>
        <v>1174</v>
      </c>
      <c r="G15" s="1034">
        <f>+G4</f>
        <v>0</v>
      </c>
      <c r="H15" s="1034">
        <f t="shared" ref="H15:I15" si="4">+H4</f>
        <v>1174</v>
      </c>
      <c r="I15" s="1034">
        <f t="shared" si="4"/>
        <v>1174</v>
      </c>
      <c r="J15" s="1034">
        <f>+J4</f>
        <v>0</v>
      </c>
      <c r="K15" s="1034"/>
      <c r="L15" s="1034">
        <f t="shared" si="2"/>
        <v>0</v>
      </c>
      <c r="M15" s="1034">
        <f>+M4</f>
        <v>0</v>
      </c>
      <c r="N15" s="1034"/>
      <c r="O15" s="1031">
        <f t="shared" si="3"/>
        <v>0</v>
      </c>
    </row>
    <row r="16" spans="1:15" s="1032" customFormat="1" x14ac:dyDescent="0.3">
      <c r="A16" s="67" t="s">
        <v>209</v>
      </c>
      <c r="B16" s="1215" t="s">
        <v>208</v>
      </c>
      <c r="C16" s="1216"/>
      <c r="D16" s="1028">
        <f t="shared" si="1"/>
        <v>0</v>
      </c>
      <c r="E16" s="1028">
        <f t="shared" si="0"/>
        <v>0</v>
      </c>
      <c r="F16" s="1028">
        <f t="shared" si="0"/>
        <v>0</v>
      </c>
      <c r="G16" s="1035">
        <v>0</v>
      </c>
      <c r="H16" s="1035"/>
      <c r="I16" s="1035">
        <f>+H16+G16</f>
        <v>0</v>
      </c>
      <c r="J16" s="1035">
        <f>+J19</f>
        <v>0</v>
      </c>
      <c r="K16" s="1035"/>
      <c r="L16" s="1035">
        <f t="shared" si="2"/>
        <v>0</v>
      </c>
      <c r="M16" s="1035">
        <f>+M19</f>
        <v>0</v>
      </c>
      <c r="N16" s="1035"/>
      <c r="O16" s="1031">
        <f t="shared" si="3"/>
        <v>0</v>
      </c>
    </row>
    <row r="17" spans="1:15" s="1032" customFormat="1" hidden="1" x14ac:dyDescent="0.3">
      <c r="A17" s="95"/>
      <c r="B17" s="1205" t="s">
        <v>334</v>
      </c>
      <c r="C17" s="1206"/>
      <c r="D17" s="1028">
        <f t="shared" si="1"/>
        <v>0</v>
      </c>
      <c r="E17" s="1029">
        <f t="shared" si="0"/>
        <v>0</v>
      </c>
      <c r="F17" s="1029">
        <f t="shared" si="0"/>
        <v>0</v>
      </c>
      <c r="G17" s="1030"/>
      <c r="H17" s="1030"/>
      <c r="I17" s="1035">
        <f t="shared" ref="I17:I41" si="5">+H17+G17</f>
        <v>0</v>
      </c>
      <c r="J17" s="1030"/>
      <c r="K17" s="1030"/>
      <c r="L17" s="1030">
        <f t="shared" si="2"/>
        <v>0</v>
      </c>
      <c r="M17" s="1030"/>
      <c r="N17" s="1030"/>
      <c r="O17" s="1031">
        <f t="shared" si="3"/>
        <v>0</v>
      </c>
    </row>
    <row r="18" spans="1:15" s="1032" customFormat="1" hidden="1" x14ac:dyDescent="0.3">
      <c r="A18" s="95"/>
      <c r="B18" s="1205" t="s">
        <v>324</v>
      </c>
      <c r="C18" s="1206"/>
      <c r="D18" s="1028">
        <f t="shared" si="1"/>
        <v>0</v>
      </c>
      <c r="E18" s="1029">
        <f t="shared" si="0"/>
        <v>0</v>
      </c>
      <c r="F18" s="1029">
        <f t="shared" si="0"/>
        <v>0</v>
      </c>
      <c r="G18" s="1030"/>
      <c r="H18" s="1030"/>
      <c r="I18" s="1035">
        <f t="shared" si="5"/>
        <v>0</v>
      </c>
      <c r="J18" s="1030"/>
      <c r="K18" s="1030"/>
      <c r="L18" s="1030">
        <f t="shared" si="2"/>
        <v>0</v>
      </c>
      <c r="M18" s="1030"/>
      <c r="N18" s="1030"/>
      <c r="O18" s="1031">
        <f t="shared" si="3"/>
        <v>0</v>
      </c>
    </row>
    <row r="19" spans="1:15" s="1032" customFormat="1" hidden="1" x14ac:dyDescent="0.3">
      <c r="A19" s="95"/>
      <c r="B19" s="1205" t="s">
        <v>325</v>
      </c>
      <c r="C19" s="1206"/>
      <c r="D19" s="1028">
        <f t="shared" si="1"/>
        <v>0</v>
      </c>
      <c r="E19" s="1029">
        <f t="shared" si="0"/>
        <v>0</v>
      </c>
      <c r="F19" s="1029">
        <f t="shared" si="0"/>
        <v>0</v>
      </c>
      <c r="G19" s="1030"/>
      <c r="H19" s="1030"/>
      <c r="I19" s="1035">
        <f t="shared" si="5"/>
        <v>0</v>
      </c>
      <c r="J19" s="1030"/>
      <c r="K19" s="1030"/>
      <c r="L19" s="1030">
        <f t="shared" si="2"/>
        <v>0</v>
      </c>
      <c r="M19" s="1030"/>
      <c r="N19" s="1030"/>
      <c r="O19" s="1031">
        <f t="shared" si="3"/>
        <v>0</v>
      </c>
    </row>
    <row r="20" spans="1:15" s="1032" customFormat="1" hidden="1" x14ac:dyDescent="0.3">
      <c r="A20" s="95"/>
      <c r="B20" s="1205" t="s">
        <v>326</v>
      </c>
      <c r="C20" s="1206"/>
      <c r="D20" s="1028">
        <f t="shared" si="1"/>
        <v>0</v>
      </c>
      <c r="E20" s="1029">
        <f t="shared" si="1"/>
        <v>0</v>
      </c>
      <c r="F20" s="1029">
        <f t="shared" si="1"/>
        <v>0</v>
      </c>
      <c r="G20" s="1030"/>
      <c r="H20" s="1030"/>
      <c r="I20" s="1035">
        <f t="shared" si="5"/>
        <v>0</v>
      </c>
      <c r="J20" s="1030"/>
      <c r="K20" s="1030"/>
      <c r="L20" s="1030">
        <f t="shared" si="2"/>
        <v>0</v>
      </c>
      <c r="M20" s="1030"/>
      <c r="N20" s="1030"/>
      <c r="O20" s="1031">
        <f t="shared" si="3"/>
        <v>0</v>
      </c>
    </row>
    <row r="21" spans="1:15" s="1032" customFormat="1" hidden="1" x14ac:dyDescent="0.3">
      <c r="A21" s="95"/>
      <c r="B21" s="1205" t="s">
        <v>327</v>
      </c>
      <c r="C21" s="1206"/>
      <c r="D21" s="1028">
        <f t="shared" si="1"/>
        <v>0</v>
      </c>
      <c r="E21" s="1029">
        <f t="shared" si="1"/>
        <v>0</v>
      </c>
      <c r="F21" s="1029">
        <f t="shared" si="1"/>
        <v>0</v>
      </c>
      <c r="G21" s="1030"/>
      <c r="H21" s="1030"/>
      <c r="I21" s="1035">
        <f t="shared" si="5"/>
        <v>0</v>
      </c>
      <c r="J21" s="1030"/>
      <c r="K21" s="1030"/>
      <c r="L21" s="1030">
        <f t="shared" si="2"/>
        <v>0</v>
      </c>
      <c r="M21" s="1030"/>
      <c r="N21" s="1030"/>
      <c r="O21" s="1031">
        <f t="shared" si="3"/>
        <v>0</v>
      </c>
    </row>
    <row r="22" spans="1:15" s="1032" customFormat="1" hidden="1" x14ac:dyDescent="0.3">
      <c r="A22" s="95"/>
      <c r="B22" s="1205" t="s">
        <v>328</v>
      </c>
      <c r="C22" s="1206"/>
      <c r="D22" s="1028">
        <f t="shared" si="1"/>
        <v>0</v>
      </c>
      <c r="E22" s="1029">
        <f t="shared" si="1"/>
        <v>0</v>
      </c>
      <c r="F22" s="1029">
        <f t="shared" si="1"/>
        <v>0</v>
      </c>
      <c r="G22" s="1030"/>
      <c r="H22" s="1030"/>
      <c r="I22" s="1035">
        <f t="shared" si="5"/>
        <v>0</v>
      </c>
      <c r="J22" s="1030"/>
      <c r="K22" s="1030"/>
      <c r="L22" s="1030">
        <f t="shared" si="2"/>
        <v>0</v>
      </c>
      <c r="M22" s="1030"/>
      <c r="N22" s="1030"/>
      <c r="O22" s="1031">
        <f t="shared" si="3"/>
        <v>0</v>
      </c>
    </row>
    <row r="23" spans="1:15" s="1032" customFormat="1" hidden="1" x14ac:dyDescent="0.3">
      <c r="A23" s="95"/>
      <c r="B23" s="1205" t="s">
        <v>99</v>
      </c>
      <c r="C23" s="1206"/>
      <c r="D23" s="1028">
        <f t="shared" si="1"/>
        <v>0</v>
      </c>
      <c r="E23" s="1029">
        <f t="shared" si="1"/>
        <v>0</v>
      </c>
      <c r="F23" s="1029">
        <f t="shared" si="1"/>
        <v>0</v>
      </c>
      <c r="G23" s="1030"/>
      <c r="H23" s="1030"/>
      <c r="I23" s="1035">
        <f t="shared" si="5"/>
        <v>0</v>
      </c>
      <c r="J23" s="1030"/>
      <c r="K23" s="1030"/>
      <c r="L23" s="1030">
        <f t="shared" si="2"/>
        <v>0</v>
      </c>
      <c r="M23" s="1030"/>
      <c r="N23" s="1030"/>
      <c r="O23" s="1031">
        <f t="shared" si="3"/>
        <v>0</v>
      </c>
    </row>
    <row r="24" spans="1:15" s="1032" customFormat="1" hidden="1" x14ac:dyDescent="0.3">
      <c r="A24" s="95"/>
      <c r="B24" s="1205" t="s">
        <v>100</v>
      </c>
      <c r="C24" s="1206"/>
      <c r="D24" s="1028">
        <f t="shared" si="1"/>
        <v>0</v>
      </c>
      <c r="E24" s="1029">
        <f t="shared" si="1"/>
        <v>0</v>
      </c>
      <c r="F24" s="1029">
        <f t="shared" si="1"/>
        <v>0</v>
      </c>
      <c r="G24" s="1030"/>
      <c r="H24" s="1030"/>
      <c r="I24" s="1035">
        <f t="shared" si="5"/>
        <v>0</v>
      </c>
      <c r="J24" s="1030"/>
      <c r="K24" s="1030"/>
      <c r="L24" s="1030">
        <f t="shared" si="2"/>
        <v>0</v>
      </c>
      <c r="M24" s="1030"/>
      <c r="N24" s="1030"/>
      <c r="O24" s="1031">
        <f t="shared" si="3"/>
        <v>0</v>
      </c>
    </row>
    <row r="25" spans="1:15" s="1032" customFormat="1" hidden="1" x14ac:dyDescent="0.3">
      <c r="A25" s="95"/>
      <c r="B25" s="1205" t="s">
        <v>329</v>
      </c>
      <c r="C25" s="1206"/>
      <c r="D25" s="1028">
        <f t="shared" si="1"/>
        <v>0</v>
      </c>
      <c r="E25" s="1029">
        <f t="shared" si="1"/>
        <v>0</v>
      </c>
      <c r="F25" s="1029">
        <f t="shared" si="1"/>
        <v>0</v>
      </c>
      <c r="G25" s="1030"/>
      <c r="H25" s="1030"/>
      <c r="I25" s="1035">
        <f t="shared" si="5"/>
        <v>0</v>
      </c>
      <c r="J25" s="1030"/>
      <c r="K25" s="1030"/>
      <c r="L25" s="1030">
        <f t="shared" si="2"/>
        <v>0</v>
      </c>
      <c r="M25" s="1030"/>
      <c r="N25" s="1030"/>
      <c r="O25" s="1031">
        <f t="shared" si="3"/>
        <v>0</v>
      </c>
    </row>
    <row r="26" spans="1:15" s="1032" customFormat="1" hidden="1" x14ac:dyDescent="0.3">
      <c r="A26" s="95"/>
      <c r="B26" s="1205" t="s">
        <v>330</v>
      </c>
      <c r="C26" s="1206"/>
      <c r="D26" s="1028">
        <f t="shared" si="1"/>
        <v>0</v>
      </c>
      <c r="E26" s="1029">
        <f t="shared" si="1"/>
        <v>0</v>
      </c>
      <c r="F26" s="1029">
        <f t="shared" si="1"/>
        <v>0</v>
      </c>
      <c r="G26" s="1030"/>
      <c r="H26" s="1030"/>
      <c r="I26" s="1035">
        <f t="shared" si="5"/>
        <v>0</v>
      </c>
      <c r="J26" s="1030"/>
      <c r="K26" s="1030"/>
      <c r="L26" s="1030">
        <f t="shared" si="2"/>
        <v>0</v>
      </c>
      <c r="M26" s="1030"/>
      <c r="N26" s="1030"/>
      <c r="O26" s="1031">
        <f t="shared" si="3"/>
        <v>0</v>
      </c>
    </row>
    <row r="27" spans="1:15" s="1032" customFormat="1" x14ac:dyDescent="0.3">
      <c r="A27" s="68" t="s">
        <v>210</v>
      </c>
      <c r="B27" s="1213" t="s">
        <v>332</v>
      </c>
      <c r="C27" s="1214"/>
      <c r="D27" s="1033">
        <f t="shared" si="1"/>
        <v>0</v>
      </c>
      <c r="E27" s="1033">
        <f t="shared" si="1"/>
        <v>0</v>
      </c>
      <c r="F27" s="1033">
        <f t="shared" si="1"/>
        <v>0</v>
      </c>
      <c r="G27" s="1034">
        <v>0</v>
      </c>
      <c r="H27" s="1034"/>
      <c r="I27" s="1034">
        <f t="shared" si="5"/>
        <v>0</v>
      </c>
      <c r="J27" s="1034">
        <f>+J16</f>
        <v>0</v>
      </c>
      <c r="K27" s="1034"/>
      <c r="L27" s="1034">
        <f t="shared" si="2"/>
        <v>0</v>
      </c>
      <c r="M27" s="1034">
        <f>+M16</f>
        <v>0</v>
      </c>
      <c r="N27" s="1034"/>
      <c r="O27" s="1031">
        <f t="shared" si="3"/>
        <v>0</v>
      </c>
    </row>
    <row r="28" spans="1:15" s="164" customFormat="1" x14ac:dyDescent="0.3">
      <c r="A28" s="1013" t="s">
        <v>235</v>
      </c>
      <c r="B28" s="1219" t="s">
        <v>337</v>
      </c>
      <c r="C28" s="1220"/>
      <c r="D28" s="149">
        <f t="shared" si="1"/>
        <v>0</v>
      </c>
      <c r="E28" s="149">
        <f t="shared" si="1"/>
        <v>0</v>
      </c>
      <c r="F28" s="149">
        <f t="shared" si="1"/>
        <v>0</v>
      </c>
      <c r="G28" s="97">
        <v>0</v>
      </c>
      <c r="H28" s="97"/>
      <c r="I28" s="97">
        <f t="shared" si="5"/>
        <v>0</v>
      </c>
      <c r="J28" s="97">
        <v>0</v>
      </c>
      <c r="K28" s="97"/>
      <c r="L28" s="97">
        <f t="shared" si="2"/>
        <v>0</v>
      </c>
      <c r="M28" s="97">
        <v>0</v>
      </c>
      <c r="N28" s="97"/>
      <c r="O28" s="65">
        <f t="shared" si="3"/>
        <v>0</v>
      </c>
    </row>
    <row r="29" spans="1:15" s="164" customFormat="1" x14ac:dyDescent="0.3">
      <c r="A29" s="380" t="s">
        <v>239</v>
      </c>
      <c r="B29" s="1221" t="s">
        <v>238</v>
      </c>
      <c r="C29" s="1221"/>
      <c r="D29" s="1014">
        <f t="shared" si="1"/>
        <v>5565</v>
      </c>
      <c r="E29" s="1014">
        <f t="shared" si="1"/>
        <v>0</v>
      </c>
      <c r="F29" s="1015">
        <f t="shared" si="1"/>
        <v>5565</v>
      </c>
      <c r="G29" s="1014">
        <v>0</v>
      </c>
      <c r="H29" s="1014"/>
      <c r="I29" s="96">
        <f t="shared" si="5"/>
        <v>0</v>
      </c>
      <c r="J29" s="1014">
        <v>3465</v>
      </c>
      <c r="K29" s="1014"/>
      <c r="L29" s="1016">
        <f t="shared" si="2"/>
        <v>3465</v>
      </c>
      <c r="M29" s="1014">
        <f>200+1600+300</f>
        <v>2100</v>
      </c>
      <c r="N29" s="1014"/>
      <c r="O29" s="65">
        <f t="shared" si="3"/>
        <v>2100</v>
      </c>
    </row>
    <row r="30" spans="1:15" s="164" customFormat="1" x14ac:dyDescent="0.3">
      <c r="A30" s="1017" t="s">
        <v>241</v>
      </c>
      <c r="B30" s="1221" t="s">
        <v>240</v>
      </c>
      <c r="C30" s="1221"/>
      <c r="D30" s="1014">
        <f t="shared" si="1"/>
        <v>0</v>
      </c>
      <c r="E30" s="1014">
        <f t="shared" si="1"/>
        <v>504</v>
      </c>
      <c r="F30" s="1015">
        <f t="shared" si="1"/>
        <v>504</v>
      </c>
      <c r="G30" s="1014"/>
      <c r="H30" s="1014">
        <v>500</v>
      </c>
      <c r="I30" s="96">
        <f t="shared" si="5"/>
        <v>500</v>
      </c>
      <c r="J30" s="1014">
        <v>0</v>
      </c>
      <c r="K30" s="1014">
        <v>4</v>
      </c>
      <c r="L30" s="1016">
        <f t="shared" si="2"/>
        <v>4</v>
      </c>
      <c r="M30" s="1014"/>
      <c r="N30" s="1014"/>
      <c r="O30" s="65">
        <f t="shared" si="3"/>
        <v>0</v>
      </c>
    </row>
    <row r="31" spans="1:15" s="164" customFormat="1" x14ac:dyDescent="0.3">
      <c r="A31" s="1017" t="s">
        <v>243</v>
      </c>
      <c r="B31" s="1221" t="s">
        <v>242</v>
      </c>
      <c r="C31" s="1221"/>
      <c r="D31" s="1014">
        <f t="shared" si="1"/>
        <v>1806</v>
      </c>
      <c r="E31" s="1014">
        <f t="shared" si="1"/>
        <v>16</v>
      </c>
      <c r="F31" s="1015">
        <f t="shared" si="1"/>
        <v>1822</v>
      </c>
      <c r="G31" s="1014"/>
      <c r="H31" s="1014"/>
      <c r="I31" s="96">
        <f t="shared" si="5"/>
        <v>0</v>
      </c>
      <c r="J31" s="1014">
        <v>0</v>
      </c>
      <c r="K31" s="1014"/>
      <c r="L31" s="1016">
        <f t="shared" si="2"/>
        <v>0</v>
      </c>
      <c r="M31" s="1014">
        <v>1806</v>
      </c>
      <c r="N31" s="1014">
        <v>16</v>
      </c>
      <c r="O31" s="65">
        <f t="shared" si="3"/>
        <v>1822</v>
      </c>
    </row>
    <row r="32" spans="1:15" s="164" customFormat="1" x14ac:dyDescent="0.3">
      <c r="A32" s="380" t="s">
        <v>247</v>
      </c>
      <c r="B32" s="1217" t="s">
        <v>246</v>
      </c>
      <c r="C32" s="1218"/>
      <c r="D32" s="1014">
        <f t="shared" si="1"/>
        <v>1503</v>
      </c>
      <c r="E32" s="1014">
        <f t="shared" si="1"/>
        <v>0</v>
      </c>
      <c r="F32" s="1015">
        <f t="shared" si="1"/>
        <v>1503</v>
      </c>
      <c r="G32" s="1014"/>
      <c r="H32" s="1014"/>
      <c r="I32" s="96">
        <f t="shared" si="5"/>
        <v>0</v>
      </c>
      <c r="J32" s="1014">
        <v>936</v>
      </c>
      <c r="K32" s="1014"/>
      <c r="L32" s="1016">
        <f t="shared" si="2"/>
        <v>936</v>
      </c>
      <c r="M32" s="1014">
        <f>54+432+81</f>
        <v>567</v>
      </c>
      <c r="N32" s="1014"/>
      <c r="O32" s="65">
        <f t="shared" si="3"/>
        <v>567</v>
      </c>
    </row>
    <row r="33" spans="1:15" s="164" customFormat="1" x14ac:dyDescent="0.3">
      <c r="A33" s="380" t="s">
        <v>249</v>
      </c>
      <c r="B33" s="1217" t="s">
        <v>248</v>
      </c>
      <c r="C33" s="1218"/>
      <c r="D33" s="1014">
        <f t="shared" si="1"/>
        <v>1805</v>
      </c>
      <c r="E33" s="1014">
        <f t="shared" si="1"/>
        <v>0</v>
      </c>
      <c r="F33" s="1015">
        <f t="shared" si="1"/>
        <v>1805</v>
      </c>
      <c r="G33" s="1014"/>
      <c r="H33" s="1014"/>
      <c r="I33" s="96">
        <f t="shared" si="5"/>
        <v>0</v>
      </c>
      <c r="J33" s="1014">
        <v>1238</v>
      </c>
      <c r="K33" s="1014"/>
      <c r="L33" s="1016">
        <f t="shared" si="2"/>
        <v>1238</v>
      </c>
      <c r="M33" s="1014">
        <v>567</v>
      </c>
      <c r="N33" s="1014"/>
      <c r="O33" s="65">
        <f t="shared" si="3"/>
        <v>567</v>
      </c>
    </row>
    <row r="34" spans="1:15" s="164" customFormat="1" x14ac:dyDescent="0.3">
      <c r="A34" s="380" t="s">
        <v>251</v>
      </c>
      <c r="B34" s="1211" t="s">
        <v>250</v>
      </c>
      <c r="C34" s="1212"/>
      <c r="D34" s="1014">
        <f t="shared" si="1"/>
        <v>0</v>
      </c>
      <c r="E34" s="1014">
        <f t="shared" si="1"/>
        <v>0</v>
      </c>
      <c r="F34" s="1015">
        <f t="shared" si="1"/>
        <v>0</v>
      </c>
      <c r="G34" s="1014"/>
      <c r="H34" s="1014"/>
      <c r="I34" s="96">
        <f t="shared" si="5"/>
        <v>0</v>
      </c>
      <c r="J34" s="1014">
        <v>0</v>
      </c>
      <c r="K34" s="1014"/>
      <c r="L34" s="1016">
        <f t="shared" si="2"/>
        <v>0</v>
      </c>
      <c r="M34" s="1014">
        <v>0</v>
      </c>
      <c r="N34" s="1014"/>
      <c r="O34" s="65">
        <f t="shared" si="3"/>
        <v>0</v>
      </c>
    </row>
    <row r="35" spans="1:15" s="164" customFormat="1" x14ac:dyDescent="0.3">
      <c r="A35" s="380" t="s">
        <v>636</v>
      </c>
      <c r="B35" s="1211" t="s">
        <v>254</v>
      </c>
      <c r="C35" s="1212"/>
      <c r="D35" s="1014">
        <f t="shared" si="1"/>
        <v>0</v>
      </c>
      <c r="E35" s="1014">
        <f t="shared" si="1"/>
        <v>0</v>
      </c>
      <c r="F35" s="1015">
        <f t="shared" si="1"/>
        <v>0</v>
      </c>
      <c r="G35" s="1014"/>
      <c r="H35" s="1014"/>
      <c r="I35" s="96">
        <f t="shared" si="5"/>
        <v>0</v>
      </c>
      <c r="J35" s="1014">
        <v>0</v>
      </c>
      <c r="K35" s="1014"/>
      <c r="L35" s="1016">
        <f t="shared" si="2"/>
        <v>0</v>
      </c>
      <c r="M35" s="1014">
        <v>0</v>
      </c>
      <c r="N35" s="1014"/>
      <c r="O35" s="65">
        <f t="shared" si="3"/>
        <v>0</v>
      </c>
    </row>
    <row r="36" spans="1:15" s="164" customFormat="1" x14ac:dyDescent="0.3">
      <c r="A36" s="1013" t="s">
        <v>255</v>
      </c>
      <c r="B36" s="1223" t="s">
        <v>280</v>
      </c>
      <c r="C36" s="1223"/>
      <c r="D36" s="1018">
        <f t="shared" si="1"/>
        <v>10679</v>
      </c>
      <c r="E36" s="1018">
        <f t="shared" si="1"/>
        <v>520</v>
      </c>
      <c r="F36" s="1019">
        <f t="shared" si="1"/>
        <v>11199</v>
      </c>
      <c r="G36" s="1018">
        <f>SUM(G29:G35)</f>
        <v>0</v>
      </c>
      <c r="H36" s="1018">
        <f t="shared" ref="H36:I36" si="6">SUM(H29:H35)</f>
        <v>500</v>
      </c>
      <c r="I36" s="1018">
        <f t="shared" si="6"/>
        <v>500</v>
      </c>
      <c r="J36" s="1018">
        <f>SUM(J29:J35)</f>
        <v>5639</v>
      </c>
      <c r="K36" s="1018">
        <f t="shared" ref="K36:L36" si="7">SUM(K29:K35)</f>
        <v>4</v>
      </c>
      <c r="L36" s="1018">
        <f t="shared" si="7"/>
        <v>5643</v>
      </c>
      <c r="M36" s="1018">
        <f>SUM(M29:M35)</f>
        <v>5040</v>
      </c>
      <c r="N36" s="1018">
        <f t="shared" ref="N36:O36" si="8">SUM(N29:N35)</f>
        <v>16</v>
      </c>
      <c r="O36" s="1018">
        <f t="shared" si="8"/>
        <v>5056</v>
      </c>
    </row>
    <row r="37" spans="1:15" s="164" customFormat="1" x14ac:dyDescent="0.3">
      <c r="A37" s="1013" t="s">
        <v>256</v>
      </c>
      <c r="B37" s="1223" t="s">
        <v>279</v>
      </c>
      <c r="C37" s="1223">
        <v>0</v>
      </c>
      <c r="D37" s="1018">
        <f t="shared" si="1"/>
        <v>0</v>
      </c>
      <c r="E37" s="1018">
        <f t="shared" si="1"/>
        <v>0</v>
      </c>
      <c r="F37" s="1019">
        <f t="shared" si="1"/>
        <v>0</v>
      </c>
      <c r="G37" s="1018"/>
      <c r="H37" s="1018"/>
      <c r="I37" s="96">
        <f t="shared" si="5"/>
        <v>0</v>
      </c>
      <c r="J37" s="1018">
        <v>0</v>
      </c>
      <c r="K37" s="1018"/>
      <c r="L37" s="1020">
        <f t="shared" si="2"/>
        <v>0</v>
      </c>
      <c r="M37" s="1018">
        <v>0</v>
      </c>
      <c r="N37" s="1018">
        <v>0</v>
      </c>
      <c r="O37" s="1018">
        <v>0</v>
      </c>
    </row>
    <row r="38" spans="1:15" s="164" customFormat="1" x14ac:dyDescent="0.3">
      <c r="A38" s="380" t="s">
        <v>258</v>
      </c>
      <c r="B38" s="1221" t="s">
        <v>257</v>
      </c>
      <c r="C38" s="1221">
        <v>42</v>
      </c>
      <c r="D38" s="1014">
        <f t="shared" si="1"/>
        <v>300</v>
      </c>
      <c r="E38" s="1014">
        <f t="shared" si="1"/>
        <v>0</v>
      </c>
      <c r="F38" s="1015">
        <f t="shared" si="1"/>
        <v>300</v>
      </c>
      <c r="G38" s="1014">
        <v>300</v>
      </c>
      <c r="H38" s="1014"/>
      <c r="I38" s="96">
        <f t="shared" si="5"/>
        <v>300</v>
      </c>
      <c r="J38" s="1014">
        <v>0</v>
      </c>
      <c r="K38" s="1014"/>
      <c r="L38" s="1016">
        <f t="shared" si="2"/>
        <v>0</v>
      </c>
      <c r="M38" s="1014">
        <v>0</v>
      </c>
      <c r="N38" s="1014"/>
      <c r="O38" s="65">
        <f t="shared" si="3"/>
        <v>0</v>
      </c>
    </row>
    <row r="39" spans="1:15" s="164" customFormat="1" x14ac:dyDescent="0.3">
      <c r="A39" s="1013" t="s">
        <v>259</v>
      </c>
      <c r="B39" s="1223" t="s">
        <v>278</v>
      </c>
      <c r="C39" s="1223">
        <f>+C38</f>
        <v>42</v>
      </c>
      <c r="D39" s="1018">
        <f t="shared" si="1"/>
        <v>300</v>
      </c>
      <c r="E39" s="1018">
        <f t="shared" si="1"/>
        <v>0</v>
      </c>
      <c r="F39" s="1019">
        <f t="shared" si="1"/>
        <v>300</v>
      </c>
      <c r="G39" s="1018">
        <f>+G38</f>
        <v>300</v>
      </c>
      <c r="H39" s="1018"/>
      <c r="I39" s="96">
        <f t="shared" si="5"/>
        <v>300</v>
      </c>
      <c r="J39" s="1018">
        <f>+J38</f>
        <v>0</v>
      </c>
      <c r="K39" s="1018"/>
      <c r="L39" s="1020">
        <f t="shared" si="2"/>
        <v>0</v>
      </c>
      <c r="M39" s="1018">
        <f>+M38</f>
        <v>0</v>
      </c>
      <c r="N39" s="1018"/>
      <c r="O39" s="65">
        <f t="shared" si="3"/>
        <v>0</v>
      </c>
    </row>
    <row r="40" spans="1:15" s="164" customFormat="1" x14ac:dyDescent="0.3">
      <c r="A40" s="380" t="s">
        <v>261</v>
      </c>
      <c r="B40" s="1221" t="s">
        <v>260</v>
      </c>
      <c r="C40" s="1221"/>
      <c r="D40" s="1014">
        <f t="shared" si="1"/>
        <v>0</v>
      </c>
      <c r="E40" s="1014">
        <f t="shared" si="1"/>
        <v>0</v>
      </c>
      <c r="F40" s="1015">
        <f t="shared" si="1"/>
        <v>0</v>
      </c>
      <c r="G40" s="1014"/>
      <c r="H40" s="1014"/>
      <c r="I40" s="96">
        <f t="shared" si="5"/>
        <v>0</v>
      </c>
      <c r="J40" s="1014">
        <v>0</v>
      </c>
      <c r="K40" s="1014"/>
      <c r="L40" s="1016">
        <f t="shared" si="2"/>
        <v>0</v>
      </c>
      <c r="M40" s="1014">
        <v>0</v>
      </c>
      <c r="N40" s="1014"/>
      <c r="O40" s="65">
        <f t="shared" si="3"/>
        <v>0</v>
      </c>
    </row>
    <row r="41" spans="1:15" s="164" customFormat="1" x14ac:dyDescent="0.3">
      <c r="A41" s="1013" t="s">
        <v>262</v>
      </c>
      <c r="B41" s="1223" t="s">
        <v>284</v>
      </c>
      <c r="C41" s="1223"/>
      <c r="D41" s="1018">
        <f t="shared" si="1"/>
        <v>0</v>
      </c>
      <c r="E41" s="1018">
        <f t="shared" si="1"/>
        <v>0</v>
      </c>
      <c r="F41" s="1019">
        <f t="shared" si="1"/>
        <v>0</v>
      </c>
      <c r="G41" s="1018">
        <f>+G40</f>
        <v>0</v>
      </c>
      <c r="H41" s="1018"/>
      <c r="I41" s="96">
        <f t="shared" si="5"/>
        <v>0</v>
      </c>
      <c r="J41" s="1018">
        <f>+J40</f>
        <v>0</v>
      </c>
      <c r="K41" s="1018"/>
      <c r="L41" s="1020">
        <f t="shared" si="2"/>
        <v>0</v>
      </c>
      <c r="M41" s="1018">
        <f>+M40</f>
        <v>0</v>
      </c>
      <c r="N41" s="1018"/>
      <c r="O41" s="65">
        <f t="shared" si="3"/>
        <v>0</v>
      </c>
    </row>
    <row r="42" spans="1:15" s="164" customFormat="1" x14ac:dyDescent="0.3">
      <c r="A42" s="1013" t="s">
        <v>263</v>
      </c>
      <c r="B42" s="1223" t="s">
        <v>276</v>
      </c>
      <c r="C42" s="1223"/>
      <c r="D42" s="1018">
        <f t="shared" si="1"/>
        <v>10979</v>
      </c>
      <c r="E42" s="1018">
        <f t="shared" si="1"/>
        <v>1694</v>
      </c>
      <c r="F42" s="1018">
        <f t="shared" si="1"/>
        <v>12673</v>
      </c>
      <c r="G42" s="1018">
        <f t="shared" ref="G42:O42" si="9">+G41+G39+G37+G36+G27+G15</f>
        <v>300</v>
      </c>
      <c r="H42" s="1018">
        <f t="shared" si="9"/>
        <v>1674</v>
      </c>
      <c r="I42" s="1018">
        <f t="shared" si="9"/>
        <v>1974</v>
      </c>
      <c r="J42" s="1018">
        <f t="shared" si="9"/>
        <v>5639</v>
      </c>
      <c r="K42" s="1018">
        <f t="shared" si="9"/>
        <v>4</v>
      </c>
      <c r="L42" s="1018">
        <f t="shared" si="2"/>
        <v>5643</v>
      </c>
      <c r="M42" s="1018">
        <f t="shared" si="9"/>
        <v>5040</v>
      </c>
      <c r="N42" s="1018">
        <f t="shared" si="9"/>
        <v>16</v>
      </c>
      <c r="O42" s="1018">
        <f t="shared" si="9"/>
        <v>5056</v>
      </c>
    </row>
    <row r="43" spans="1:15" s="164" customFormat="1" x14ac:dyDescent="0.3">
      <c r="A43" s="380" t="s">
        <v>273</v>
      </c>
      <c r="B43" s="1224" t="s">
        <v>272</v>
      </c>
      <c r="C43" s="1224"/>
      <c r="D43" s="1014">
        <f t="shared" si="1"/>
        <v>0</v>
      </c>
      <c r="E43" s="1014">
        <f t="shared" si="1"/>
        <v>615</v>
      </c>
      <c r="F43" s="1014">
        <f t="shared" si="1"/>
        <v>615</v>
      </c>
      <c r="G43" s="1014">
        <f>+G44+G45</f>
        <v>0</v>
      </c>
      <c r="H43" s="1014">
        <v>420</v>
      </c>
      <c r="I43" s="1014">
        <f>+H43+G43</f>
        <v>420</v>
      </c>
      <c r="J43" s="1014">
        <f t="shared" ref="J43:M43" si="10">+J44+J45</f>
        <v>0</v>
      </c>
      <c r="K43" s="1014">
        <v>113</v>
      </c>
      <c r="L43" s="1014">
        <f t="shared" si="2"/>
        <v>113</v>
      </c>
      <c r="M43" s="1014">
        <f t="shared" si="10"/>
        <v>0</v>
      </c>
      <c r="N43" s="1014">
        <v>82</v>
      </c>
      <c r="O43" s="1014">
        <f>+N43+M43</f>
        <v>82</v>
      </c>
    </row>
    <row r="44" spans="1:15" s="164" customFormat="1" hidden="1" x14ac:dyDescent="0.3">
      <c r="A44" s="381"/>
      <c r="B44" s="507"/>
      <c r="C44" s="508" t="s">
        <v>397</v>
      </c>
      <c r="D44" s="1021">
        <f t="shared" si="1"/>
        <v>0</v>
      </c>
      <c r="E44" s="1021">
        <f t="shared" si="1"/>
        <v>0</v>
      </c>
      <c r="F44" s="1021">
        <f t="shared" si="1"/>
        <v>0</v>
      </c>
      <c r="G44" s="1021"/>
      <c r="H44" s="1021"/>
      <c r="I44" s="1014">
        <f t="shared" ref="I44:I45" si="11">+H44+G44</f>
        <v>0</v>
      </c>
      <c r="J44" s="1021"/>
      <c r="K44" s="1021"/>
      <c r="L44" s="1021">
        <f t="shared" si="2"/>
        <v>0</v>
      </c>
      <c r="M44" s="1021"/>
      <c r="N44" s="1021"/>
      <c r="O44" s="1021"/>
    </row>
    <row r="45" spans="1:15" s="164" customFormat="1" hidden="1" x14ac:dyDescent="0.3">
      <c r="A45" s="381"/>
      <c r="B45" s="507"/>
      <c r="C45" s="508" t="s">
        <v>398</v>
      </c>
      <c r="D45" s="1021">
        <f t="shared" si="1"/>
        <v>0</v>
      </c>
      <c r="E45" s="1021">
        <f t="shared" si="1"/>
        <v>0</v>
      </c>
      <c r="F45" s="1021">
        <f t="shared" si="1"/>
        <v>0</v>
      </c>
      <c r="G45" s="1021"/>
      <c r="H45" s="1021"/>
      <c r="I45" s="1014">
        <f t="shared" si="11"/>
        <v>0</v>
      </c>
      <c r="J45" s="1021"/>
      <c r="K45" s="1021"/>
      <c r="L45" s="1021">
        <f t="shared" si="2"/>
        <v>0</v>
      </c>
      <c r="M45" s="1021"/>
      <c r="N45" s="1021"/>
      <c r="O45" s="1021"/>
    </row>
    <row r="46" spans="1:15" s="164" customFormat="1" x14ac:dyDescent="0.3">
      <c r="A46" s="141" t="s">
        <v>274</v>
      </c>
      <c r="B46" s="1219" t="s">
        <v>338</v>
      </c>
      <c r="C46" s="1220"/>
      <c r="D46" s="1018">
        <f t="shared" si="1"/>
        <v>0</v>
      </c>
      <c r="E46" s="1018">
        <f t="shared" si="1"/>
        <v>615</v>
      </c>
      <c r="F46" s="1018">
        <f t="shared" si="1"/>
        <v>615</v>
      </c>
      <c r="G46" s="1018">
        <f t="shared" ref="G46:O46" si="12">+G43</f>
        <v>0</v>
      </c>
      <c r="H46" s="1018">
        <f t="shared" si="12"/>
        <v>420</v>
      </c>
      <c r="I46" s="1018">
        <f t="shared" si="12"/>
        <v>420</v>
      </c>
      <c r="J46" s="1018">
        <f t="shared" si="12"/>
        <v>0</v>
      </c>
      <c r="K46" s="1018">
        <f t="shared" si="12"/>
        <v>113</v>
      </c>
      <c r="L46" s="1018">
        <f t="shared" si="2"/>
        <v>113</v>
      </c>
      <c r="M46" s="1018">
        <f t="shared" si="12"/>
        <v>0</v>
      </c>
      <c r="N46" s="1018">
        <f t="shared" si="12"/>
        <v>82</v>
      </c>
      <c r="O46" s="1018">
        <f t="shared" si="12"/>
        <v>82</v>
      </c>
    </row>
    <row r="47" spans="1:15" s="164" customFormat="1" x14ac:dyDescent="0.3">
      <c r="A47" s="380" t="s">
        <v>285</v>
      </c>
      <c r="B47" s="1222" t="s">
        <v>286</v>
      </c>
      <c r="C47" s="1222"/>
      <c r="D47" s="1014">
        <f t="shared" si="1"/>
        <v>450258</v>
      </c>
      <c r="E47" s="1018">
        <f t="shared" si="1"/>
        <v>2818</v>
      </c>
      <c r="F47" s="1019">
        <f t="shared" si="1"/>
        <v>453076</v>
      </c>
      <c r="G47" s="1014">
        <v>215311</v>
      </c>
      <c r="H47" s="1014">
        <v>120</v>
      </c>
      <c r="I47" s="1015">
        <f>+H47+G47</f>
        <v>215431</v>
      </c>
      <c r="J47" s="1014">
        <v>181240</v>
      </c>
      <c r="K47" s="1014">
        <v>372</v>
      </c>
      <c r="L47" s="1016">
        <f t="shared" si="2"/>
        <v>181612</v>
      </c>
      <c r="M47" s="1014">
        <v>53707</v>
      </c>
      <c r="N47" s="1014">
        <v>2326</v>
      </c>
      <c r="O47" s="1015">
        <f>+N47+M47</f>
        <v>56033</v>
      </c>
    </row>
    <row r="48" spans="1:15" s="164" customFormat="1" x14ac:dyDescent="0.3">
      <c r="A48" s="1013" t="s">
        <v>275</v>
      </c>
      <c r="B48" s="1226" t="s">
        <v>287</v>
      </c>
      <c r="C48" s="1227"/>
      <c r="D48" s="1018">
        <f t="shared" si="1"/>
        <v>450258</v>
      </c>
      <c r="E48" s="1018">
        <f t="shared" si="1"/>
        <v>3433</v>
      </c>
      <c r="F48" s="1018">
        <f t="shared" si="1"/>
        <v>453691</v>
      </c>
      <c r="G48" s="1018">
        <f>+G47</f>
        <v>215311</v>
      </c>
      <c r="H48" s="1018">
        <f t="shared" ref="H48:O48" si="13">+H47+H46</f>
        <v>540</v>
      </c>
      <c r="I48" s="1018">
        <f t="shared" si="13"/>
        <v>215851</v>
      </c>
      <c r="J48" s="1018">
        <f t="shared" si="13"/>
        <v>181240</v>
      </c>
      <c r="K48" s="1018">
        <f t="shared" si="13"/>
        <v>485</v>
      </c>
      <c r="L48" s="1018">
        <f t="shared" si="2"/>
        <v>181725</v>
      </c>
      <c r="M48" s="1018">
        <f t="shared" si="13"/>
        <v>53707</v>
      </c>
      <c r="N48" s="1018">
        <f t="shared" si="13"/>
        <v>2408</v>
      </c>
      <c r="O48" s="1018">
        <f t="shared" si="13"/>
        <v>56115</v>
      </c>
    </row>
    <row r="49" spans="1:15" s="164" customFormat="1" x14ac:dyDescent="0.3">
      <c r="A49" s="1196" t="s">
        <v>288</v>
      </c>
      <c r="B49" s="1196"/>
      <c r="C49" s="1196"/>
      <c r="D49" s="1018">
        <f t="shared" si="1"/>
        <v>461237</v>
      </c>
      <c r="E49" s="1018">
        <f t="shared" si="1"/>
        <v>5127</v>
      </c>
      <c r="F49" s="1018">
        <f t="shared" si="1"/>
        <v>466364</v>
      </c>
      <c r="G49" s="1018">
        <f t="shared" ref="G49:O49" si="14">+G48+G42</f>
        <v>215611</v>
      </c>
      <c r="H49" s="1018">
        <f t="shared" si="14"/>
        <v>2214</v>
      </c>
      <c r="I49" s="1018">
        <f t="shared" si="14"/>
        <v>217825</v>
      </c>
      <c r="J49" s="1018">
        <f t="shared" si="14"/>
        <v>186879</v>
      </c>
      <c r="K49" s="1018">
        <f t="shared" si="14"/>
        <v>489</v>
      </c>
      <c r="L49" s="1018">
        <f t="shared" si="2"/>
        <v>187368</v>
      </c>
      <c r="M49" s="1018">
        <f t="shared" si="14"/>
        <v>58747</v>
      </c>
      <c r="N49" s="1018">
        <f t="shared" si="14"/>
        <v>2424</v>
      </c>
      <c r="O49" s="1018">
        <f t="shared" si="14"/>
        <v>61171</v>
      </c>
    </row>
    <row r="50" spans="1:15" s="164" customFormat="1" x14ac:dyDescent="0.3">
      <c r="A50" s="1022"/>
      <c r="B50" s="1023"/>
      <c r="C50" s="1023"/>
      <c r="D50" s="1024"/>
      <c r="E50" s="1024"/>
      <c r="F50" s="1024"/>
      <c r="G50" s="1023"/>
      <c r="H50" s="1023"/>
      <c r="I50" s="1023"/>
      <c r="J50" s="1023"/>
      <c r="K50" s="1023"/>
      <c r="L50" s="1023"/>
      <c r="M50" s="1023"/>
      <c r="N50" s="1023"/>
      <c r="O50" s="1023"/>
    </row>
    <row r="51" spans="1:15" s="164" customFormat="1" ht="25.5" customHeight="1" x14ac:dyDescent="0.3">
      <c r="A51" s="1110" t="s">
        <v>0</v>
      </c>
      <c r="B51" s="1228" t="s">
        <v>182</v>
      </c>
      <c r="C51" s="1228"/>
      <c r="D51" s="1230" t="s">
        <v>180</v>
      </c>
      <c r="E51" s="1230"/>
      <c r="F51" s="1230"/>
      <c r="G51" s="1204" t="s">
        <v>292</v>
      </c>
      <c r="H51" s="1204"/>
      <c r="I51" s="1204"/>
      <c r="J51" s="1204" t="s">
        <v>293</v>
      </c>
      <c r="K51" s="1204"/>
      <c r="L51" s="1204"/>
      <c r="M51" s="1204" t="s">
        <v>294</v>
      </c>
      <c r="N51" s="1204"/>
      <c r="O51" s="1204"/>
    </row>
    <row r="52" spans="1:15" s="164" customFormat="1" ht="26.4" x14ac:dyDescent="0.3">
      <c r="A52" s="1110"/>
      <c r="B52" s="1228"/>
      <c r="C52" s="1228"/>
      <c r="D52" s="890" t="s">
        <v>177</v>
      </c>
      <c r="E52" s="890" t="s">
        <v>792</v>
      </c>
      <c r="F52" s="890" t="s">
        <v>795</v>
      </c>
      <c r="G52" s="890" t="s">
        <v>177</v>
      </c>
      <c r="H52" s="890" t="s">
        <v>792</v>
      </c>
      <c r="I52" s="890" t="s">
        <v>795</v>
      </c>
      <c r="J52" s="890" t="s">
        <v>177</v>
      </c>
      <c r="K52" s="890" t="s">
        <v>792</v>
      </c>
      <c r="L52" s="890" t="s">
        <v>795</v>
      </c>
      <c r="M52" s="890" t="s">
        <v>177</v>
      </c>
      <c r="N52" s="890" t="s">
        <v>792</v>
      </c>
      <c r="O52" s="890" t="s">
        <v>795</v>
      </c>
    </row>
    <row r="53" spans="1:15" s="164" customFormat="1" x14ac:dyDescent="0.3">
      <c r="A53" s="4" t="s">
        <v>27</v>
      </c>
      <c r="B53" s="1229" t="s">
        <v>174</v>
      </c>
      <c r="C53" s="1229"/>
      <c r="D53" s="1025">
        <f>+G53+J53+M53</f>
        <v>297067</v>
      </c>
      <c r="E53" s="1025">
        <f t="shared" ref="E53:F56" si="15">+H53+K53+N53</f>
        <v>393</v>
      </c>
      <c r="F53" s="1025">
        <f t="shared" si="15"/>
        <v>297460</v>
      </c>
      <c r="G53" s="1025">
        <f>+'6.a. mell. PH'!D19</f>
        <v>153756</v>
      </c>
      <c r="H53" s="1025">
        <f>+'6.a. mell. PH'!E19</f>
        <v>119</v>
      </c>
      <c r="I53" s="1025">
        <f>+'6.a. mell. PH'!F19</f>
        <v>153875</v>
      </c>
      <c r="J53" s="1025">
        <f>+'6.b. mell. Óvoda'!D19</f>
        <v>120852</v>
      </c>
      <c r="K53" s="1025">
        <f>+'6.b. mell. Óvoda'!E19</f>
        <v>-348</v>
      </c>
      <c r="L53" s="1025">
        <f>+'6.b. mell. Óvoda'!F19</f>
        <v>120504</v>
      </c>
      <c r="M53" s="1025">
        <f>+'6.c. mell. BBKP'!D19</f>
        <v>22459</v>
      </c>
      <c r="N53" s="1025">
        <f>+'6.c. mell. BBKP'!E19</f>
        <v>622</v>
      </c>
      <c r="O53" s="1025">
        <f>+'6.c. mell. BBKP'!F19</f>
        <v>23081</v>
      </c>
    </row>
    <row r="54" spans="1:15" s="164" customFormat="1" x14ac:dyDescent="0.3">
      <c r="A54" s="4" t="s">
        <v>33</v>
      </c>
      <c r="B54" s="1229" t="s">
        <v>173</v>
      </c>
      <c r="C54" s="1229"/>
      <c r="D54" s="1025">
        <f t="shared" ref="D54:F77" si="16">+G54+J54+M54</f>
        <v>3590</v>
      </c>
      <c r="E54" s="1025">
        <f t="shared" si="15"/>
        <v>1085</v>
      </c>
      <c r="F54" s="1025">
        <f t="shared" si="15"/>
        <v>4675</v>
      </c>
      <c r="G54" s="1025">
        <f>+'6.a. mell. PH'!D23</f>
        <v>30</v>
      </c>
      <c r="H54" s="1025">
        <f>+'6.a. mell. PH'!E23</f>
        <v>931</v>
      </c>
      <c r="I54" s="1025">
        <f>+'6.a. mell. PH'!F23</f>
        <v>961</v>
      </c>
      <c r="J54" s="1025">
        <f>+'6.b. mell. Óvoda'!D23</f>
        <v>2030</v>
      </c>
      <c r="K54" s="1025">
        <f>+'6.b. mell. Óvoda'!E23</f>
        <v>148</v>
      </c>
      <c r="L54" s="1025">
        <f>+'6.b. mell. Óvoda'!F23</f>
        <v>2178</v>
      </c>
      <c r="M54" s="1025">
        <f>+'6.c. mell. BBKP'!D23</f>
        <v>1530</v>
      </c>
      <c r="N54" s="1025">
        <f>+'6.c. mell. BBKP'!E23</f>
        <v>6</v>
      </c>
      <c r="O54" s="1025">
        <f>+'6.c. mell. BBKP'!F23</f>
        <v>1536</v>
      </c>
    </row>
    <row r="55" spans="1:15" s="164" customFormat="1" x14ac:dyDescent="0.3">
      <c r="A55" s="6" t="s">
        <v>34</v>
      </c>
      <c r="B55" s="1225" t="s">
        <v>172</v>
      </c>
      <c r="C55" s="1225"/>
      <c r="D55" s="1026">
        <f t="shared" si="16"/>
        <v>300657</v>
      </c>
      <c r="E55" s="1026">
        <f t="shared" si="15"/>
        <v>1478</v>
      </c>
      <c r="F55" s="1026">
        <f t="shared" si="15"/>
        <v>302135</v>
      </c>
      <c r="G55" s="1026">
        <f>SUM(G53:G54)</f>
        <v>153786</v>
      </c>
      <c r="H55" s="1026">
        <f t="shared" ref="H55:I55" si="17">SUM(H53:H54)</f>
        <v>1050</v>
      </c>
      <c r="I55" s="1026">
        <f t="shared" si="17"/>
        <v>154836</v>
      </c>
      <c r="J55" s="1026">
        <f>+J54+J53</f>
        <v>122882</v>
      </c>
      <c r="K55" s="1026">
        <f t="shared" ref="K55:L55" si="18">+K54+K53</f>
        <v>-200</v>
      </c>
      <c r="L55" s="1026">
        <f t="shared" si="18"/>
        <v>122682</v>
      </c>
      <c r="M55" s="1026">
        <f>+M54+M53</f>
        <v>23989</v>
      </c>
      <c r="N55" s="1026">
        <f t="shared" ref="N55:O55" si="19">+N54+N53</f>
        <v>628</v>
      </c>
      <c r="O55" s="1026">
        <f t="shared" si="19"/>
        <v>24617</v>
      </c>
    </row>
    <row r="56" spans="1:15" s="164" customFormat="1" x14ac:dyDescent="0.3">
      <c r="A56" s="6" t="s">
        <v>35</v>
      </c>
      <c r="B56" s="1225" t="s">
        <v>171</v>
      </c>
      <c r="C56" s="1225"/>
      <c r="D56" s="1026">
        <f t="shared" si="16"/>
        <v>64484</v>
      </c>
      <c r="E56" s="1026">
        <f t="shared" si="15"/>
        <v>385</v>
      </c>
      <c r="F56" s="1026">
        <f t="shared" si="15"/>
        <v>64869</v>
      </c>
      <c r="G56" s="1026">
        <f>+'6.a. mell. PH'!D26</f>
        <v>32990</v>
      </c>
      <c r="H56" s="1026">
        <f>+'6.a. mell. PH'!E26</f>
        <v>201</v>
      </c>
      <c r="I56" s="1026">
        <f>+'6.a. mell. PH'!F26</f>
        <v>33191</v>
      </c>
      <c r="J56" s="1026">
        <f>+'6.b. mell. Óvoda'!D26</f>
        <v>26806</v>
      </c>
      <c r="K56" s="1026">
        <f>+'6.b. mell. Óvoda'!E26</f>
        <v>57</v>
      </c>
      <c r="L56" s="1026">
        <f>+'6.b. mell. Óvoda'!F26</f>
        <v>26863</v>
      </c>
      <c r="M56" s="1026">
        <f>+'6.c. mell. BBKP'!D26</f>
        <v>4688</v>
      </c>
      <c r="N56" s="1026">
        <f>+'6.c. mell. BBKP'!E26</f>
        <v>127</v>
      </c>
      <c r="O56" s="1026">
        <f>+'6.c. mell. BBKP'!F26</f>
        <v>4815</v>
      </c>
    </row>
    <row r="57" spans="1:15" s="164" customFormat="1" ht="12.75" customHeight="1" x14ac:dyDescent="0.3">
      <c r="A57" s="1231"/>
      <c r="B57" s="1231"/>
      <c r="C57" s="1231"/>
      <c r="D57" s="1027"/>
      <c r="E57" s="1027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</row>
    <row r="58" spans="1:15" s="164" customFormat="1" x14ac:dyDescent="0.3">
      <c r="A58" s="4" t="s">
        <v>47</v>
      </c>
      <c r="B58" s="1229" t="s">
        <v>170</v>
      </c>
      <c r="C58" s="1229"/>
      <c r="D58" s="1025">
        <f t="shared" si="16"/>
        <v>7349</v>
      </c>
      <c r="E58" s="1025">
        <f t="shared" si="16"/>
        <v>22</v>
      </c>
      <c r="F58" s="1025">
        <f t="shared" si="16"/>
        <v>7371</v>
      </c>
      <c r="G58" s="1025">
        <f>+'6.a. mell. PH'!D36</f>
        <v>3239</v>
      </c>
      <c r="H58" s="1025">
        <f>+'6.a. mell. PH'!E36</f>
        <v>0</v>
      </c>
      <c r="I58" s="1025">
        <f>+'6.a. mell. PH'!F36</f>
        <v>3239</v>
      </c>
      <c r="J58" s="1025">
        <f>+'6.b. mell. Óvoda'!D36</f>
        <v>2000</v>
      </c>
      <c r="K58" s="1025">
        <f>+'6.b. mell. Óvoda'!E36</f>
        <v>22</v>
      </c>
      <c r="L58" s="1025">
        <f>+'6.b. mell. Óvoda'!F36</f>
        <v>2022</v>
      </c>
      <c r="M58" s="1025">
        <f>+'6.c. mell. BBKP'!D37</f>
        <v>2110</v>
      </c>
      <c r="N58" s="1025">
        <f>+'6.c. mell. BBKP'!E37</f>
        <v>0</v>
      </c>
      <c r="O58" s="1025">
        <f>+'6.c. mell. BBKP'!F37</f>
        <v>2110</v>
      </c>
    </row>
    <row r="59" spans="1:15" s="164" customFormat="1" x14ac:dyDescent="0.3">
      <c r="A59" s="4" t="s">
        <v>52</v>
      </c>
      <c r="B59" s="1229" t="s">
        <v>169</v>
      </c>
      <c r="C59" s="1229"/>
      <c r="D59" s="1025">
        <f t="shared" si="16"/>
        <v>3526</v>
      </c>
      <c r="E59" s="1025">
        <f t="shared" si="16"/>
        <v>0</v>
      </c>
      <c r="F59" s="1025">
        <f t="shared" si="16"/>
        <v>3526</v>
      </c>
      <c r="G59" s="1025">
        <f>+'6.a. mell. PH'!D39</f>
        <v>2612</v>
      </c>
      <c r="H59" s="1025">
        <f>+'6.a. mell. PH'!E39</f>
        <v>0</v>
      </c>
      <c r="I59" s="1025">
        <f>+'6.a. mell. PH'!F39</f>
        <v>2612</v>
      </c>
      <c r="J59" s="1025">
        <f>+'6.b. mell. Óvoda'!D39</f>
        <v>250</v>
      </c>
      <c r="K59" s="1025">
        <f>+'6.b. mell. Óvoda'!E39</f>
        <v>0</v>
      </c>
      <c r="L59" s="1025">
        <f>+'6.b. mell. Óvoda'!F39</f>
        <v>250</v>
      </c>
      <c r="M59" s="1025">
        <f>+'6.c. mell. BBKP'!D40</f>
        <v>664</v>
      </c>
      <c r="N59" s="1025">
        <f>+'6.c. mell. BBKP'!E40</f>
        <v>0</v>
      </c>
      <c r="O59" s="1025">
        <f>+'6.c. mell. BBKP'!F40</f>
        <v>664</v>
      </c>
    </row>
    <row r="60" spans="1:15" s="164" customFormat="1" x14ac:dyDescent="0.3">
      <c r="A60" s="4" t="s">
        <v>66</v>
      </c>
      <c r="B60" s="1229" t="s">
        <v>156</v>
      </c>
      <c r="C60" s="1229"/>
      <c r="D60" s="1025">
        <f t="shared" si="16"/>
        <v>36232</v>
      </c>
      <c r="E60" s="1025">
        <f t="shared" si="16"/>
        <v>937</v>
      </c>
      <c r="F60" s="1025">
        <f t="shared" si="16"/>
        <v>37169</v>
      </c>
      <c r="G60" s="1025">
        <f>+'6.a. mell. PH'!D49</f>
        <v>9820</v>
      </c>
      <c r="H60" s="1025">
        <f>+'6.a. mell. PH'!E49</f>
        <v>490</v>
      </c>
      <c r="I60" s="1025">
        <f>+'6.a. mell. PH'!F49</f>
        <v>10310</v>
      </c>
      <c r="J60" s="1025">
        <f>+'6.b. mell. Óvoda'!D49</f>
        <v>18027</v>
      </c>
      <c r="K60" s="1025">
        <f>+'6.b. mell. Óvoda'!E49</f>
        <v>443</v>
      </c>
      <c r="L60" s="1025">
        <f>+'6.b. mell. Óvoda'!F49</f>
        <v>18470</v>
      </c>
      <c r="M60" s="1025">
        <f>+'6.c. mell. BBKP'!D50</f>
        <v>8385</v>
      </c>
      <c r="N60" s="1025">
        <f>+'6.c. mell. BBKP'!E50</f>
        <v>4</v>
      </c>
      <c r="O60" s="1025">
        <f>+'6.c. mell. BBKP'!F50</f>
        <v>8389</v>
      </c>
    </row>
    <row r="61" spans="1:15" s="164" customFormat="1" x14ac:dyDescent="0.3">
      <c r="A61" s="4" t="s">
        <v>71</v>
      </c>
      <c r="B61" s="1229" t="s">
        <v>155</v>
      </c>
      <c r="C61" s="1229"/>
      <c r="D61" s="1025">
        <f t="shared" si="16"/>
        <v>1375</v>
      </c>
      <c r="E61" s="1025">
        <f t="shared" si="16"/>
        <v>1522</v>
      </c>
      <c r="F61" s="1025">
        <f t="shared" si="16"/>
        <v>2897</v>
      </c>
      <c r="G61" s="1025">
        <f>+'6.a. mell. PH'!D52</f>
        <v>550</v>
      </c>
      <c r="H61" s="1025">
        <f>+'6.a. mell. PH'!E52</f>
        <v>23</v>
      </c>
      <c r="I61" s="1025">
        <f>+'6.a. mell. PH'!F52</f>
        <v>573</v>
      </c>
      <c r="J61" s="1025">
        <f>+'6.b. mell. Óvoda'!D52</f>
        <v>60</v>
      </c>
      <c r="K61" s="1025">
        <f>+'6.b. mell. Óvoda'!E52</f>
        <v>0</v>
      </c>
      <c r="L61" s="1025">
        <f>+'6.b. mell. Óvoda'!F52</f>
        <v>60</v>
      </c>
      <c r="M61" s="1025">
        <f>+'6.c. mell. BBKP'!D53</f>
        <v>765</v>
      </c>
      <c r="N61" s="1025">
        <f>+'6.c. mell. BBKP'!E53</f>
        <v>1499</v>
      </c>
      <c r="O61" s="1025">
        <f>+'6.c. mell. BBKP'!F53</f>
        <v>2264</v>
      </c>
    </row>
    <row r="62" spans="1:15" s="164" customFormat="1" x14ac:dyDescent="0.3">
      <c r="A62" s="4" t="s">
        <v>80</v>
      </c>
      <c r="B62" s="1229" t="s">
        <v>152</v>
      </c>
      <c r="C62" s="1229"/>
      <c r="D62" s="1025">
        <f t="shared" si="16"/>
        <v>12470.91</v>
      </c>
      <c r="E62" s="1025">
        <f t="shared" si="16"/>
        <v>54</v>
      </c>
      <c r="F62" s="1025">
        <f t="shared" si="16"/>
        <v>12524.91</v>
      </c>
      <c r="G62" s="1025">
        <f>+'6.a. mell. PH'!D58</f>
        <v>2268</v>
      </c>
      <c r="H62" s="1025">
        <f>+'6.a. mell. PH'!E58</f>
        <v>30</v>
      </c>
      <c r="I62" s="1025">
        <f>+'6.a. mell. PH'!F58</f>
        <v>2298</v>
      </c>
      <c r="J62" s="1025">
        <f>+'6.b. mell. Óvoda'!D58</f>
        <v>6409.93</v>
      </c>
      <c r="K62" s="1025">
        <f>+'6.b. mell. Óvoda'!E58</f>
        <v>12</v>
      </c>
      <c r="L62" s="1025">
        <f>+'6.b. mell. Óvoda'!F58</f>
        <v>6421.93</v>
      </c>
      <c r="M62" s="1025">
        <f>+'6.c. mell. BBKP'!D59</f>
        <v>3792.98</v>
      </c>
      <c r="N62" s="1025">
        <f>+'6.c. mell. BBKP'!E59</f>
        <v>12</v>
      </c>
      <c r="O62" s="1025">
        <f>+'6.c. mell. BBKP'!F59</f>
        <v>3804.98</v>
      </c>
    </row>
    <row r="63" spans="1:15" s="164" customFormat="1" x14ac:dyDescent="0.3">
      <c r="A63" s="6" t="s">
        <v>81</v>
      </c>
      <c r="B63" s="1225" t="s">
        <v>151</v>
      </c>
      <c r="C63" s="1225"/>
      <c r="D63" s="1026">
        <f t="shared" si="16"/>
        <v>60952.91</v>
      </c>
      <c r="E63" s="1026">
        <f t="shared" si="16"/>
        <v>2535</v>
      </c>
      <c r="F63" s="1026">
        <f t="shared" si="16"/>
        <v>63487.91</v>
      </c>
      <c r="G63" s="1026">
        <f>SUM(G58:G62)</f>
        <v>18489</v>
      </c>
      <c r="H63" s="1026">
        <f t="shared" ref="H63:I63" si="20">SUM(H58:H62)</f>
        <v>543</v>
      </c>
      <c r="I63" s="1026">
        <f t="shared" si="20"/>
        <v>19032</v>
      </c>
      <c r="J63" s="1026">
        <f>SUM(J58:J62)</f>
        <v>26746.93</v>
      </c>
      <c r="K63" s="1026">
        <f t="shared" ref="K63:L63" si="21">SUM(K58:K62)</f>
        <v>477</v>
      </c>
      <c r="L63" s="1026">
        <f t="shared" si="21"/>
        <v>27223.93</v>
      </c>
      <c r="M63" s="1026">
        <f>SUM(M58:M62)</f>
        <v>15716.98</v>
      </c>
      <c r="N63" s="1026">
        <f t="shared" ref="N63:O63" si="22">SUM(N58:N62)</f>
        <v>1515</v>
      </c>
      <c r="O63" s="1026">
        <f t="shared" si="22"/>
        <v>17231.98</v>
      </c>
    </row>
    <row r="64" spans="1:15" s="164" customFormat="1" ht="11.25" customHeight="1" x14ac:dyDescent="0.3">
      <c r="A64" s="1231"/>
      <c r="B64" s="1231"/>
      <c r="C64" s="1231"/>
      <c r="D64" s="1027"/>
      <c r="E64" s="1027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</row>
    <row r="65" spans="1:15" s="164" customFormat="1" x14ac:dyDescent="0.3">
      <c r="A65" s="4" t="s">
        <v>101</v>
      </c>
      <c r="B65" s="1232" t="s">
        <v>862</v>
      </c>
      <c r="C65" s="1232"/>
      <c r="D65" s="1025">
        <f>+G65+J65+M65</f>
        <v>0</v>
      </c>
      <c r="E65" s="1025">
        <f t="shared" ref="E65:F65" si="23">+H65+K65+N65</f>
        <v>615</v>
      </c>
      <c r="F65" s="1025">
        <f t="shared" si="23"/>
        <v>615</v>
      </c>
      <c r="G65" s="1025">
        <f>+'6.a. mell. PH'!D61</f>
        <v>0</v>
      </c>
      <c r="H65" s="1025">
        <f>+'6.a. mell. PH'!E61</f>
        <v>420</v>
      </c>
      <c r="I65" s="1025">
        <f>+'6.a. mell. PH'!F61</f>
        <v>420</v>
      </c>
      <c r="J65" s="1025">
        <f>+'6.b. mell. Óvoda'!D61</f>
        <v>0</v>
      </c>
      <c r="K65" s="1025">
        <f>+'6.b. mell. Óvoda'!E61</f>
        <v>113</v>
      </c>
      <c r="L65" s="1025">
        <f>+'6.b. mell. Óvoda'!F61</f>
        <v>113</v>
      </c>
      <c r="M65" s="1025">
        <f>+'6.c. mell. BBKP'!D62</f>
        <v>0</v>
      </c>
      <c r="N65" s="1025">
        <f>+'6.c. mell. BBKP'!E62</f>
        <v>82</v>
      </c>
      <c r="O65" s="1025">
        <f>+'6.c. mell. BBKP'!F62</f>
        <v>82</v>
      </c>
    </row>
    <row r="66" spans="1:15" s="164" customFormat="1" x14ac:dyDescent="0.3">
      <c r="A66" s="4" t="s">
        <v>105</v>
      </c>
      <c r="B66" s="1232" t="s">
        <v>164</v>
      </c>
      <c r="C66" s="1232"/>
      <c r="D66" s="1025">
        <f t="shared" si="16"/>
        <v>29043</v>
      </c>
      <c r="E66" s="1025">
        <f t="shared" si="16"/>
        <v>0</v>
      </c>
      <c r="F66" s="1025">
        <f t="shared" si="16"/>
        <v>29043</v>
      </c>
      <c r="G66" s="1025">
        <f>+'6.a. mell. PH'!D62</f>
        <v>4246</v>
      </c>
      <c r="H66" s="1025">
        <f>+'6.a. mell. PH'!E62</f>
        <v>0</v>
      </c>
      <c r="I66" s="1025">
        <f>+'6.a. mell. PH'!F62</f>
        <v>4246</v>
      </c>
      <c r="J66" s="1025">
        <f>+'6.b. mell. Óvoda'!D62</f>
        <v>10444</v>
      </c>
      <c r="K66" s="1025">
        <f>+'6.b. mell. Óvoda'!E62</f>
        <v>0</v>
      </c>
      <c r="L66" s="1025">
        <f>+'6.b. mell. Óvoda'!F62</f>
        <v>10444</v>
      </c>
      <c r="M66" s="1025">
        <f>+'6.c. mell. BBKP'!D63</f>
        <v>14353</v>
      </c>
      <c r="N66" s="1025">
        <f>+'6.c. mell. BBKP'!E63</f>
        <v>0</v>
      </c>
      <c r="O66" s="1025">
        <f>+'6.c. mell. BBKP'!F63</f>
        <v>14353</v>
      </c>
    </row>
    <row r="67" spans="1:15" s="164" customFormat="1" x14ac:dyDescent="0.3">
      <c r="A67" s="6" t="s">
        <v>108</v>
      </c>
      <c r="B67" s="1225" t="s">
        <v>163</v>
      </c>
      <c r="C67" s="1225"/>
      <c r="D67" s="1026">
        <f t="shared" si="16"/>
        <v>29043</v>
      </c>
      <c r="E67" s="1026">
        <f t="shared" si="16"/>
        <v>615</v>
      </c>
      <c r="F67" s="1026">
        <f t="shared" si="16"/>
        <v>29658</v>
      </c>
      <c r="G67" s="1026">
        <f>+G66+G65</f>
        <v>4246</v>
      </c>
      <c r="H67" s="1026">
        <f t="shared" ref="H67:I67" si="24">+H66+H65</f>
        <v>420</v>
      </c>
      <c r="I67" s="1026">
        <f t="shared" si="24"/>
        <v>4666</v>
      </c>
      <c r="J67" s="1026">
        <f>+J66+J65</f>
        <v>10444</v>
      </c>
      <c r="K67" s="1026">
        <f t="shared" ref="K67:L67" si="25">+K66+K65</f>
        <v>113</v>
      </c>
      <c r="L67" s="1026">
        <f t="shared" si="25"/>
        <v>10557</v>
      </c>
      <c r="M67" s="1026">
        <f>+M66+M65</f>
        <v>14353</v>
      </c>
      <c r="N67" s="1026">
        <f t="shared" ref="N67:O67" si="26">+N66+N65</f>
        <v>82</v>
      </c>
      <c r="O67" s="1026">
        <f t="shared" si="26"/>
        <v>14435</v>
      </c>
    </row>
    <row r="68" spans="1:15" s="164" customFormat="1" x14ac:dyDescent="0.3">
      <c r="A68" s="1231"/>
      <c r="B68" s="1231"/>
      <c r="C68" s="1231"/>
      <c r="D68" s="1027"/>
      <c r="E68" s="1027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</row>
    <row r="69" spans="1:15" s="164" customFormat="1" x14ac:dyDescent="0.3">
      <c r="A69" s="6" t="s">
        <v>123</v>
      </c>
      <c r="B69" s="1225" t="s">
        <v>161</v>
      </c>
      <c r="C69" s="1225"/>
      <c r="D69" s="1026">
        <f t="shared" si="16"/>
        <v>6100</v>
      </c>
      <c r="E69" s="1026">
        <f t="shared" si="16"/>
        <v>114</v>
      </c>
      <c r="F69" s="1026">
        <f t="shared" si="16"/>
        <v>6214</v>
      </c>
      <c r="G69" s="1026">
        <f>+'6.a. mell. PH'!D74</f>
        <v>6100</v>
      </c>
      <c r="H69" s="1026">
        <f>+'6.a. mell. PH'!E74</f>
        <v>0</v>
      </c>
      <c r="I69" s="1026">
        <f>+'6.a. mell. PH'!F74</f>
        <v>6100</v>
      </c>
      <c r="J69" s="1026">
        <f>+'6.b. mell. Óvoda'!D75</f>
        <v>0</v>
      </c>
      <c r="K69" s="1026">
        <f>+'6.b. mell. Óvoda'!E75</f>
        <v>42</v>
      </c>
      <c r="L69" s="1026">
        <f>+'6.b. mell. Óvoda'!F75</f>
        <v>42</v>
      </c>
      <c r="M69" s="1026">
        <f>+'6.c. mell. BBKP'!D76</f>
        <v>0</v>
      </c>
      <c r="N69" s="1026">
        <f>+'6.c. mell. BBKP'!E76</f>
        <v>72</v>
      </c>
      <c r="O69" s="1026">
        <f>+'6.c. mell. BBKP'!F76</f>
        <v>72</v>
      </c>
    </row>
    <row r="70" spans="1:15" s="164" customFormat="1" x14ac:dyDescent="0.3">
      <c r="A70" s="1231"/>
      <c r="B70" s="1231"/>
      <c r="C70" s="1231"/>
      <c r="D70" s="1027"/>
      <c r="E70" s="1027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</row>
    <row r="71" spans="1:15" s="164" customFormat="1" x14ac:dyDescent="0.3">
      <c r="A71" s="6" t="s">
        <v>132</v>
      </c>
      <c r="B71" s="1225" t="s">
        <v>160</v>
      </c>
      <c r="C71" s="1225"/>
      <c r="D71" s="1026">
        <f t="shared" si="16"/>
        <v>0</v>
      </c>
      <c r="E71" s="1026">
        <f t="shared" si="16"/>
        <v>0</v>
      </c>
      <c r="F71" s="1026">
        <f t="shared" si="16"/>
        <v>0</v>
      </c>
      <c r="G71" s="1026">
        <f>+'6.a. mell. PH'!D80</f>
        <v>0</v>
      </c>
      <c r="H71" s="1026">
        <f>+'6.a. mell. PH'!E80</f>
        <v>0</v>
      </c>
      <c r="I71" s="1026">
        <f>+'6.a. mell. PH'!F80</f>
        <v>0</v>
      </c>
      <c r="J71" s="1026">
        <f>+'6.b. mell. Óvoda'!D81</f>
        <v>0</v>
      </c>
      <c r="K71" s="1026">
        <f>+'6.b. mell. Óvoda'!E81</f>
        <v>0</v>
      </c>
      <c r="L71" s="1026">
        <f>+'6.b. mell. Óvoda'!F81</f>
        <v>0</v>
      </c>
      <c r="M71" s="1026">
        <f>+'6.c. mell. BBKP'!D82</f>
        <v>0</v>
      </c>
      <c r="N71" s="1026">
        <f>+'6.c. mell. BBKP'!E82</f>
        <v>0</v>
      </c>
      <c r="O71" s="1026">
        <f>+'6.c. mell. BBKP'!F82</f>
        <v>0</v>
      </c>
    </row>
    <row r="72" spans="1:15" s="164" customFormat="1" x14ac:dyDescent="0.3">
      <c r="A72" s="1231"/>
      <c r="B72" s="1231"/>
      <c r="C72" s="1231"/>
      <c r="D72" s="1027"/>
      <c r="E72" s="1027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</row>
    <row r="73" spans="1:15" s="164" customFormat="1" x14ac:dyDescent="0.3">
      <c r="A73" s="6" t="s">
        <v>134</v>
      </c>
      <c r="B73" s="1225" t="s">
        <v>158</v>
      </c>
      <c r="C73" s="1225"/>
      <c r="D73" s="1026">
        <f t="shared" si="16"/>
        <v>0</v>
      </c>
      <c r="E73" s="1026">
        <f t="shared" si="16"/>
        <v>0</v>
      </c>
      <c r="F73" s="1026">
        <f t="shared" si="16"/>
        <v>0</v>
      </c>
      <c r="G73" s="1026">
        <f>+'6.a. mell. PH'!D82</f>
        <v>0</v>
      </c>
      <c r="H73" s="1026">
        <f>+'6.a. mell. PH'!E82</f>
        <v>0</v>
      </c>
      <c r="I73" s="1026">
        <f>+'6.a. mell. PH'!F82</f>
        <v>0</v>
      </c>
      <c r="J73" s="1026">
        <f>+'6.b. mell. Óvoda'!D83</f>
        <v>0</v>
      </c>
      <c r="K73" s="1026">
        <f>+'6.b. mell. Óvoda'!E83</f>
        <v>0</v>
      </c>
      <c r="L73" s="1026">
        <f>+'6.b. mell. Óvoda'!F83</f>
        <v>0</v>
      </c>
      <c r="M73" s="1026">
        <f>+'6.c. mell. BBKP'!D84</f>
        <v>0</v>
      </c>
      <c r="N73" s="1026">
        <f>+'6.c. mell. BBKP'!E84</f>
        <v>0</v>
      </c>
      <c r="O73" s="1026">
        <f>+'6.c. mell. BBKP'!F84</f>
        <v>0</v>
      </c>
    </row>
    <row r="74" spans="1:15" s="164" customFormat="1" x14ac:dyDescent="0.3">
      <c r="A74" s="1231"/>
      <c r="B74" s="1231"/>
      <c r="C74" s="1231"/>
      <c r="D74" s="1027"/>
      <c r="E74" s="1027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</row>
    <row r="75" spans="1:15" s="164" customFormat="1" x14ac:dyDescent="0.3">
      <c r="A75" s="6" t="s">
        <v>135</v>
      </c>
      <c r="B75" s="1225" t="s">
        <v>157</v>
      </c>
      <c r="C75" s="1225"/>
      <c r="D75" s="1026">
        <f t="shared" si="16"/>
        <v>461236.91</v>
      </c>
      <c r="E75" s="1026">
        <f t="shared" si="16"/>
        <v>5127</v>
      </c>
      <c r="F75" s="1026">
        <f t="shared" si="16"/>
        <v>466363.91</v>
      </c>
      <c r="G75" s="1026">
        <f>+G73+G71+G69+G67+G63+G56+G55</f>
        <v>215611</v>
      </c>
      <c r="H75" s="1026">
        <f t="shared" ref="H75:I75" si="27">+H73+H71+H69+H67+H63+H56+H55</f>
        <v>2214</v>
      </c>
      <c r="I75" s="1026">
        <f t="shared" si="27"/>
        <v>217825</v>
      </c>
      <c r="J75" s="1026">
        <f>+J73+J71+J69+J67+J63+J56+J55</f>
        <v>186878.93</v>
      </c>
      <c r="K75" s="1026">
        <f t="shared" ref="K75:L75" si="28">+K73+K71+K69+K67+K63+K56+K55</f>
        <v>489</v>
      </c>
      <c r="L75" s="1026">
        <f t="shared" si="28"/>
        <v>187367.93</v>
      </c>
      <c r="M75" s="1026">
        <f>+M73+M71+M69+M67+M63+M56+M55</f>
        <v>58746.979999999996</v>
      </c>
      <c r="N75" s="1026">
        <f t="shared" ref="N75:O75" si="29">+N73+N71+N69+N67+N63+N56+N55</f>
        <v>2424</v>
      </c>
      <c r="O75" s="1026">
        <f t="shared" si="29"/>
        <v>61170.979999999996</v>
      </c>
    </row>
    <row r="76" spans="1:15" s="164" customFormat="1" x14ac:dyDescent="0.3">
      <c r="A76" s="1231"/>
      <c r="B76" s="1231"/>
      <c r="C76" s="1231"/>
      <c r="D76" s="1027"/>
      <c r="E76" s="1027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</row>
    <row r="77" spans="1:15" s="164" customFormat="1" x14ac:dyDescent="0.3">
      <c r="A77" s="72" t="s">
        <v>271</v>
      </c>
      <c r="B77" s="73" t="s">
        <v>277</v>
      </c>
      <c r="C77" s="73"/>
      <c r="D77" s="1026">
        <f t="shared" si="16"/>
        <v>0</v>
      </c>
      <c r="E77" s="1026">
        <f t="shared" si="16"/>
        <v>0</v>
      </c>
      <c r="F77" s="1026">
        <f t="shared" si="16"/>
        <v>0</v>
      </c>
      <c r="G77" s="1026">
        <v>0</v>
      </c>
      <c r="H77" s="1026">
        <v>0</v>
      </c>
      <c r="I77" s="1026">
        <v>0</v>
      </c>
      <c r="J77" s="1026">
        <v>0</v>
      </c>
      <c r="K77" s="1026">
        <v>0</v>
      </c>
      <c r="L77" s="1026">
        <v>0</v>
      </c>
      <c r="M77" s="1026">
        <v>0</v>
      </c>
      <c r="N77" s="1026">
        <v>0</v>
      </c>
      <c r="O77" s="1026">
        <v>0</v>
      </c>
    </row>
    <row r="78" spans="1:15" s="164" customFormat="1" x14ac:dyDescent="0.3">
      <c r="A78" s="1231"/>
      <c r="B78" s="1231"/>
      <c r="C78" s="1231"/>
      <c r="D78" s="1027"/>
      <c r="E78" s="1027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</row>
    <row r="79" spans="1:15" s="164" customFormat="1" x14ac:dyDescent="0.3">
      <c r="A79" s="1233" t="s">
        <v>289</v>
      </c>
      <c r="B79" s="1233"/>
      <c r="C79" s="1233"/>
      <c r="D79" s="1026">
        <f>+G79+J79+M79</f>
        <v>461236.91</v>
      </c>
      <c r="E79" s="1026">
        <f t="shared" ref="E79:F79" si="30">+H79+K79+N79</f>
        <v>5127</v>
      </c>
      <c r="F79" s="1026">
        <f t="shared" si="30"/>
        <v>466363.91</v>
      </c>
      <c r="G79" s="1026">
        <f>+G77+G75</f>
        <v>215611</v>
      </c>
      <c r="H79" s="1026">
        <f t="shared" ref="H79:I79" si="31">+H77+H75</f>
        <v>2214</v>
      </c>
      <c r="I79" s="1026">
        <f t="shared" si="31"/>
        <v>217825</v>
      </c>
      <c r="J79" s="1026">
        <f>+J77+J75</f>
        <v>186878.93</v>
      </c>
      <c r="K79" s="1026">
        <f t="shared" ref="K79:L79" si="32">+K77+K75</f>
        <v>489</v>
      </c>
      <c r="L79" s="1026">
        <f t="shared" si="32"/>
        <v>187367.93</v>
      </c>
      <c r="M79" s="1026">
        <f>+M77+M75</f>
        <v>58746.979999999996</v>
      </c>
      <c r="N79" s="1026">
        <f t="shared" ref="N79:O79" si="33">+N77+N75</f>
        <v>2424</v>
      </c>
      <c r="O79" s="1026">
        <f t="shared" si="33"/>
        <v>61170.979999999996</v>
      </c>
    </row>
    <row r="80" spans="1:15" s="164" customFormat="1" x14ac:dyDescent="0.3"/>
    <row r="81" s="164" customFormat="1" x14ac:dyDescent="0.3"/>
    <row r="82" s="164" customFormat="1" x14ac:dyDescent="0.3"/>
    <row r="83" s="164" customFormat="1" x14ac:dyDescent="0.3"/>
    <row r="84" s="164" customFormat="1" x14ac:dyDescent="0.3"/>
    <row r="85" s="164" customFormat="1" x14ac:dyDescent="0.3"/>
  </sheetData>
  <mergeCells count="82"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J51:L51"/>
    <mergeCell ref="M51:O51"/>
    <mergeCell ref="B53:C53"/>
    <mergeCell ref="B54:C54"/>
    <mergeCell ref="B55:C55"/>
    <mergeCell ref="D51:F51"/>
    <mergeCell ref="G51:I51"/>
    <mergeCell ref="B56:C56"/>
    <mergeCell ref="B48:C48"/>
    <mergeCell ref="A49:C49"/>
    <mergeCell ref="A51:A52"/>
    <mergeCell ref="B51:C5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2018.
Intézmények mindösszesen&amp;R&amp;"Times New Roman,Félkövér"&amp;12 6. melléklet</oddHeader>
  </headerFooter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view="pageLayout" topLeftCell="A67" zoomScaleNormal="100" workbookViewId="0">
      <selection activeCell="B61" sqref="B61:C61"/>
    </sheetView>
  </sheetViews>
  <sheetFormatPr defaultColWidth="9.109375" defaultRowHeight="14.4" x14ac:dyDescent="0.3"/>
  <cols>
    <col min="1" max="1" width="9.109375" style="26"/>
    <col min="2" max="2" width="7.109375" style="27" customWidth="1"/>
    <col min="3" max="3" width="48.88671875" style="27" customWidth="1"/>
    <col min="4" max="4" width="12.109375" style="61" customWidth="1"/>
    <col min="5" max="5" width="8.88671875" style="18" customWidth="1"/>
    <col min="6" max="6" width="10.88671875" style="18" customWidth="1"/>
    <col min="7" max="16384" width="9.109375" style="1"/>
  </cols>
  <sheetData>
    <row r="1" spans="1:6" ht="18.75" customHeight="1" x14ac:dyDescent="0.3">
      <c r="D1" s="1117" t="s">
        <v>393</v>
      </c>
      <c r="E1" s="1117"/>
      <c r="F1" s="1117"/>
    </row>
    <row r="2" spans="1:6" ht="39.75" customHeight="1" x14ac:dyDescent="0.3">
      <c r="A2" s="1243" t="s">
        <v>0</v>
      </c>
      <c r="B2" s="1208" t="s">
        <v>182</v>
      </c>
      <c r="C2" s="1238"/>
      <c r="D2" s="1234" t="s">
        <v>296</v>
      </c>
      <c r="E2" s="1234"/>
      <c r="F2" s="1234"/>
    </row>
    <row r="3" spans="1:6" s="2" customFormat="1" ht="11.25" customHeight="1" x14ac:dyDescent="0.3">
      <c r="A3" s="1244"/>
      <c r="B3" s="1239"/>
      <c r="C3" s="1240"/>
      <c r="D3" s="340" t="s">
        <v>177</v>
      </c>
      <c r="E3" s="3" t="s">
        <v>792</v>
      </c>
      <c r="F3" s="3" t="s">
        <v>795</v>
      </c>
    </row>
    <row r="4" spans="1:6" s="74" customFormat="1" ht="13.5" customHeight="1" x14ac:dyDescent="0.3">
      <c r="A4" s="1245"/>
      <c r="B4" s="1210"/>
      <c r="C4" s="1241"/>
      <c r="D4" s="1235" t="s">
        <v>189</v>
      </c>
      <c r="E4" s="1236"/>
      <c r="F4" s="1237"/>
    </row>
    <row r="5" spans="1:6" ht="12" customHeight="1" x14ac:dyDescent="0.3">
      <c r="A5" s="13" t="s">
        <v>2</v>
      </c>
      <c r="B5" s="1112" t="s">
        <v>1</v>
      </c>
      <c r="C5" s="1112"/>
      <c r="D5" s="28">
        <v>134415</v>
      </c>
      <c r="E5" s="5">
        <f>-133-245-144-2846-123-136</f>
        <v>-3627</v>
      </c>
      <c r="F5" s="28">
        <f>+D5+E5</f>
        <v>130788</v>
      </c>
    </row>
    <row r="6" spans="1:6" ht="12" customHeight="1" x14ac:dyDescent="0.3">
      <c r="A6" s="4" t="s">
        <v>4</v>
      </c>
      <c r="B6" s="1112" t="s">
        <v>3</v>
      </c>
      <c r="C6" s="1112"/>
      <c r="D6" s="28"/>
      <c r="E6" s="5"/>
      <c r="F6" s="28">
        <f t="shared" ref="F6:F18" si="0">+D6+E6</f>
        <v>0</v>
      </c>
    </row>
    <row r="7" spans="1:6" ht="12" customHeight="1" x14ac:dyDescent="0.3">
      <c r="A7" s="4" t="s">
        <v>6</v>
      </c>
      <c r="B7" s="1112" t="s">
        <v>5</v>
      </c>
      <c r="C7" s="1112"/>
      <c r="D7" s="28">
        <v>8612</v>
      </c>
      <c r="E7" s="5"/>
      <c r="F7" s="28">
        <f t="shared" si="0"/>
        <v>8612</v>
      </c>
    </row>
    <row r="8" spans="1:6" ht="12" customHeight="1" x14ac:dyDescent="0.3">
      <c r="A8" s="4" t="s">
        <v>8</v>
      </c>
      <c r="B8" s="1112" t="s">
        <v>7</v>
      </c>
      <c r="C8" s="1112"/>
      <c r="D8" s="28"/>
      <c r="E8" s="5">
        <f>245+123</f>
        <v>368</v>
      </c>
      <c r="F8" s="28">
        <f t="shared" si="0"/>
        <v>368</v>
      </c>
    </row>
    <row r="9" spans="1:6" ht="12" customHeight="1" x14ac:dyDescent="0.3">
      <c r="A9" s="4" t="s">
        <v>10</v>
      </c>
      <c r="B9" s="1112" t="s">
        <v>9</v>
      </c>
      <c r="C9" s="1112"/>
      <c r="D9" s="28"/>
      <c r="E9" s="5"/>
      <c r="F9" s="28">
        <f t="shared" si="0"/>
        <v>0</v>
      </c>
    </row>
    <row r="10" spans="1:6" ht="12" customHeight="1" x14ac:dyDescent="0.3">
      <c r="A10" s="4" t="s">
        <v>12</v>
      </c>
      <c r="B10" s="1112" t="s">
        <v>11</v>
      </c>
      <c r="C10" s="1112"/>
      <c r="D10" s="29"/>
      <c r="E10" s="19">
        <v>2846</v>
      </c>
      <c r="F10" s="28">
        <f t="shared" si="0"/>
        <v>2846</v>
      </c>
    </row>
    <row r="11" spans="1:6" ht="12" customHeight="1" x14ac:dyDescent="0.3">
      <c r="A11" s="4" t="s">
        <v>14</v>
      </c>
      <c r="B11" s="1112" t="s">
        <v>13</v>
      </c>
      <c r="C11" s="1112"/>
      <c r="D11" s="29">
        <v>4921</v>
      </c>
      <c r="E11" s="19"/>
      <c r="F11" s="28">
        <f t="shared" si="0"/>
        <v>4921</v>
      </c>
    </row>
    <row r="12" spans="1:6" ht="12" customHeight="1" x14ac:dyDescent="0.3">
      <c r="A12" s="4" t="s">
        <v>16</v>
      </c>
      <c r="B12" s="1112" t="s">
        <v>15</v>
      </c>
      <c r="C12" s="1112"/>
      <c r="D12" s="29"/>
      <c r="E12" s="19"/>
      <c r="F12" s="28">
        <f t="shared" si="0"/>
        <v>0</v>
      </c>
    </row>
    <row r="13" spans="1:6" ht="12" customHeight="1" x14ac:dyDescent="0.3">
      <c r="A13" s="4" t="s">
        <v>18</v>
      </c>
      <c r="B13" s="1112" t="s">
        <v>17</v>
      </c>
      <c r="C13" s="1112"/>
      <c r="D13" s="29">
        <v>3012</v>
      </c>
      <c r="E13" s="19"/>
      <c r="F13" s="28">
        <f t="shared" si="0"/>
        <v>3012</v>
      </c>
    </row>
    <row r="14" spans="1:6" ht="12" customHeight="1" x14ac:dyDescent="0.3">
      <c r="A14" s="4" t="s">
        <v>20</v>
      </c>
      <c r="B14" s="1112" t="s">
        <v>19</v>
      </c>
      <c r="C14" s="1112"/>
      <c r="D14" s="29">
        <v>155</v>
      </c>
      <c r="E14" s="19"/>
      <c r="F14" s="28">
        <f t="shared" si="0"/>
        <v>155</v>
      </c>
    </row>
    <row r="15" spans="1:6" ht="12" customHeight="1" x14ac:dyDescent="0.3">
      <c r="A15" s="4" t="s">
        <v>22</v>
      </c>
      <c r="B15" s="1112" t="s">
        <v>21</v>
      </c>
      <c r="C15" s="1112"/>
      <c r="D15" s="29">
        <v>1895</v>
      </c>
      <c r="E15" s="19"/>
      <c r="F15" s="28">
        <f t="shared" si="0"/>
        <v>1895</v>
      </c>
    </row>
    <row r="16" spans="1:6" ht="12" customHeight="1" x14ac:dyDescent="0.3">
      <c r="A16" s="4" t="s">
        <v>24</v>
      </c>
      <c r="B16" s="1112" t="s">
        <v>23</v>
      </c>
      <c r="C16" s="1112"/>
      <c r="D16" s="29">
        <v>300</v>
      </c>
      <c r="E16" s="19">
        <v>6</v>
      </c>
      <c r="F16" s="28">
        <f t="shared" si="0"/>
        <v>306</v>
      </c>
    </row>
    <row r="17" spans="1:6" ht="12" customHeight="1" x14ac:dyDescent="0.3">
      <c r="A17" s="4" t="s">
        <v>25</v>
      </c>
      <c r="B17" s="1112" t="s">
        <v>175</v>
      </c>
      <c r="C17" s="1112"/>
      <c r="D17" s="29">
        <v>446</v>
      </c>
      <c r="E17" s="19">
        <f>94+133+138+136+25</f>
        <v>526</v>
      </c>
      <c r="F17" s="28">
        <f t="shared" si="0"/>
        <v>972</v>
      </c>
    </row>
    <row r="18" spans="1:6" ht="12" customHeight="1" x14ac:dyDescent="0.3">
      <c r="A18" s="4" t="s">
        <v>25</v>
      </c>
      <c r="B18" s="1112" t="s">
        <v>26</v>
      </c>
      <c r="C18" s="1112"/>
      <c r="D18" s="29"/>
      <c r="E18" s="19"/>
      <c r="F18" s="28">
        <f t="shared" si="0"/>
        <v>0</v>
      </c>
    </row>
    <row r="19" spans="1:6" ht="12" customHeight="1" x14ac:dyDescent="0.3">
      <c r="A19" s="6" t="s">
        <v>27</v>
      </c>
      <c r="B19" s="1111" t="s">
        <v>174</v>
      </c>
      <c r="C19" s="1111"/>
      <c r="D19" s="58">
        <f>SUM(D5:D18)</f>
        <v>153756</v>
      </c>
      <c r="E19" s="45">
        <f>SUM(E5:E18)</f>
        <v>119</v>
      </c>
      <c r="F19" s="45">
        <f>SUM(F5:F18)</f>
        <v>153875</v>
      </c>
    </row>
    <row r="20" spans="1:6" ht="12" customHeight="1" x14ac:dyDescent="0.3">
      <c r="A20" s="4" t="s">
        <v>29</v>
      </c>
      <c r="B20" s="1112" t="s">
        <v>28</v>
      </c>
      <c r="C20" s="1112"/>
      <c r="D20" s="29"/>
      <c r="E20" s="19"/>
      <c r="F20" s="29">
        <f>+E20+D20</f>
        <v>0</v>
      </c>
    </row>
    <row r="21" spans="1:6" ht="12" customHeight="1" x14ac:dyDescent="0.3">
      <c r="A21" s="4" t="s">
        <v>663</v>
      </c>
      <c r="B21" s="1112" t="s">
        <v>30</v>
      </c>
      <c r="C21" s="1112"/>
      <c r="D21" s="29"/>
      <c r="E21" s="19">
        <v>857</v>
      </c>
      <c r="F21" s="29">
        <f t="shared" ref="F21:F22" si="1">+E21+D21</f>
        <v>857</v>
      </c>
    </row>
    <row r="22" spans="1:6" ht="12" customHeight="1" x14ac:dyDescent="0.3">
      <c r="A22" s="4" t="s">
        <v>32</v>
      </c>
      <c r="B22" s="1112" t="s">
        <v>31</v>
      </c>
      <c r="C22" s="1112"/>
      <c r="D22" s="29">
        <v>30</v>
      </c>
      <c r="E22" s="19">
        <v>74</v>
      </c>
      <c r="F22" s="29">
        <f t="shared" si="1"/>
        <v>104</v>
      </c>
    </row>
    <row r="23" spans="1:6" ht="12" customHeight="1" x14ac:dyDescent="0.3">
      <c r="A23" s="6" t="s">
        <v>33</v>
      </c>
      <c r="B23" s="1111" t="s">
        <v>173</v>
      </c>
      <c r="C23" s="1111"/>
      <c r="D23" s="58">
        <f>SUM(D20:D22)</f>
        <v>30</v>
      </c>
      <c r="E23" s="45">
        <f>SUM(E20:E22)</f>
        <v>931</v>
      </c>
      <c r="F23" s="45">
        <f>SUM(F20:F22)</f>
        <v>961</v>
      </c>
    </row>
    <row r="24" spans="1:6" s="47" customFormat="1" ht="12" customHeight="1" x14ac:dyDescent="0.3">
      <c r="A24" s="7" t="s">
        <v>34</v>
      </c>
      <c r="B24" s="1108" t="s">
        <v>172</v>
      </c>
      <c r="C24" s="1108"/>
      <c r="D24" s="56">
        <f>+D23+D19</f>
        <v>153786</v>
      </c>
      <c r="E24" s="43">
        <f>+E23+E19</f>
        <v>1050</v>
      </c>
      <c r="F24" s="43">
        <f>+F23+F19</f>
        <v>154836</v>
      </c>
    </row>
    <row r="25" spans="1:6" ht="10.5" customHeight="1" x14ac:dyDescent="0.3">
      <c r="A25" s="8"/>
      <c r="B25" s="9"/>
      <c r="C25" s="9"/>
      <c r="D25" s="30"/>
      <c r="E25" s="21"/>
      <c r="F25" s="22"/>
    </row>
    <row r="26" spans="1:6" s="47" customFormat="1" ht="12" customHeight="1" x14ac:dyDescent="0.3">
      <c r="A26" s="10" t="s">
        <v>35</v>
      </c>
      <c r="B26" s="1108" t="s">
        <v>171</v>
      </c>
      <c r="C26" s="1108"/>
      <c r="D26" s="55">
        <f>SUM(D27:D31)</f>
        <v>32990</v>
      </c>
      <c r="E26" s="46">
        <f>SUM(E27:E31)</f>
        <v>201</v>
      </c>
      <c r="F26" s="46">
        <f>SUM(F27:F31)</f>
        <v>33191</v>
      </c>
    </row>
    <row r="27" spans="1:6" ht="12" customHeight="1" x14ac:dyDescent="0.3">
      <c r="A27" s="34" t="s">
        <v>35</v>
      </c>
      <c r="B27" s="39"/>
      <c r="C27" s="35" t="s">
        <v>36</v>
      </c>
      <c r="D27" s="31">
        <v>28741</v>
      </c>
      <c r="E27" s="19">
        <v>201</v>
      </c>
      <c r="F27" s="29">
        <f>+E27+D27</f>
        <v>28942</v>
      </c>
    </row>
    <row r="28" spans="1:6" ht="12" customHeight="1" x14ac:dyDescent="0.3">
      <c r="A28" s="34" t="s">
        <v>35</v>
      </c>
      <c r="B28" s="39"/>
      <c r="C28" s="35" t="s">
        <v>37</v>
      </c>
      <c r="D28" s="31">
        <v>2484</v>
      </c>
      <c r="E28" s="19"/>
      <c r="F28" s="29">
        <f t="shared" ref="F28:F31" si="2">+E28+D28</f>
        <v>2484</v>
      </c>
    </row>
    <row r="29" spans="1:6" ht="12" customHeight="1" x14ac:dyDescent="0.3">
      <c r="A29" s="34" t="s">
        <v>35</v>
      </c>
      <c r="B29" s="39"/>
      <c r="C29" s="35" t="s">
        <v>38</v>
      </c>
      <c r="D29" s="31">
        <v>861</v>
      </c>
      <c r="E29" s="19"/>
      <c r="F29" s="29">
        <f t="shared" si="2"/>
        <v>861</v>
      </c>
    </row>
    <row r="30" spans="1:6" ht="12" customHeight="1" x14ac:dyDescent="0.3">
      <c r="A30" s="34" t="s">
        <v>35</v>
      </c>
      <c r="B30" s="39"/>
      <c r="C30" s="35" t="s">
        <v>39</v>
      </c>
      <c r="D30" s="31"/>
      <c r="E30" s="19"/>
      <c r="F30" s="29">
        <f t="shared" si="2"/>
        <v>0</v>
      </c>
    </row>
    <row r="31" spans="1:6" ht="12" customHeight="1" x14ac:dyDescent="0.3">
      <c r="A31" s="36" t="s">
        <v>35</v>
      </c>
      <c r="B31" s="39"/>
      <c r="C31" s="35" t="s">
        <v>40</v>
      </c>
      <c r="D31" s="341">
        <v>904</v>
      </c>
      <c r="E31" s="20"/>
      <c r="F31" s="29">
        <f t="shared" si="2"/>
        <v>904</v>
      </c>
    </row>
    <row r="32" spans="1:6" ht="8.25" customHeight="1" x14ac:dyDescent="0.3">
      <c r="A32" s="11"/>
      <c r="B32" s="25"/>
      <c r="C32" s="12"/>
      <c r="D32" s="30"/>
      <c r="E32" s="21"/>
      <c r="F32" s="22"/>
    </row>
    <row r="33" spans="1:6" ht="12" customHeight="1" x14ac:dyDescent="0.3">
      <c r="A33" s="13" t="s">
        <v>42</v>
      </c>
      <c r="B33" s="1109" t="s">
        <v>41</v>
      </c>
      <c r="C33" s="1109"/>
      <c r="D33" s="32">
        <v>620</v>
      </c>
      <c r="E33" s="23"/>
      <c r="F33" s="32">
        <f>+E33+D33</f>
        <v>620</v>
      </c>
    </row>
    <row r="34" spans="1:6" ht="12" customHeight="1" x14ac:dyDescent="0.3">
      <c r="A34" s="4" t="s">
        <v>44</v>
      </c>
      <c r="B34" s="1112" t="s">
        <v>43</v>
      </c>
      <c r="C34" s="1112"/>
      <c r="D34" s="29">
        <v>2619</v>
      </c>
      <c r="E34" s="19"/>
      <c r="F34" s="32">
        <f t="shared" ref="F34:F35" si="3">+E34+D34</f>
        <v>2619</v>
      </c>
    </row>
    <row r="35" spans="1:6" ht="12" customHeight="1" x14ac:dyDescent="0.3">
      <c r="A35" s="4" t="s">
        <v>46</v>
      </c>
      <c r="B35" s="1112" t="s">
        <v>45</v>
      </c>
      <c r="C35" s="1112"/>
      <c r="D35" s="29"/>
      <c r="E35" s="19"/>
      <c r="F35" s="32">
        <f t="shared" si="3"/>
        <v>0</v>
      </c>
    </row>
    <row r="36" spans="1:6" s="47" customFormat="1" ht="12" customHeight="1" x14ac:dyDescent="0.3">
      <c r="A36" s="6" t="s">
        <v>47</v>
      </c>
      <c r="B36" s="1111" t="s">
        <v>170</v>
      </c>
      <c r="C36" s="1111"/>
      <c r="D36" s="58">
        <f>SUM(D33:D35)</f>
        <v>3239</v>
      </c>
      <c r="E36" s="58">
        <f t="shared" ref="E36:F36" si="4">SUM(E33:E35)</f>
        <v>0</v>
      </c>
      <c r="F36" s="58">
        <f t="shared" si="4"/>
        <v>3239</v>
      </c>
    </row>
    <row r="37" spans="1:6" ht="12" customHeight="1" x14ac:dyDescent="0.3">
      <c r="A37" s="4" t="s">
        <v>49</v>
      </c>
      <c r="B37" s="1112" t="s">
        <v>48</v>
      </c>
      <c r="C37" s="1112"/>
      <c r="D37" s="29">
        <v>1262</v>
      </c>
      <c r="E37" s="19"/>
      <c r="F37" s="29">
        <f>+E37+D37</f>
        <v>1262</v>
      </c>
    </row>
    <row r="38" spans="1:6" ht="12" customHeight="1" x14ac:dyDescent="0.3">
      <c r="A38" s="4" t="s">
        <v>51</v>
      </c>
      <c r="B38" s="1112" t="s">
        <v>50</v>
      </c>
      <c r="C38" s="1112"/>
      <c r="D38" s="29">
        <v>1350</v>
      </c>
      <c r="E38" s="19"/>
      <c r="F38" s="29">
        <f>+E38+D38</f>
        <v>1350</v>
      </c>
    </row>
    <row r="39" spans="1:6" s="47" customFormat="1" ht="12" customHeight="1" x14ac:dyDescent="0.3">
      <c r="A39" s="6" t="s">
        <v>52</v>
      </c>
      <c r="B39" s="1111" t="s">
        <v>169</v>
      </c>
      <c r="C39" s="1111"/>
      <c r="D39" s="58">
        <f>SUM(D37:D38)</f>
        <v>2612</v>
      </c>
      <c r="E39" s="58">
        <f t="shared" ref="E39:F39" si="5">SUM(E37:E38)</f>
        <v>0</v>
      </c>
      <c r="F39" s="58">
        <f t="shared" si="5"/>
        <v>2612</v>
      </c>
    </row>
    <row r="40" spans="1:6" ht="12" customHeight="1" x14ac:dyDescent="0.3">
      <c r="A40" s="4" t="s">
        <v>54</v>
      </c>
      <c r="B40" s="1112" t="s">
        <v>53</v>
      </c>
      <c r="C40" s="1112"/>
      <c r="D40" s="29"/>
      <c r="E40" s="19"/>
      <c r="F40" s="29">
        <f>+D40+E40</f>
        <v>0</v>
      </c>
    </row>
    <row r="41" spans="1:6" ht="12" customHeight="1" x14ac:dyDescent="0.3">
      <c r="A41" s="4" t="s">
        <v>56</v>
      </c>
      <c r="B41" s="1112" t="s">
        <v>55</v>
      </c>
      <c r="C41" s="1112"/>
      <c r="D41" s="29"/>
      <c r="E41" s="19"/>
      <c r="F41" s="29">
        <f t="shared" ref="F41:F48" si="6">+D41+E41</f>
        <v>0</v>
      </c>
    </row>
    <row r="42" spans="1:6" ht="12" customHeight="1" x14ac:dyDescent="0.3">
      <c r="A42" s="4" t="s">
        <v>57</v>
      </c>
      <c r="B42" s="1112" t="s">
        <v>167</v>
      </c>
      <c r="C42" s="1112"/>
      <c r="D42" s="29"/>
      <c r="E42" s="19"/>
      <c r="F42" s="29">
        <f t="shared" si="6"/>
        <v>0</v>
      </c>
    </row>
    <row r="43" spans="1:6" ht="12" customHeight="1" x14ac:dyDescent="0.3">
      <c r="A43" s="4" t="s">
        <v>59</v>
      </c>
      <c r="B43" s="1112" t="s">
        <v>58</v>
      </c>
      <c r="C43" s="1112"/>
      <c r="D43" s="29">
        <f>2910+516</f>
        <v>3426</v>
      </c>
      <c r="E43" s="19"/>
      <c r="F43" s="29">
        <f t="shared" si="6"/>
        <v>3426</v>
      </c>
    </row>
    <row r="44" spans="1:6" ht="12" customHeight="1" x14ac:dyDescent="0.3">
      <c r="A44" s="4" t="s">
        <v>60</v>
      </c>
      <c r="B44" s="1246" t="s">
        <v>166</v>
      </c>
      <c r="C44" s="1246"/>
      <c r="D44" s="29"/>
      <c r="E44" s="19">
        <v>500</v>
      </c>
      <c r="F44" s="29">
        <f t="shared" si="6"/>
        <v>500</v>
      </c>
    </row>
    <row r="45" spans="1:6" ht="12" customHeight="1" x14ac:dyDescent="0.3">
      <c r="A45" s="34" t="s">
        <v>60</v>
      </c>
      <c r="B45" s="39"/>
      <c r="C45" s="35" t="s">
        <v>61</v>
      </c>
      <c r="D45" s="31"/>
      <c r="E45" s="19"/>
      <c r="F45" s="29">
        <f t="shared" si="6"/>
        <v>0</v>
      </c>
    </row>
    <row r="46" spans="1:6" ht="12" customHeight="1" x14ac:dyDescent="0.3">
      <c r="A46" s="34" t="s">
        <v>60</v>
      </c>
      <c r="B46" s="39"/>
      <c r="C46" s="35" t="s">
        <v>168</v>
      </c>
      <c r="D46" s="31"/>
      <c r="E46" s="19"/>
      <c r="F46" s="29">
        <f t="shared" si="6"/>
        <v>0</v>
      </c>
    </row>
    <row r="47" spans="1:6" ht="12" customHeight="1" x14ac:dyDescent="0.3">
      <c r="A47" s="4" t="s">
        <v>63</v>
      </c>
      <c r="B47" s="1109" t="s">
        <v>62</v>
      </c>
      <c r="C47" s="1109"/>
      <c r="D47" s="29">
        <v>611</v>
      </c>
      <c r="E47" s="19"/>
      <c r="F47" s="29">
        <f t="shared" si="6"/>
        <v>611</v>
      </c>
    </row>
    <row r="48" spans="1:6" ht="12" customHeight="1" x14ac:dyDescent="0.3">
      <c r="A48" s="4" t="s">
        <v>65</v>
      </c>
      <c r="B48" s="1112" t="s">
        <v>64</v>
      </c>
      <c r="C48" s="1112"/>
      <c r="D48" s="29">
        <f>7983+500-2700</f>
        <v>5783</v>
      </c>
      <c r="E48" s="19">
        <v>-10</v>
      </c>
      <c r="F48" s="29">
        <f t="shared" si="6"/>
        <v>5773</v>
      </c>
    </row>
    <row r="49" spans="1:6" s="47" customFormat="1" ht="12" customHeight="1" x14ac:dyDescent="0.3">
      <c r="A49" s="6" t="s">
        <v>66</v>
      </c>
      <c r="B49" s="1111" t="s">
        <v>156</v>
      </c>
      <c r="C49" s="1111"/>
      <c r="D49" s="58">
        <f>+D48+D47+D44+D43+D42+D41+D40</f>
        <v>9820</v>
      </c>
      <c r="E49" s="58">
        <f t="shared" ref="E49:F49" si="7">+E48+E47+E44+E43+E42+E41+E40</f>
        <v>490</v>
      </c>
      <c r="F49" s="58">
        <f t="shared" si="7"/>
        <v>10310</v>
      </c>
    </row>
    <row r="50" spans="1:6" ht="12" customHeight="1" x14ac:dyDescent="0.3">
      <c r="A50" s="4" t="s">
        <v>68</v>
      </c>
      <c r="B50" s="1112" t="s">
        <v>67</v>
      </c>
      <c r="C50" s="1112"/>
      <c r="D50" s="29">
        <v>550</v>
      </c>
      <c r="E50" s="19">
        <v>23</v>
      </c>
      <c r="F50" s="29">
        <f>+E50+D50</f>
        <v>573</v>
      </c>
    </row>
    <row r="51" spans="1:6" ht="12" customHeight="1" x14ac:dyDescent="0.3">
      <c r="A51" s="4" t="s">
        <v>70</v>
      </c>
      <c r="B51" s="1112" t="s">
        <v>69</v>
      </c>
      <c r="C51" s="1112"/>
      <c r="D51" s="29"/>
      <c r="E51" s="19"/>
      <c r="F51" s="29">
        <f>+E51+D51</f>
        <v>0</v>
      </c>
    </row>
    <row r="52" spans="1:6" ht="12" customHeight="1" x14ac:dyDescent="0.3">
      <c r="A52" s="6" t="s">
        <v>71</v>
      </c>
      <c r="B52" s="1111" t="s">
        <v>155</v>
      </c>
      <c r="C52" s="1111"/>
      <c r="D52" s="58">
        <f>SUM(D50:D51)</f>
        <v>550</v>
      </c>
      <c r="E52" s="58">
        <f t="shared" ref="E52:F52" si="8">SUM(E50:E51)</f>
        <v>23</v>
      </c>
      <c r="F52" s="58">
        <f t="shared" si="8"/>
        <v>573</v>
      </c>
    </row>
    <row r="53" spans="1:6" ht="12" customHeight="1" x14ac:dyDescent="0.3">
      <c r="A53" s="4" t="s">
        <v>73</v>
      </c>
      <c r="B53" s="1112" t="s">
        <v>72</v>
      </c>
      <c r="C53" s="1112"/>
      <c r="D53" s="29">
        <v>2144</v>
      </c>
      <c r="E53" s="19">
        <v>20</v>
      </c>
      <c r="F53" s="29">
        <f>+D53+E53</f>
        <v>2164</v>
      </c>
    </row>
    <row r="54" spans="1:6" ht="12" customHeight="1" x14ac:dyDescent="0.3">
      <c r="A54" s="4" t="s">
        <v>75</v>
      </c>
      <c r="B54" s="1112" t="s">
        <v>74</v>
      </c>
      <c r="C54" s="1112"/>
      <c r="D54" s="29"/>
      <c r="E54" s="19"/>
      <c r="F54" s="29">
        <f t="shared" ref="F54:F57" si="9">+D54+E54</f>
        <v>0</v>
      </c>
    </row>
    <row r="55" spans="1:6" ht="12" customHeight="1" x14ac:dyDescent="0.3">
      <c r="A55" s="4" t="s">
        <v>76</v>
      </c>
      <c r="B55" s="1112" t="s">
        <v>154</v>
      </c>
      <c r="C55" s="1112"/>
      <c r="D55" s="29"/>
      <c r="E55" s="19"/>
      <c r="F55" s="29">
        <f t="shared" si="9"/>
        <v>0</v>
      </c>
    </row>
    <row r="56" spans="1:6" ht="12" customHeight="1" x14ac:dyDescent="0.3">
      <c r="A56" s="4" t="s">
        <v>77</v>
      </c>
      <c r="B56" s="1112" t="s">
        <v>153</v>
      </c>
      <c r="C56" s="1112"/>
      <c r="D56" s="29"/>
      <c r="E56" s="19"/>
      <c r="F56" s="29">
        <f t="shared" si="9"/>
        <v>0</v>
      </c>
    </row>
    <row r="57" spans="1:6" ht="12" customHeight="1" x14ac:dyDescent="0.3">
      <c r="A57" s="4" t="s">
        <v>79</v>
      </c>
      <c r="B57" s="1112" t="s">
        <v>78</v>
      </c>
      <c r="C57" s="1112"/>
      <c r="D57" s="29">
        <v>124</v>
      </c>
      <c r="E57" s="19">
        <v>10</v>
      </c>
      <c r="F57" s="29">
        <f t="shared" si="9"/>
        <v>134</v>
      </c>
    </row>
    <row r="58" spans="1:6" ht="12" customHeight="1" x14ac:dyDescent="0.3">
      <c r="A58" s="6" t="s">
        <v>80</v>
      </c>
      <c r="B58" s="1111" t="s">
        <v>152</v>
      </c>
      <c r="C58" s="1111"/>
      <c r="D58" s="58">
        <f>SUM(D53:D57)</f>
        <v>2268</v>
      </c>
      <c r="E58" s="58">
        <f t="shared" ref="E58:F58" si="10">SUM(E53:E57)</f>
        <v>30</v>
      </c>
      <c r="F58" s="58">
        <f t="shared" si="10"/>
        <v>2298</v>
      </c>
    </row>
    <row r="59" spans="1:6" ht="12" customHeight="1" x14ac:dyDescent="0.3">
      <c r="A59" s="7" t="s">
        <v>81</v>
      </c>
      <c r="B59" s="1108" t="s">
        <v>151</v>
      </c>
      <c r="C59" s="1108"/>
      <c r="D59" s="56">
        <f>+D58+D52+D49+D39+D36</f>
        <v>18489</v>
      </c>
      <c r="E59" s="56">
        <f t="shared" ref="E59:F59" si="11">+E58+E52+E49+E39+E36</f>
        <v>543</v>
      </c>
      <c r="F59" s="56">
        <f t="shared" si="11"/>
        <v>19032</v>
      </c>
    </row>
    <row r="60" spans="1:6" ht="12" customHeight="1" x14ac:dyDescent="0.3">
      <c r="A60" s="8"/>
      <c r="B60" s="9"/>
      <c r="C60" s="9"/>
      <c r="D60" s="30"/>
      <c r="E60" s="21"/>
      <c r="F60" s="22"/>
    </row>
    <row r="61" spans="1:6" ht="12" customHeight="1" x14ac:dyDescent="0.3">
      <c r="A61" s="4" t="s">
        <v>101</v>
      </c>
      <c r="B61" s="1242" t="s">
        <v>862</v>
      </c>
      <c r="C61" s="1107"/>
      <c r="D61" s="29"/>
      <c r="E61" s="19">
        <v>420</v>
      </c>
      <c r="F61" s="29">
        <f>+E61+D61</f>
        <v>420</v>
      </c>
    </row>
    <row r="62" spans="1:6" ht="12" customHeight="1" x14ac:dyDescent="0.3">
      <c r="A62" s="4" t="s">
        <v>107</v>
      </c>
      <c r="B62" s="1242" t="s">
        <v>164</v>
      </c>
      <c r="C62" s="1107"/>
      <c r="D62" s="29">
        <f>+D63</f>
        <v>4246</v>
      </c>
      <c r="E62" s="19"/>
      <c r="F62" s="29">
        <f>+D62+E62</f>
        <v>4246</v>
      </c>
    </row>
    <row r="63" spans="1:6" ht="12" customHeight="1" x14ac:dyDescent="0.3">
      <c r="A63" s="41" t="s">
        <v>107</v>
      </c>
      <c r="B63" s="39"/>
      <c r="C63" s="37" t="s">
        <v>104</v>
      </c>
      <c r="D63" s="29">
        <v>4246</v>
      </c>
      <c r="E63" s="19"/>
      <c r="F63" s="29">
        <f>+D63+E63</f>
        <v>4246</v>
      </c>
    </row>
    <row r="64" spans="1:6" ht="12" customHeight="1" x14ac:dyDescent="0.3">
      <c r="A64" s="7" t="s">
        <v>108</v>
      </c>
      <c r="B64" s="1108" t="s">
        <v>163</v>
      </c>
      <c r="C64" s="1108"/>
      <c r="D64" s="56">
        <f>+D62+D61</f>
        <v>4246</v>
      </c>
      <c r="E64" s="56">
        <f t="shared" ref="E64:F64" si="12">+E62+E61</f>
        <v>420</v>
      </c>
      <c r="F64" s="56">
        <f t="shared" si="12"/>
        <v>4666</v>
      </c>
    </row>
    <row r="65" spans="1:6" ht="12" customHeight="1" x14ac:dyDescent="0.3">
      <c r="A65" s="8"/>
      <c r="B65" s="9"/>
      <c r="C65" s="9"/>
      <c r="D65" s="30"/>
      <c r="E65" s="21"/>
      <c r="F65" s="22"/>
    </row>
    <row r="66" spans="1:6" ht="12" customHeight="1" x14ac:dyDescent="0.3">
      <c r="A66" s="13" t="s">
        <v>110</v>
      </c>
      <c r="B66" s="1109" t="s">
        <v>109</v>
      </c>
      <c r="C66" s="1109"/>
      <c r="D66" s="32"/>
      <c r="E66" s="23"/>
      <c r="F66" s="32">
        <f>+D66+E66</f>
        <v>0</v>
      </c>
    </row>
    <row r="67" spans="1:6" ht="12" customHeight="1" x14ac:dyDescent="0.3">
      <c r="A67" s="4" t="s">
        <v>111</v>
      </c>
      <c r="B67" s="1112" t="s">
        <v>162</v>
      </c>
      <c r="C67" s="1112"/>
      <c r="D67" s="29"/>
      <c r="E67" s="19"/>
      <c r="F67" s="32">
        <f t="shared" ref="F67:F73" si="13">+D67+E67</f>
        <v>0</v>
      </c>
    </row>
    <row r="68" spans="1:6" ht="12" customHeight="1" x14ac:dyDescent="0.3">
      <c r="A68" s="38" t="s">
        <v>111</v>
      </c>
      <c r="B68" s="39"/>
      <c r="C68" s="42" t="s">
        <v>112</v>
      </c>
      <c r="D68" s="29"/>
      <c r="E68" s="19"/>
      <c r="F68" s="32">
        <f t="shared" si="13"/>
        <v>0</v>
      </c>
    </row>
    <row r="69" spans="1:6" ht="12" customHeight="1" x14ac:dyDescent="0.3">
      <c r="A69" s="4" t="s">
        <v>114</v>
      </c>
      <c r="B69" s="1112" t="s">
        <v>113</v>
      </c>
      <c r="C69" s="1112"/>
      <c r="D69" s="29">
        <v>2750</v>
      </c>
      <c r="E69" s="19"/>
      <c r="F69" s="32">
        <f t="shared" si="13"/>
        <v>2750</v>
      </c>
    </row>
    <row r="70" spans="1:6" ht="12" customHeight="1" x14ac:dyDescent="0.3">
      <c r="A70" s="4" t="s">
        <v>116</v>
      </c>
      <c r="B70" s="1112" t="s">
        <v>115</v>
      </c>
      <c r="C70" s="1112"/>
      <c r="D70" s="29">
        <f>1850+300</f>
        <v>2150</v>
      </c>
      <c r="E70" s="19"/>
      <c r="F70" s="32">
        <f t="shared" si="13"/>
        <v>2150</v>
      </c>
    </row>
    <row r="71" spans="1:6" ht="12" customHeight="1" x14ac:dyDescent="0.3">
      <c r="A71" s="4" t="s">
        <v>118</v>
      </c>
      <c r="B71" s="1112" t="s">
        <v>117</v>
      </c>
      <c r="C71" s="1112"/>
      <c r="D71" s="29"/>
      <c r="E71" s="19"/>
      <c r="F71" s="32">
        <f t="shared" si="13"/>
        <v>0</v>
      </c>
    </row>
    <row r="72" spans="1:6" ht="12" customHeight="1" x14ac:dyDescent="0.3">
      <c r="A72" s="4" t="s">
        <v>120</v>
      </c>
      <c r="B72" s="1112" t="s">
        <v>119</v>
      </c>
      <c r="C72" s="1112"/>
      <c r="D72" s="29"/>
      <c r="E72" s="19"/>
      <c r="F72" s="32">
        <f t="shared" si="13"/>
        <v>0</v>
      </c>
    </row>
    <row r="73" spans="1:6" ht="12" customHeight="1" x14ac:dyDescent="0.3">
      <c r="A73" s="4" t="s">
        <v>122</v>
      </c>
      <c r="B73" s="1112" t="s">
        <v>121</v>
      </c>
      <c r="C73" s="1112"/>
      <c r="D73" s="29">
        <v>1200</v>
      </c>
      <c r="E73" s="19"/>
      <c r="F73" s="32">
        <f t="shared" si="13"/>
        <v>1200</v>
      </c>
    </row>
    <row r="74" spans="1:6" ht="12" customHeight="1" x14ac:dyDescent="0.3">
      <c r="A74" s="7" t="s">
        <v>123</v>
      </c>
      <c r="B74" s="1108" t="s">
        <v>161</v>
      </c>
      <c r="C74" s="1108"/>
      <c r="D74" s="56">
        <f>+D73+D72+D71+D70+D69+D67+D66</f>
        <v>6100</v>
      </c>
      <c r="E74" s="43">
        <f>+E73+E72+E71+E70+E69+E67+E66</f>
        <v>0</v>
      </c>
      <c r="F74" s="43">
        <f>+F73+F72+F71+F70+F69+F67+F66</f>
        <v>6100</v>
      </c>
    </row>
    <row r="75" spans="1:6" ht="12" customHeight="1" x14ac:dyDescent="0.3">
      <c r="A75" s="8"/>
      <c r="B75" s="9"/>
      <c r="C75" s="9"/>
      <c r="D75" s="30"/>
      <c r="E75" s="21"/>
      <c r="F75" s="22"/>
    </row>
    <row r="76" spans="1:6" ht="12" hidden="1" customHeight="1" x14ac:dyDescent="0.3">
      <c r="A76" s="13" t="s">
        <v>125</v>
      </c>
      <c r="B76" s="1109" t="s">
        <v>124</v>
      </c>
      <c r="C76" s="1109"/>
      <c r="D76" s="32"/>
      <c r="E76" s="23"/>
      <c r="F76" s="23"/>
    </row>
    <row r="77" spans="1:6" ht="12" hidden="1" customHeight="1" x14ac:dyDescent="0.3">
      <c r="A77" s="4" t="s">
        <v>127</v>
      </c>
      <c r="B77" s="1112" t="s">
        <v>126</v>
      </c>
      <c r="C77" s="1112"/>
      <c r="D77" s="29"/>
      <c r="E77" s="19"/>
      <c r="F77" s="19"/>
    </row>
    <row r="78" spans="1:6" ht="12" hidden="1" customHeight="1" x14ac:dyDescent="0.3">
      <c r="A78" s="4" t="s">
        <v>129</v>
      </c>
      <c r="B78" s="1112" t="s">
        <v>128</v>
      </c>
      <c r="C78" s="1112"/>
      <c r="D78" s="29"/>
      <c r="E78" s="19"/>
      <c r="F78" s="19"/>
    </row>
    <row r="79" spans="1:6" ht="12" hidden="1" customHeight="1" x14ac:dyDescent="0.3">
      <c r="A79" s="4" t="s">
        <v>131</v>
      </c>
      <c r="B79" s="1112" t="s">
        <v>130</v>
      </c>
      <c r="C79" s="1112"/>
      <c r="D79" s="29"/>
      <c r="E79" s="19"/>
      <c r="F79" s="19"/>
    </row>
    <row r="80" spans="1:6" ht="12" customHeight="1" x14ac:dyDescent="0.3">
      <c r="A80" s="6" t="s">
        <v>132</v>
      </c>
      <c r="B80" s="1111" t="s">
        <v>160</v>
      </c>
      <c r="C80" s="1111"/>
      <c r="D80" s="58">
        <f>SUM(D76:D79)</f>
        <v>0</v>
      </c>
      <c r="E80" s="45">
        <f>SUM(E76:E79)</f>
        <v>0</v>
      </c>
      <c r="F80" s="45">
        <f>SUM(F76:F79)</f>
        <v>0</v>
      </c>
    </row>
    <row r="81" spans="1:6" ht="12" customHeight="1" x14ac:dyDescent="0.3">
      <c r="A81" s="8"/>
      <c r="B81" s="16"/>
      <c r="C81" s="16"/>
      <c r="D81" s="30"/>
      <c r="E81" s="21"/>
      <c r="F81" s="22"/>
    </row>
    <row r="82" spans="1:6" ht="12" customHeight="1" x14ac:dyDescent="0.3">
      <c r="A82" s="15" t="s">
        <v>134</v>
      </c>
      <c r="B82" s="1113" t="s">
        <v>158</v>
      </c>
      <c r="C82" s="1113"/>
      <c r="D82" s="29"/>
      <c r="E82" s="19"/>
      <c r="F82" s="19"/>
    </row>
    <row r="83" spans="1:6" ht="12" customHeight="1" thickBot="1" x14ac:dyDescent="0.35">
      <c r="A83" s="48"/>
      <c r="B83" s="49"/>
      <c r="C83" s="49"/>
      <c r="D83" s="247"/>
      <c r="E83" s="50"/>
      <c r="F83" s="24"/>
    </row>
    <row r="84" spans="1:6" ht="12" customHeight="1" thickBot="1" x14ac:dyDescent="0.35">
      <c r="A84" s="51" t="s">
        <v>135</v>
      </c>
      <c r="B84" s="1114" t="s">
        <v>157</v>
      </c>
      <c r="C84" s="1114"/>
      <c r="D84" s="373">
        <f>+D82+D80+D74+D64+D59+D26+D24</f>
        <v>215611</v>
      </c>
      <c r="E84" s="373">
        <f>+E82+E80+E74+E64+E59+E26+E24</f>
        <v>2214</v>
      </c>
      <c r="F84" s="373">
        <f>+F82+F80+F74+F64+F59+F26+F24</f>
        <v>217825</v>
      </c>
    </row>
    <row r="85" spans="1:6" x14ac:dyDescent="0.3">
      <c r="D85" s="796"/>
      <c r="E85" s="796"/>
      <c r="F85" s="796"/>
    </row>
  </sheetData>
  <mergeCells count="69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3" orientation="portrait" r:id="rId1"/>
  <headerFooter>
    <oddHeader>&amp;C&amp;"Times New Roman,Félkövér"&amp;12Martonvásár Város Önkormányzatának kiadásai 2018.
Polgármesteri Hivatal&amp;R&amp;"Times New Roman,Félkövér"&amp;12 6.a melléklet</oddHeader>
  </headerFooter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opLeftCell="A58" zoomScaleNormal="100" workbookViewId="0">
      <selection activeCell="A61" sqref="A61:E61"/>
    </sheetView>
  </sheetViews>
  <sheetFormatPr defaultColWidth="8.6640625" defaultRowHeight="14.4" x14ac:dyDescent="0.3"/>
  <cols>
    <col min="1" max="1" width="6.109375" style="707" customWidth="1"/>
    <col min="2" max="2" width="7.109375" style="708" customWidth="1"/>
    <col min="3" max="3" width="25" style="708" customWidth="1"/>
    <col min="4" max="4" width="11" style="709" bestFit="1" customWidth="1"/>
    <col min="5" max="5" width="8.88671875" style="709" customWidth="1"/>
    <col min="6" max="6" width="8.5546875" style="709" customWidth="1"/>
    <col min="7" max="7" width="9.5546875" style="709" bestFit="1" customWidth="1"/>
    <col min="8" max="8" width="6.6640625" style="709" customWidth="1"/>
    <col min="9" max="9" width="9.6640625" style="709" customWidth="1"/>
    <col min="10" max="10" width="9" style="709" bestFit="1" customWidth="1"/>
    <col min="11" max="11" width="7.109375" style="709" customWidth="1"/>
    <col min="12" max="12" width="6.44140625" style="709" customWidth="1"/>
    <col min="13" max="13" width="6.6640625" style="709" bestFit="1" customWidth="1"/>
    <col min="14" max="15" width="6.88671875" style="709" customWidth="1"/>
    <col min="16" max="16" width="11" style="709" bestFit="1" customWidth="1"/>
    <col min="17" max="17" width="6.88671875" style="709" bestFit="1" customWidth="1"/>
    <col min="18" max="18" width="8.5546875" style="709" customWidth="1"/>
    <col min="19" max="16384" width="8.6640625" style="677"/>
  </cols>
  <sheetData>
    <row r="1" spans="1:18" x14ac:dyDescent="0.3">
      <c r="A1" s="674"/>
      <c r="B1" s="675"/>
      <c r="C1" s="675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1258" t="s">
        <v>393</v>
      </c>
      <c r="Q1" s="1258"/>
      <c r="R1" s="1258"/>
    </row>
    <row r="2" spans="1:18" ht="40.5" customHeight="1" x14ac:dyDescent="0.3">
      <c r="A2" s="1251" t="s">
        <v>0</v>
      </c>
      <c r="B2" s="1251" t="s">
        <v>182</v>
      </c>
      <c r="C2" s="1251"/>
      <c r="D2" s="1254" t="s">
        <v>180</v>
      </c>
      <c r="E2" s="1255"/>
      <c r="F2" s="1256"/>
      <c r="G2" s="1257" t="s">
        <v>185</v>
      </c>
      <c r="H2" s="1257"/>
      <c r="I2" s="1257"/>
      <c r="J2" s="1257" t="s">
        <v>290</v>
      </c>
      <c r="K2" s="1257"/>
      <c r="L2" s="1257"/>
      <c r="M2" s="1257" t="s">
        <v>291</v>
      </c>
      <c r="N2" s="1257"/>
      <c r="O2" s="1257"/>
      <c r="P2" s="1257" t="s">
        <v>583</v>
      </c>
      <c r="Q2" s="1257"/>
      <c r="R2" s="1257"/>
    </row>
    <row r="3" spans="1:18" ht="15" customHeight="1" x14ac:dyDescent="0.3">
      <c r="A3" s="1251"/>
      <c r="B3" s="1251"/>
      <c r="C3" s="1251"/>
      <c r="D3" s="1254"/>
      <c r="E3" s="1255"/>
      <c r="F3" s="1256"/>
      <c r="G3" s="1257" t="s">
        <v>189</v>
      </c>
      <c r="H3" s="1257"/>
      <c r="I3" s="1257"/>
      <c r="J3" s="1257" t="s">
        <v>189</v>
      </c>
      <c r="K3" s="1257"/>
      <c r="L3" s="1257"/>
      <c r="M3" s="1257" t="s">
        <v>189</v>
      </c>
      <c r="N3" s="1257"/>
      <c r="O3" s="1257"/>
      <c r="P3" s="1257" t="s">
        <v>189</v>
      </c>
      <c r="Q3" s="1257"/>
      <c r="R3" s="1257"/>
    </row>
    <row r="4" spans="1:18" s="678" customFormat="1" ht="25.5" customHeight="1" x14ac:dyDescent="0.3">
      <c r="A4" s="1251"/>
      <c r="B4" s="1251"/>
      <c r="C4" s="1251"/>
      <c r="D4" s="884" t="s">
        <v>177</v>
      </c>
      <c r="E4" s="884" t="s">
        <v>792</v>
      </c>
      <c r="F4" s="884" t="s">
        <v>796</v>
      </c>
      <c r="G4" s="884" t="s">
        <v>177</v>
      </c>
      <c r="H4" s="884" t="s">
        <v>792</v>
      </c>
      <c r="I4" s="884" t="s">
        <v>796</v>
      </c>
      <c r="J4" s="884" t="s">
        <v>177</v>
      </c>
      <c r="K4" s="884" t="s">
        <v>792</v>
      </c>
      <c r="L4" s="884" t="s">
        <v>796</v>
      </c>
      <c r="M4" s="884" t="s">
        <v>177</v>
      </c>
      <c r="N4" s="884" t="s">
        <v>792</v>
      </c>
      <c r="O4" s="884" t="s">
        <v>796</v>
      </c>
      <c r="P4" s="884" t="s">
        <v>177</v>
      </c>
      <c r="Q4" s="884" t="s">
        <v>792</v>
      </c>
      <c r="R4" s="884" t="s">
        <v>796</v>
      </c>
    </row>
    <row r="5" spans="1:18" ht="15" customHeight="1" x14ac:dyDescent="0.3">
      <c r="A5" s="679" t="s">
        <v>2</v>
      </c>
      <c r="B5" s="1247" t="s">
        <v>1</v>
      </c>
      <c r="C5" s="1247"/>
      <c r="D5" s="668">
        <f>+G5+J5+M5+P5</f>
        <v>109976</v>
      </c>
      <c r="E5" s="668">
        <f t="shared" ref="E5:F18" si="0">+H5+K5+N5+Q5</f>
        <v>-1502</v>
      </c>
      <c r="F5" s="993">
        <f t="shared" si="0"/>
        <v>108474</v>
      </c>
      <c r="G5" s="668">
        <v>109976</v>
      </c>
      <c r="H5" s="668">
        <f>-400-300-504-298</f>
        <v>-1502</v>
      </c>
      <c r="I5" s="668">
        <f>+H5+G5</f>
        <v>108474</v>
      </c>
      <c r="J5" s="668"/>
      <c r="K5" s="668"/>
      <c r="L5" s="668">
        <f>+K5+J5</f>
        <v>0</v>
      </c>
      <c r="M5" s="668"/>
      <c r="N5" s="668"/>
      <c r="O5" s="668">
        <f>+N5+M5</f>
        <v>0</v>
      </c>
      <c r="P5" s="668"/>
      <c r="Q5" s="668"/>
      <c r="R5" s="668">
        <f>+P5+Q5</f>
        <v>0</v>
      </c>
    </row>
    <row r="6" spans="1:18" ht="15" customHeight="1" x14ac:dyDescent="0.3">
      <c r="A6" s="679" t="s">
        <v>4</v>
      </c>
      <c r="B6" s="1247" t="s">
        <v>3</v>
      </c>
      <c r="C6" s="1247"/>
      <c r="D6" s="668">
        <f t="shared" ref="D6:D18" si="1">+G6+J6+M6+P6</f>
        <v>0</v>
      </c>
      <c r="E6" s="668">
        <f t="shared" si="0"/>
        <v>0</v>
      </c>
      <c r="F6" s="668">
        <f t="shared" si="0"/>
        <v>0</v>
      </c>
      <c r="G6" s="668"/>
      <c r="H6" s="668"/>
      <c r="I6" s="668">
        <f t="shared" ref="I6:I24" si="2">+H6+G6</f>
        <v>0</v>
      </c>
      <c r="J6" s="668"/>
      <c r="K6" s="668"/>
      <c r="L6" s="668">
        <f t="shared" ref="L6:L22" si="3">+K6+J6</f>
        <v>0</v>
      </c>
      <c r="M6" s="668"/>
      <c r="N6" s="668"/>
      <c r="O6" s="668">
        <f t="shared" ref="O6:O22" si="4">+N6+M6</f>
        <v>0</v>
      </c>
      <c r="P6" s="668"/>
      <c r="Q6" s="668"/>
      <c r="R6" s="668">
        <f t="shared" ref="R6:R22" si="5">+P6+Q6</f>
        <v>0</v>
      </c>
    </row>
    <row r="7" spans="1:18" ht="15" customHeight="1" x14ac:dyDescent="0.3">
      <c r="A7" s="679" t="s">
        <v>6</v>
      </c>
      <c r="B7" s="1247" t="s">
        <v>5</v>
      </c>
      <c r="C7" s="1247"/>
      <c r="D7" s="668">
        <f t="shared" si="1"/>
        <v>0</v>
      </c>
      <c r="E7" s="668">
        <f t="shared" si="0"/>
        <v>0</v>
      </c>
      <c r="F7" s="668">
        <f t="shared" si="0"/>
        <v>0</v>
      </c>
      <c r="G7" s="668"/>
      <c r="H7" s="668"/>
      <c r="I7" s="668">
        <f t="shared" si="2"/>
        <v>0</v>
      </c>
      <c r="J7" s="668"/>
      <c r="K7" s="668"/>
      <c r="L7" s="668">
        <f t="shared" si="3"/>
        <v>0</v>
      </c>
      <c r="M7" s="668"/>
      <c r="N7" s="668"/>
      <c r="O7" s="668">
        <f t="shared" si="4"/>
        <v>0</v>
      </c>
      <c r="P7" s="668"/>
      <c r="Q7" s="668"/>
      <c r="R7" s="668">
        <f t="shared" si="5"/>
        <v>0</v>
      </c>
    </row>
    <row r="8" spans="1:18" ht="22.5" customHeight="1" x14ac:dyDescent="0.3">
      <c r="A8" s="679" t="s">
        <v>8</v>
      </c>
      <c r="B8" s="1247" t="s">
        <v>7</v>
      </c>
      <c r="C8" s="1247"/>
      <c r="D8" s="668">
        <f t="shared" si="1"/>
        <v>1134</v>
      </c>
      <c r="E8" s="668">
        <f t="shared" si="0"/>
        <v>0</v>
      </c>
      <c r="F8" s="668">
        <f t="shared" si="0"/>
        <v>1134</v>
      </c>
      <c r="G8" s="668">
        <v>1134</v>
      </c>
      <c r="H8" s="668"/>
      <c r="I8" s="668">
        <f t="shared" si="2"/>
        <v>1134</v>
      </c>
      <c r="J8" s="668"/>
      <c r="K8" s="668"/>
      <c r="L8" s="668">
        <f t="shared" si="3"/>
        <v>0</v>
      </c>
      <c r="M8" s="668"/>
      <c r="N8" s="668"/>
      <c r="O8" s="668">
        <f t="shared" si="4"/>
        <v>0</v>
      </c>
      <c r="P8" s="668"/>
      <c r="Q8" s="668"/>
      <c r="R8" s="668">
        <f t="shared" si="5"/>
        <v>0</v>
      </c>
    </row>
    <row r="9" spans="1:18" ht="15" customHeight="1" x14ac:dyDescent="0.3">
      <c r="A9" s="679" t="s">
        <v>10</v>
      </c>
      <c r="B9" s="1247" t="s">
        <v>9</v>
      </c>
      <c r="C9" s="1247"/>
      <c r="D9" s="668">
        <f t="shared" si="1"/>
        <v>0</v>
      </c>
      <c r="E9" s="668">
        <f t="shared" si="0"/>
        <v>0</v>
      </c>
      <c r="F9" s="668">
        <f t="shared" si="0"/>
        <v>0</v>
      </c>
      <c r="G9" s="668"/>
      <c r="H9" s="668"/>
      <c r="I9" s="668">
        <f t="shared" si="2"/>
        <v>0</v>
      </c>
      <c r="J9" s="668"/>
      <c r="K9" s="668"/>
      <c r="L9" s="668">
        <f t="shared" si="3"/>
        <v>0</v>
      </c>
      <c r="M9" s="668"/>
      <c r="N9" s="668"/>
      <c r="O9" s="668">
        <f t="shared" si="4"/>
        <v>0</v>
      </c>
      <c r="P9" s="668"/>
      <c r="Q9" s="668"/>
      <c r="R9" s="668">
        <f t="shared" si="5"/>
        <v>0</v>
      </c>
    </row>
    <row r="10" spans="1:18" ht="15" customHeight="1" x14ac:dyDescent="0.3">
      <c r="A10" s="679" t="s">
        <v>12</v>
      </c>
      <c r="B10" s="1247" t="s">
        <v>11</v>
      </c>
      <c r="C10" s="1247"/>
      <c r="D10" s="668">
        <f t="shared" si="1"/>
        <v>6276</v>
      </c>
      <c r="E10" s="668">
        <f t="shared" si="0"/>
        <v>0</v>
      </c>
      <c r="F10" s="668">
        <f t="shared" si="0"/>
        <v>6276</v>
      </c>
      <c r="G10" s="668">
        <v>6276</v>
      </c>
      <c r="H10" s="668"/>
      <c r="I10" s="668">
        <f t="shared" si="2"/>
        <v>6276</v>
      </c>
      <c r="J10" s="668"/>
      <c r="K10" s="668"/>
      <c r="L10" s="668">
        <f t="shared" si="3"/>
        <v>0</v>
      </c>
      <c r="M10" s="668"/>
      <c r="N10" s="668"/>
      <c r="O10" s="668">
        <f t="shared" si="4"/>
        <v>0</v>
      </c>
      <c r="P10" s="668"/>
      <c r="Q10" s="668"/>
      <c r="R10" s="668">
        <f t="shared" si="5"/>
        <v>0</v>
      </c>
    </row>
    <row r="11" spans="1:18" ht="15" customHeight="1" x14ac:dyDescent="0.3">
      <c r="A11" s="679" t="s">
        <v>14</v>
      </c>
      <c r="B11" s="1247" t="s">
        <v>13</v>
      </c>
      <c r="C11" s="1247"/>
      <c r="D11" s="668">
        <f t="shared" si="1"/>
        <v>2100</v>
      </c>
      <c r="E11" s="668">
        <f t="shared" si="0"/>
        <v>0</v>
      </c>
      <c r="F11" s="668">
        <f t="shared" si="0"/>
        <v>2100</v>
      </c>
      <c r="G11" s="668">
        <v>2100</v>
      </c>
      <c r="H11" s="668"/>
      <c r="I11" s="668">
        <f t="shared" si="2"/>
        <v>2100</v>
      </c>
      <c r="J11" s="668"/>
      <c r="K11" s="668"/>
      <c r="L11" s="668">
        <f t="shared" si="3"/>
        <v>0</v>
      </c>
      <c r="M11" s="668"/>
      <c r="N11" s="668"/>
      <c r="O11" s="668">
        <f t="shared" si="4"/>
        <v>0</v>
      </c>
      <c r="P11" s="668"/>
      <c r="Q11" s="668"/>
      <c r="R11" s="668">
        <f t="shared" si="5"/>
        <v>0</v>
      </c>
    </row>
    <row r="12" spans="1:18" ht="15" customHeight="1" x14ac:dyDescent="0.3">
      <c r="A12" s="679" t="s">
        <v>16</v>
      </c>
      <c r="B12" s="1247" t="s">
        <v>15</v>
      </c>
      <c r="C12" s="1247"/>
      <c r="D12" s="668">
        <f t="shared" si="1"/>
        <v>0</v>
      </c>
      <c r="E12" s="668">
        <f t="shared" si="0"/>
        <v>0</v>
      </c>
      <c r="F12" s="668">
        <f t="shared" si="0"/>
        <v>0</v>
      </c>
      <c r="G12" s="668"/>
      <c r="H12" s="668"/>
      <c r="I12" s="668">
        <f t="shared" si="2"/>
        <v>0</v>
      </c>
      <c r="J12" s="668"/>
      <c r="K12" s="668"/>
      <c r="L12" s="668">
        <f t="shared" si="3"/>
        <v>0</v>
      </c>
      <c r="M12" s="668"/>
      <c r="N12" s="668"/>
      <c r="O12" s="668">
        <f t="shared" si="4"/>
        <v>0</v>
      </c>
      <c r="P12" s="668"/>
      <c r="Q12" s="668"/>
      <c r="R12" s="668">
        <f t="shared" si="5"/>
        <v>0</v>
      </c>
    </row>
    <row r="13" spans="1:18" ht="15" customHeight="1" x14ac:dyDescent="0.3">
      <c r="A13" s="679" t="s">
        <v>18</v>
      </c>
      <c r="B13" s="1247" t="s">
        <v>17</v>
      </c>
      <c r="C13" s="1247"/>
      <c r="D13" s="668">
        <f t="shared" si="1"/>
        <v>1066</v>
      </c>
      <c r="E13" s="668">
        <f t="shared" si="0"/>
        <v>0</v>
      </c>
      <c r="F13" s="668">
        <f t="shared" si="0"/>
        <v>1066</v>
      </c>
      <c r="G13" s="668">
        <v>1066</v>
      </c>
      <c r="H13" s="668"/>
      <c r="I13" s="668">
        <f t="shared" si="2"/>
        <v>1066</v>
      </c>
      <c r="J13" s="668"/>
      <c r="K13" s="668"/>
      <c r="L13" s="668">
        <f t="shared" si="3"/>
        <v>0</v>
      </c>
      <c r="M13" s="668"/>
      <c r="N13" s="668"/>
      <c r="O13" s="668">
        <f t="shared" si="4"/>
        <v>0</v>
      </c>
      <c r="P13" s="668"/>
      <c r="Q13" s="668"/>
      <c r="R13" s="668">
        <f t="shared" si="5"/>
        <v>0</v>
      </c>
    </row>
    <row r="14" spans="1:18" ht="15" customHeight="1" x14ac:dyDescent="0.3">
      <c r="A14" s="679" t="s">
        <v>20</v>
      </c>
      <c r="B14" s="1247" t="s">
        <v>19</v>
      </c>
      <c r="C14" s="1247"/>
      <c r="D14" s="668">
        <f t="shared" si="1"/>
        <v>0</v>
      </c>
      <c r="E14" s="668">
        <f t="shared" si="0"/>
        <v>0</v>
      </c>
      <c r="F14" s="668">
        <f t="shared" si="0"/>
        <v>0</v>
      </c>
      <c r="G14" s="668"/>
      <c r="H14" s="668"/>
      <c r="I14" s="668">
        <f t="shared" si="2"/>
        <v>0</v>
      </c>
      <c r="J14" s="668"/>
      <c r="K14" s="668"/>
      <c r="L14" s="668">
        <f t="shared" si="3"/>
        <v>0</v>
      </c>
      <c r="M14" s="668"/>
      <c r="N14" s="668"/>
      <c r="O14" s="668">
        <f t="shared" si="4"/>
        <v>0</v>
      </c>
      <c r="P14" s="668"/>
      <c r="Q14" s="668"/>
      <c r="R14" s="668">
        <f t="shared" si="5"/>
        <v>0</v>
      </c>
    </row>
    <row r="15" spans="1:18" ht="15" customHeight="1" x14ac:dyDescent="0.3">
      <c r="A15" s="679" t="s">
        <v>22</v>
      </c>
      <c r="B15" s="1247" t="s">
        <v>21</v>
      </c>
      <c r="C15" s="1247"/>
      <c r="D15" s="668">
        <f t="shared" si="1"/>
        <v>0</v>
      </c>
      <c r="E15" s="668">
        <f t="shared" si="0"/>
        <v>0</v>
      </c>
      <c r="F15" s="668">
        <f t="shared" si="0"/>
        <v>0</v>
      </c>
      <c r="G15" s="668"/>
      <c r="H15" s="668"/>
      <c r="I15" s="668">
        <f t="shared" si="2"/>
        <v>0</v>
      </c>
      <c r="J15" s="668"/>
      <c r="K15" s="668"/>
      <c r="L15" s="668">
        <f t="shared" si="3"/>
        <v>0</v>
      </c>
      <c r="M15" s="668"/>
      <c r="N15" s="668"/>
      <c r="O15" s="668">
        <f t="shared" si="4"/>
        <v>0</v>
      </c>
      <c r="P15" s="668"/>
      <c r="Q15" s="668"/>
      <c r="R15" s="668">
        <f t="shared" si="5"/>
        <v>0</v>
      </c>
    </row>
    <row r="16" spans="1:18" ht="15" customHeight="1" x14ac:dyDescent="0.3">
      <c r="A16" s="679" t="s">
        <v>24</v>
      </c>
      <c r="B16" s="1247" t="s">
        <v>23</v>
      </c>
      <c r="C16" s="1247"/>
      <c r="D16" s="668">
        <f t="shared" si="1"/>
        <v>300</v>
      </c>
      <c r="E16" s="668">
        <f t="shared" si="0"/>
        <v>0</v>
      </c>
      <c r="F16" s="668">
        <f t="shared" si="0"/>
        <v>300</v>
      </c>
      <c r="G16" s="668">
        <v>300</v>
      </c>
      <c r="H16" s="668"/>
      <c r="I16" s="668">
        <f t="shared" si="2"/>
        <v>300</v>
      </c>
      <c r="J16" s="668"/>
      <c r="K16" s="668"/>
      <c r="L16" s="668">
        <f t="shared" si="3"/>
        <v>0</v>
      </c>
      <c r="M16" s="668"/>
      <c r="N16" s="668"/>
      <c r="O16" s="668">
        <f t="shared" si="4"/>
        <v>0</v>
      </c>
      <c r="P16" s="668"/>
      <c r="Q16" s="668"/>
      <c r="R16" s="668">
        <f t="shared" si="5"/>
        <v>0</v>
      </c>
    </row>
    <row r="17" spans="1:18" ht="27.75" customHeight="1" x14ac:dyDescent="0.3">
      <c r="A17" s="679" t="s">
        <v>25</v>
      </c>
      <c r="B17" s="1247" t="s">
        <v>175</v>
      </c>
      <c r="C17" s="1247"/>
      <c r="D17" s="668">
        <f t="shared" si="1"/>
        <v>0</v>
      </c>
      <c r="E17" s="668">
        <f t="shared" si="0"/>
        <v>1154</v>
      </c>
      <c r="F17" s="668">
        <f t="shared" si="0"/>
        <v>1154</v>
      </c>
      <c r="G17" s="668"/>
      <c r="H17" s="668">
        <f>40+12+504+300+298</f>
        <v>1154</v>
      </c>
      <c r="I17" s="668">
        <f t="shared" si="2"/>
        <v>1154</v>
      </c>
      <c r="J17" s="668"/>
      <c r="K17" s="668"/>
      <c r="L17" s="668">
        <f t="shared" si="3"/>
        <v>0</v>
      </c>
      <c r="M17" s="668"/>
      <c r="N17" s="668"/>
      <c r="O17" s="668">
        <f t="shared" si="4"/>
        <v>0</v>
      </c>
      <c r="P17" s="668"/>
      <c r="Q17" s="668"/>
      <c r="R17" s="668">
        <f t="shared" si="5"/>
        <v>0</v>
      </c>
    </row>
    <row r="18" spans="1:18" ht="15" customHeight="1" x14ac:dyDescent="0.3">
      <c r="A18" s="679" t="s">
        <v>25</v>
      </c>
      <c r="B18" s="1247" t="s">
        <v>26</v>
      </c>
      <c r="C18" s="1247"/>
      <c r="D18" s="668">
        <f t="shared" si="1"/>
        <v>0</v>
      </c>
      <c r="E18" s="668">
        <f t="shared" si="0"/>
        <v>0</v>
      </c>
      <c r="F18" s="668">
        <f t="shared" si="0"/>
        <v>0</v>
      </c>
      <c r="G18" s="668"/>
      <c r="H18" s="668"/>
      <c r="I18" s="668">
        <f t="shared" si="2"/>
        <v>0</v>
      </c>
      <c r="J18" s="668"/>
      <c r="K18" s="668"/>
      <c r="L18" s="668">
        <f t="shared" si="3"/>
        <v>0</v>
      </c>
      <c r="M18" s="668"/>
      <c r="N18" s="668"/>
      <c r="O18" s="668">
        <f t="shared" si="4"/>
        <v>0</v>
      </c>
      <c r="P18" s="668"/>
      <c r="Q18" s="668"/>
      <c r="R18" s="668">
        <f t="shared" si="5"/>
        <v>0</v>
      </c>
    </row>
    <row r="19" spans="1:18" s="681" customFormat="1" ht="15" customHeight="1" x14ac:dyDescent="0.3">
      <c r="A19" s="680" t="s">
        <v>27</v>
      </c>
      <c r="B19" s="1250" t="s">
        <v>426</v>
      </c>
      <c r="C19" s="1250"/>
      <c r="D19" s="667">
        <f>SUM(D5:D18)</f>
        <v>120852</v>
      </c>
      <c r="E19" s="667">
        <f t="shared" ref="E19:Q19" si="6">SUM(E5:E18)</f>
        <v>-348</v>
      </c>
      <c r="F19" s="667">
        <f t="shared" si="6"/>
        <v>120504</v>
      </c>
      <c r="G19" s="667">
        <f t="shared" si="6"/>
        <v>120852</v>
      </c>
      <c r="H19" s="667">
        <f t="shared" si="6"/>
        <v>-348</v>
      </c>
      <c r="I19" s="667">
        <f t="shared" si="2"/>
        <v>120504</v>
      </c>
      <c r="J19" s="667">
        <f t="shared" si="6"/>
        <v>0</v>
      </c>
      <c r="K19" s="667">
        <f t="shared" si="6"/>
        <v>0</v>
      </c>
      <c r="L19" s="667">
        <f t="shared" si="3"/>
        <v>0</v>
      </c>
      <c r="M19" s="667">
        <f t="shared" si="6"/>
        <v>0</v>
      </c>
      <c r="N19" s="667">
        <f t="shared" si="6"/>
        <v>0</v>
      </c>
      <c r="O19" s="667">
        <f t="shared" si="4"/>
        <v>0</v>
      </c>
      <c r="P19" s="667">
        <f t="shared" si="6"/>
        <v>0</v>
      </c>
      <c r="Q19" s="667">
        <f t="shared" si="6"/>
        <v>0</v>
      </c>
      <c r="R19" s="667">
        <f t="shared" si="5"/>
        <v>0</v>
      </c>
    </row>
    <row r="20" spans="1:18" ht="15" customHeight="1" x14ac:dyDescent="0.3">
      <c r="A20" s="679" t="s">
        <v>29</v>
      </c>
      <c r="B20" s="1247" t="s">
        <v>28</v>
      </c>
      <c r="C20" s="1247"/>
      <c r="D20" s="668">
        <f>+G20+J20+M20+P20</f>
        <v>0</v>
      </c>
      <c r="E20" s="668">
        <f t="shared" ref="E20:F22" si="7">+H20+K20+N20+Q20</f>
        <v>0</v>
      </c>
      <c r="F20" s="668">
        <f t="shared" si="7"/>
        <v>0</v>
      </c>
      <c r="G20" s="668"/>
      <c r="H20" s="668"/>
      <c r="I20" s="668">
        <f t="shared" si="2"/>
        <v>0</v>
      </c>
      <c r="J20" s="668"/>
      <c r="K20" s="668"/>
      <c r="L20" s="668">
        <f t="shared" si="3"/>
        <v>0</v>
      </c>
      <c r="M20" s="668"/>
      <c r="N20" s="668"/>
      <c r="O20" s="668">
        <f t="shared" si="4"/>
        <v>0</v>
      </c>
      <c r="P20" s="668"/>
      <c r="Q20" s="668"/>
      <c r="R20" s="668">
        <f t="shared" si="5"/>
        <v>0</v>
      </c>
    </row>
    <row r="21" spans="1:18" ht="38.25" customHeight="1" x14ac:dyDescent="0.3">
      <c r="A21" s="679" t="s">
        <v>663</v>
      </c>
      <c r="B21" s="1247" t="s">
        <v>30</v>
      </c>
      <c r="C21" s="1247"/>
      <c r="D21" s="668">
        <f t="shared" ref="D21:D22" si="8">+G21+J21+M21+P21</f>
        <v>2000</v>
      </c>
      <c r="E21" s="668">
        <f t="shared" si="7"/>
        <v>40</v>
      </c>
      <c r="F21" s="668">
        <f t="shared" si="7"/>
        <v>2040</v>
      </c>
      <c r="G21" s="668"/>
      <c r="H21" s="668">
        <v>400</v>
      </c>
      <c r="I21" s="668">
        <f t="shared" si="2"/>
        <v>400</v>
      </c>
      <c r="J21" s="668"/>
      <c r="K21" s="668"/>
      <c r="L21" s="668">
        <f t="shared" si="3"/>
        <v>0</v>
      </c>
      <c r="M21" s="668">
        <v>2000</v>
      </c>
      <c r="N21" s="668">
        <v>-360</v>
      </c>
      <c r="O21" s="668">
        <f t="shared" si="4"/>
        <v>1640</v>
      </c>
      <c r="P21" s="668"/>
      <c r="Q21" s="668"/>
      <c r="R21" s="668">
        <f t="shared" si="5"/>
        <v>0</v>
      </c>
    </row>
    <row r="22" spans="1:18" ht="15" customHeight="1" x14ac:dyDescent="0.3">
      <c r="A22" s="679" t="s">
        <v>32</v>
      </c>
      <c r="B22" s="1247" t="s">
        <v>31</v>
      </c>
      <c r="C22" s="1247"/>
      <c r="D22" s="668">
        <f t="shared" si="8"/>
        <v>30</v>
      </c>
      <c r="E22" s="668">
        <f t="shared" si="7"/>
        <v>108</v>
      </c>
      <c r="F22" s="668">
        <f t="shared" si="7"/>
        <v>138</v>
      </c>
      <c r="G22" s="668">
        <v>30</v>
      </c>
      <c r="H22" s="668">
        <v>108</v>
      </c>
      <c r="I22" s="668">
        <f t="shared" si="2"/>
        <v>138</v>
      </c>
      <c r="J22" s="668"/>
      <c r="K22" s="668"/>
      <c r="L22" s="668">
        <f t="shared" si="3"/>
        <v>0</v>
      </c>
      <c r="M22" s="668"/>
      <c r="N22" s="668"/>
      <c r="O22" s="668">
        <f t="shared" si="4"/>
        <v>0</v>
      </c>
      <c r="P22" s="668"/>
      <c r="Q22" s="668"/>
      <c r="R22" s="668">
        <f t="shared" si="5"/>
        <v>0</v>
      </c>
    </row>
    <row r="23" spans="1:18" s="681" customFormat="1" ht="15" customHeight="1" x14ac:dyDescent="0.3">
      <c r="A23" s="680" t="s">
        <v>33</v>
      </c>
      <c r="B23" s="1250" t="s">
        <v>427</v>
      </c>
      <c r="C23" s="1250"/>
      <c r="D23" s="667">
        <f>SUM(D20:D22)</f>
        <v>2030</v>
      </c>
      <c r="E23" s="667">
        <f t="shared" ref="E23:R23" si="9">SUM(E20:E22)</f>
        <v>148</v>
      </c>
      <c r="F23" s="667">
        <f t="shared" si="9"/>
        <v>2178</v>
      </c>
      <c r="G23" s="667">
        <f t="shared" si="9"/>
        <v>30</v>
      </c>
      <c r="H23" s="667">
        <f t="shared" si="9"/>
        <v>508</v>
      </c>
      <c r="I23" s="667">
        <f t="shared" si="2"/>
        <v>538</v>
      </c>
      <c r="J23" s="667">
        <f t="shared" si="9"/>
        <v>0</v>
      </c>
      <c r="K23" s="667">
        <f t="shared" si="9"/>
        <v>0</v>
      </c>
      <c r="L23" s="667">
        <f t="shared" si="9"/>
        <v>0</v>
      </c>
      <c r="M23" s="667">
        <v>2000</v>
      </c>
      <c r="N23" s="667">
        <f t="shared" si="9"/>
        <v>-360</v>
      </c>
      <c r="O23" s="667">
        <f t="shared" si="9"/>
        <v>1640</v>
      </c>
      <c r="P23" s="667">
        <f t="shared" si="9"/>
        <v>0</v>
      </c>
      <c r="Q23" s="667">
        <f t="shared" si="9"/>
        <v>0</v>
      </c>
      <c r="R23" s="667">
        <f t="shared" si="9"/>
        <v>0</v>
      </c>
    </row>
    <row r="24" spans="1:18" s="682" customFormat="1" ht="15" customHeight="1" x14ac:dyDescent="0.3">
      <c r="A24" s="680" t="s">
        <v>34</v>
      </c>
      <c r="B24" s="1250" t="s">
        <v>428</v>
      </c>
      <c r="C24" s="1250"/>
      <c r="D24" s="667">
        <f t="shared" ref="D24:R24" si="10">+D23+D19</f>
        <v>122882</v>
      </c>
      <c r="E24" s="667">
        <f t="shared" si="10"/>
        <v>-200</v>
      </c>
      <c r="F24" s="667">
        <f t="shared" si="10"/>
        <v>122682</v>
      </c>
      <c r="G24" s="667">
        <f t="shared" si="10"/>
        <v>120882</v>
      </c>
      <c r="H24" s="667">
        <f t="shared" si="10"/>
        <v>160</v>
      </c>
      <c r="I24" s="667">
        <f t="shared" si="2"/>
        <v>121042</v>
      </c>
      <c r="J24" s="667">
        <f t="shared" si="10"/>
        <v>0</v>
      </c>
      <c r="K24" s="667">
        <f t="shared" si="10"/>
        <v>0</v>
      </c>
      <c r="L24" s="667">
        <f t="shared" si="10"/>
        <v>0</v>
      </c>
      <c r="M24" s="667">
        <f t="shared" si="10"/>
        <v>2000</v>
      </c>
      <c r="N24" s="667">
        <f>+N23+N19</f>
        <v>-360</v>
      </c>
      <c r="O24" s="667">
        <f t="shared" si="10"/>
        <v>1640</v>
      </c>
      <c r="P24" s="667">
        <f t="shared" si="10"/>
        <v>0</v>
      </c>
      <c r="Q24" s="667">
        <f t="shared" si="10"/>
        <v>0</v>
      </c>
      <c r="R24" s="667">
        <f t="shared" si="10"/>
        <v>0</v>
      </c>
    </row>
    <row r="25" spans="1:18" x14ac:dyDescent="0.3">
      <c r="A25" s="683"/>
      <c r="B25" s="684"/>
      <c r="C25" s="684"/>
      <c r="D25" s="672"/>
      <c r="E25" s="672"/>
      <c r="F25" s="673"/>
      <c r="G25" s="671"/>
      <c r="H25" s="672"/>
      <c r="I25" s="673"/>
      <c r="J25" s="671"/>
      <c r="K25" s="672"/>
      <c r="L25" s="673"/>
      <c r="M25" s="671"/>
      <c r="N25" s="672"/>
      <c r="O25" s="673"/>
      <c r="P25" s="671"/>
      <c r="Q25" s="672"/>
      <c r="R25" s="673"/>
    </row>
    <row r="26" spans="1:18" s="682" customFormat="1" ht="27" customHeight="1" x14ac:dyDescent="0.3">
      <c r="A26" s="680" t="s">
        <v>35</v>
      </c>
      <c r="B26" s="1250" t="s">
        <v>429</v>
      </c>
      <c r="C26" s="1250"/>
      <c r="D26" s="667">
        <f>SUM(D27:D31)</f>
        <v>26806</v>
      </c>
      <c r="E26" s="667">
        <f t="shared" ref="E26:R26" si="11">SUM(E27:E31)</f>
        <v>57</v>
      </c>
      <c r="F26" s="667">
        <f t="shared" si="11"/>
        <v>26863</v>
      </c>
      <c r="G26" s="667">
        <f t="shared" si="11"/>
        <v>26412</v>
      </c>
      <c r="H26" s="667">
        <f t="shared" si="11"/>
        <v>57</v>
      </c>
      <c r="I26" s="667">
        <f t="shared" si="11"/>
        <v>26469</v>
      </c>
      <c r="J26" s="667">
        <f t="shared" si="11"/>
        <v>0</v>
      </c>
      <c r="K26" s="667">
        <f t="shared" si="11"/>
        <v>0</v>
      </c>
      <c r="L26" s="667">
        <f t="shared" si="11"/>
        <v>0</v>
      </c>
      <c r="M26" s="667">
        <f t="shared" si="11"/>
        <v>394</v>
      </c>
      <c r="N26" s="667">
        <f t="shared" si="11"/>
        <v>0</v>
      </c>
      <c r="O26" s="667">
        <f t="shared" si="11"/>
        <v>394</v>
      </c>
      <c r="P26" s="667">
        <f t="shared" si="11"/>
        <v>0</v>
      </c>
      <c r="Q26" s="667">
        <f t="shared" si="11"/>
        <v>0</v>
      </c>
      <c r="R26" s="667">
        <f t="shared" si="11"/>
        <v>0</v>
      </c>
    </row>
    <row r="27" spans="1:18" ht="26.4" x14ac:dyDescent="0.3">
      <c r="A27" s="685" t="s">
        <v>35</v>
      </c>
      <c r="B27" s="686"/>
      <c r="C27" s="687" t="s">
        <v>36</v>
      </c>
      <c r="D27" s="668">
        <f>+G27+J27+M27+P27</f>
        <v>23590</v>
      </c>
      <c r="E27" s="668">
        <f t="shared" ref="E27:F31" si="12">+H27+K27+N27+Q27</f>
        <v>10</v>
      </c>
      <c r="F27" s="668">
        <f t="shared" si="12"/>
        <v>23600</v>
      </c>
      <c r="G27" s="668">
        <v>23196</v>
      </c>
      <c r="H27" s="668">
        <f>8+2</f>
        <v>10</v>
      </c>
      <c r="I27" s="668">
        <f>+G27+H27</f>
        <v>23206</v>
      </c>
      <c r="J27" s="668"/>
      <c r="K27" s="668"/>
      <c r="L27" s="668">
        <f>+J27+K27</f>
        <v>0</v>
      </c>
      <c r="M27" s="668">
        <v>394</v>
      </c>
      <c r="N27" s="668"/>
      <c r="O27" s="668">
        <f>+M27+N27</f>
        <v>394</v>
      </c>
      <c r="P27" s="668"/>
      <c r="Q27" s="668"/>
      <c r="R27" s="668">
        <f>+Q27+P27</f>
        <v>0</v>
      </c>
    </row>
    <row r="28" spans="1:18" ht="26.4" x14ac:dyDescent="0.3">
      <c r="A28" s="685" t="s">
        <v>35</v>
      </c>
      <c r="B28" s="686"/>
      <c r="C28" s="687" t="s">
        <v>37</v>
      </c>
      <c r="D28" s="668">
        <f t="shared" ref="D28:D31" si="13">+G28+J28+M28+P28</f>
        <v>2484</v>
      </c>
      <c r="E28" s="668">
        <f t="shared" si="12"/>
        <v>0</v>
      </c>
      <c r="F28" s="668">
        <f t="shared" si="12"/>
        <v>2484</v>
      </c>
      <c r="G28" s="668">
        <v>2484</v>
      </c>
      <c r="H28" s="668"/>
      <c r="I28" s="668">
        <f t="shared" ref="I28:I31" si="14">+G28+H28</f>
        <v>2484</v>
      </c>
      <c r="J28" s="668"/>
      <c r="K28" s="668"/>
      <c r="L28" s="668">
        <f t="shared" ref="L28:L31" si="15">+J28+K28</f>
        <v>0</v>
      </c>
      <c r="M28" s="668"/>
      <c r="N28" s="668"/>
      <c r="O28" s="668">
        <f t="shared" ref="O28:O31" si="16">+M28+N28</f>
        <v>0</v>
      </c>
      <c r="P28" s="668"/>
      <c r="Q28" s="668"/>
      <c r="R28" s="668">
        <f t="shared" ref="R28:R31" si="17">+Q28+P28</f>
        <v>0</v>
      </c>
    </row>
    <row r="29" spans="1:18" ht="26.4" x14ac:dyDescent="0.3">
      <c r="A29" s="685" t="s">
        <v>35</v>
      </c>
      <c r="B29" s="686"/>
      <c r="C29" s="687" t="s">
        <v>38</v>
      </c>
      <c r="D29" s="668">
        <f t="shared" si="13"/>
        <v>355</v>
      </c>
      <c r="E29" s="668">
        <f t="shared" si="12"/>
        <v>19</v>
      </c>
      <c r="F29" s="668">
        <f t="shared" si="12"/>
        <v>374</v>
      </c>
      <c r="G29" s="668">
        <v>355</v>
      </c>
      <c r="H29" s="668">
        <v>19</v>
      </c>
      <c r="I29" s="668">
        <f t="shared" si="14"/>
        <v>374</v>
      </c>
      <c r="J29" s="668"/>
      <c r="K29" s="668"/>
      <c r="L29" s="668">
        <f t="shared" si="15"/>
        <v>0</v>
      </c>
      <c r="M29" s="668"/>
      <c r="N29" s="668"/>
      <c r="O29" s="668">
        <f t="shared" si="16"/>
        <v>0</v>
      </c>
      <c r="P29" s="668"/>
      <c r="Q29" s="668"/>
      <c r="R29" s="668">
        <f t="shared" si="17"/>
        <v>0</v>
      </c>
    </row>
    <row r="30" spans="1:18" ht="62.25" customHeight="1" x14ac:dyDescent="0.3">
      <c r="A30" s="685" t="s">
        <v>35</v>
      </c>
      <c r="B30" s="686"/>
      <c r="C30" s="687" t="s">
        <v>39</v>
      </c>
      <c r="D30" s="668">
        <f t="shared" si="13"/>
        <v>0</v>
      </c>
      <c r="E30" s="668">
        <f t="shared" si="12"/>
        <v>0</v>
      </c>
      <c r="F30" s="668">
        <f t="shared" si="12"/>
        <v>0</v>
      </c>
      <c r="G30" s="668"/>
      <c r="H30" s="668"/>
      <c r="I30" s="668">
        <f t="shared" si="14"/>
        <v>0</v>
      </c>
      <c r="J30" s="668"/>
      <c r="K30" s="668"/>
      <c r="L30" s="668">
        <f t="shared" si="15"/>
        <v>0</v>
      </c>
      <c r="M30" s="668"/>
      <c r="N30" s="668"/>
      <c r="O30" s="668">
        <f t="shared" si="16"/>
        <v>0</v>
      </c>
      <c r="P30" s="668"/>
      <c r="Q30" s="668"/>
      <c r="R30" s="668">
        <f t="shared" si="17"/>
        <v>0</v>
      </c>
    </row>
    <row r="31" spans="1:18" ht="25.5" customHeight="1" x14ac:dyDescent="0.3">
      <c r="A31" s="685" t="s">
        <v>35</v>
      </c>
      <c r="B31" s="686"/>
      <c r="C31" s="687" t="s">
        <v>40</v>
      </c>
      <c r="D31" s="668">
        <f t="shared" si="13"/>
        <v>377</v>
      </c>
      <c r="E31" s="668">
        <f t="shared" si="12"/>
        <v>28</v>
      </c>
      <c r="F31" s="668">
        <f t="shared" si="12"/>
        <v>405</v>
      </c>
      <c r="G31" s="668">
        <v>377</v>
      </c>
      <c r="H31" s="668">
        <v>28</v>
      </c>
      <c r="I31" s="668">
        <f t="shared" si="14"/>
        <v>405</v>
      </c>
      <c r="J31" s="668"/>
      <c r="K31" s="668"/>
      <c r="L31" s="668">
        <f t="shared" si="15"/>
        <v>0</v>
      </c>
      <c r="M31" s="668"/>
      <c r="N31" s="668"/>
      <c r="O31" s="668">
        <f t="shared" si="16"/>
        <v>0</v>
      </c>
      <c r="P31" s="668"/>
      <c r="Q31" s="668"/>
      <c r="R31" s="668">
        <f t="shared" si="17"/>
        <v>0</v>
      </c>
    </row>
    <row r="32" spans="1:18" x14ac:dyDescent="0.3">
      <c r="A32" s="688"/>
      <c r="B32" s="689"/>
      <c r="C32" s="690"/>
      <c r="D32" s="691"/>
      <c r="E32" s="691"/>
      <c r="F32" s="691"/>
      <c r="G32" s="691"/>
      <c r="H32" s="691"/>
      <c r="I32" s="691"/>
      <c r="J32" s="691"/>
      <c r="K32" s="691"/>
      <c r="L32" s="691"/>
      <c r="M32" s="691"/>
      <c r="N32" s="691"/>
      <c r="O32" s="691"/>
      <c r="P32" s="691"/>
      <c r="Q32" s="691"/>
      <c r="R32" s="691"/>
    </row>
    <row r="33" spans="1:18" x14ac:dyDescent="0.3">
      <c r="A33" s="679" t="s">
        <v>42</v>
      </c>
      <c r="B33" s="1247" t="s">
        <v>41</v>
      </c>
      <c r="C33" s="1247"/>
      <c r="D33" s="668">
        <f>+G33+J33+M33+P33</f>
        <v>675</v>
      </c>
      <c r="E33" s="668">
        <f t="shared" ref="E33:F35" si="18">+H33+K33+N33+Q33</f>
        <v>0</v>
      </c>
      <c r="F33" s="668">
        <f t="shared" si="18"/>
        <v>675</v>
      </c>
      <c r="G33" s="668">
        <v>675</v>
      </c>
      <c r="H33" s="668"/>
      <c r="I33" s="668">
        <f>+H33+G33</f>
        <v>675</v>
      </c>
      <c r="J33" s="668"/>
      <c r="K33" s="668"/>
      <c r="L33" s="668">
        <f>+J33+K33</f>
        <v>0</v>
      </c>
      <c r="M33" s="668"/>
      <c r="N33" s="668"/>
      <c r="O33" s="668">
        <f>+N33+M33</f>
        <v>0</v>
      </c>
      <c r="P33" s="668"/>
      <c r="Q33" s="668"/>
      <c r="R33" s="668">
        <f>+Q33+P33</f>
        <v>0</v>
      </c>
    </row>
    <row r="34" spans="1:18" x14ac:dyDescent="0.3">
      <c r="A34" s="679" t="s">
        <v>44</v>
      </c>
      <c r="B34" s="1247" t="s">
        <v>43</v>
      </c>
      <c r="C34" s="1247"/>
      <c r="D34" s="668">
        <f t="shared" ref="D34:D35" si="19">+G34+J34+M34+P34</f>
        <v>1325</v>
      </c>
      <c r="E34" s="668">
        <f t="shared" si="18"/>
        <v>22</v>
      </c>
      <c r="F34" s="668">
        <f t="shared" si="18"/>
        <v>1347</v>
      </c>
      <c r="G34" s="668">
        <v>1325</v>
      </c>
      <c r="H34" s="668">
        <v>22</v>
      </c>
      <c r="I34" s="668">
        <f t="shared" ref="I34:I35" si="20">+H34+G34</f>
        <v>1347</v>
      </c>
      <c r="J34" s="668"/>
      <c r="K34" s="668"/>
      <c r="L34" s="668">
        <f t="shared" ref="L34:L35" si="21">+J34+K34</f>
        <v>0</v>
      </c>
      <c r="M34" s="668"/>
      <c r="N34" s="668"/>
      <c r="O34" s="668">
        <f t="shared" ref="O34:O35" si="22">+N34+M34</f>
        <v>0</v>
      </c>
      <c r="P34" s="668"/>
      <c r="Q34" s="668"/>
      <c r="R34" s="668">
        <f t="shared" ref="R34:R35" si="23">+Q34+P34</f>
        <v>0</v>
      </c>
    </row>
    <row r="35" spans="1:18" x14ac:dyDescent="0.3">
      <c r="A35" s="679" t="s">
        <v>46</v>
      </c>
      <c r="B35" s="1247" t="s">
        <v>45</v>
      </c>
      <c r="C35" s="1247"/>
      <c r="D35" s="668">
        <f t="shared" si="19"/>
        <v>0</v>
      </c>
      <c r="E35" s="668">
        <f t="shared" si="18"/>
        <v>0</v>
      </c>
      <c r="F35" s="668">
        <f t="shared" si="18"/>
        <v>0</v>
      </c>
      <c r="G35" s="668"/>
      <c r="H35" s="668"/>
      <c r="I35" s="668">
        <f t="shared" si="20"/>
        <v>0</v>
      </c>
      <c r="J35" s="668"/>
      <c r="K35" s="668"/>
      <c r="L35" s="668">
        <f t="shared" si="21"/>
        <v>0</v>
      </c>
      <c r="M35" s="668"/>
      <c r="N35" s="668"/>
      <c r="O35" s="668">
        <f t="shared" si="22"/>
        <v>0</v>
      </c>
      <c r="P35" s="668"/>
      <c r="Q35" s="668"/>
      <c r="R35" s="668">
        <f t="shared" si="23"/>
        <v>0</v>
      </c>
    </row>
    <row r="36" spans="1:18" s="682" customFormat="1" x14ac:dyDescent="0.3">
      <c r="A36" s="680" t="s">
        <v>47</v>
      </c>
      <c r="B36" s="1250" t="s">
        <v>431</v>
      </c>
      <c r="C36" s="1250"/>
      <c r="D36" s="667">
        <f>SUM(D33:D35)</f>
        <v>2000</v>
      </c>
      <c r="E36" s="667">
        <f t="shared" ref="E36:R36" si="24">SUM(E33:E35)</f>
        <v>22</v>
      </c>
      <c r="F36" s="667">
        <f t="shared" si="24"/>
        <v>2022</v>
      </c>
      <c r="G36" s="667">
        <f t="shared" si="24"/>
        <v>2000</v>
      </c>
      <c r="H36" s="667">
        <f t="shared" si="24"/>
        <v>22</v>
      </c>
      <c r="I36" s="667">
        <f t="shared" si="24"/>
        <v>2022</v>
      </c>
      <c r="J36" s="667">
        <f>SUM(J33:J35)</f>
        <v>0</v>
      </c>
      <c r="K36" s="667">
        <f t="shared" si="24"/>
        <v>0</v>
      </c>
      <c r="L36" s="667">
        <f t="shared" si="24"/>
        <v>0</v>
      </c>
      <c r="M36" s="667">
        <f t="shared" si="24"/>
        <v>0</v>
      </c>
      <c r="N36" s="667">
        <f t="shared" si="24"/>
        <v>0</v>
      </c>
      <c r="O36" s="667">
        <f t="shared" si="24"/>
        <v>0</v>
      </c>
      <c r="P36" s="667">
        <f t="shared" si="24"/>
        <v>0</v>
      </c>
      <c r="Q36" s="667">
        <f t="shared" si="24"/>
        <v>0</v>
      </c>
      <c r="R36" s="667">
        <f t="shared" si="24"/>
        <v>0</v>
      </c>
    </row>
    <row r="37" spans="1:18" x14ac:dyDescent="0.3">
      <c r="A37" s="679" t="s">
        <v>49</v>
      </c>
      <c r="B37" s="1247" t="s">
        <v>48</v>
      </c>
      <c r="C37" s="1247"/>
      <c r="D37" s="668">
        <f>+G37+J37+M37+P37</f>
        <v>60</v>
      </c>
      <c r="E37" s="668">
        <f t="shared" ref="E37:F38" si="25">+H37+K37+N37+Q37</f>
        <v>0</v>
      </c>
      <c r="F37" s="668">
        <f t="shared" si="25"/>
        <v>60</v>
      </c>
      <c r="G37" s="668"/>
      <c r="H37" s="668"/>
      <c r="I37" s="668">
        <f>+H37+G37</f>
        <v>0</v>
      </c>
      <c r="J37" s="668">
        <v>60</v>
      </c>
      <c r="K37" s="668"/>
      <c r="L37" s="668">
        <f>+J37+K37</f>
        <v>60</v>
      </c>
      <c r="M37" s="668"/>
      <c r="N37" s="668"/>
      <c r="O37" s="668">
        <f>+N37+M37</f>
        <v>0</v>
      </c>
      <c r="P37" s="668"/>
      <c r="Q37" s="668"/>
      <c r="R37" s="668">
        <f>+Q37+P37</f>
        <v>0</v>
      </c>
    </row>
    <row r="38" spans="1:18" x14ac:dyDescent="0.3">
      <c r="A38" s="679" t="s">
        <v>51</v>
      </c>
      <c r="B38" s="1247" t="s">
        <v>50</v>
      </c>
      <c r="C38" s="1247"/>
      <c r="D38" s="668">
        <f>+G38+J38+M38+P38</f>
        <v>190</v>
      </c>
      <c r="E38" s="668">
        <f t="shared" si="25"/>
        <v>0</v>
      </c>
      <c r="F38" s="668">
        <f t="shared" si="25"/>
        <v>190</v>
      </c>
      <c r="G38" s="668"/>
      <c r="H38" s="668"/>
      <c r="I38" s="668">
        <f>+H38+G38</f>
        <v>0</v>
      </c>
      <c r="J38" s="668">
        <v>190</v>
      </c>
      <c r="K38" s="668"/>
      <c r="L38" s="668">
        <f>+J38+K38</f>
        <v>190</v>
      </c>
      <c r="M38" s="668"/>
      <c r="N38" s="668"/>
      <c r="O38" s="668">
        <f>+N38+M38</f>
        <v>0</v>
      </c>
      <c r="P38" s="668"/>
      <c r="Q38" s="668"/>
      <c r="R38" s="668">
        <f>+Q38+P38</f>
        <v>0</v>
      </c>
    </row>
    <row r="39" spans="1:18" s="682" customFormat="1" x14ac:dyDescent="0.3">
      <c r="A39" s="680" t="s">
        <v>52</v>
      </c>
      <c r="B39" s="1250" t="s">
        <v>432</v>
      </c>
      <c r="C39" s="1250"/>
      <c r="D39" s="667">
        <f t="shared" ref="D39:F39" si="26">SUM(D37:D38)</f>
        <v>250</v>
      </c>
      <c r="E39" s="667">
        <f t="shared" si="26"/>
        <v>0</v>
      </c>
      <c r="F39" s="667">
        <f t="shared" si="26"/>
        <v>250</v>
      </c>
      <c r="G39" s="667">
        <f t="shared" ref="G39:R39" si="27">+G38+G37</f>
        <v>0</v>
      </c>
      <c r="H39" s="667">
        <f t="shared" si="27"/>
        <v>0</v>
      </c>
      <c r="I39" s="667">
        <f t="shared" si="27"/>
        <v>0</v>
      </c>
      <c r="J39" s="667">
        <f t="shared" si="27"/>
        <v>250</v>
      </c>
      <c r="K39" s="667">
        <f t="shared" si="27"/>
        <v>0</v>
      </c>
      <c r="L39" s="667">
        <f t="shared" si="27"/>
        <v>250</v>
      </c>
      <c r="M39" s="667">
        <f t="shared" si="27"/>
        <v>0</v>
      </c>
      <c r="N39" s="667">
        <f t="shared" si="27"/>
        <v>0</v>
      </c>
      <c r="O39" s="667">
        <f t="shared" si="27"/>
        <v>0</v>
      </c>
      <c r="P39" s="667">
        <f t="shared" si="27"/>
        <v>0</v>
      </c>
      <c r="Q39" s="667">
        <f t="shared" si="27"/>
        <v>0</v>
      </c>
      <c r="R39" s="667">
        <f t="shared" si="27"/>
        <v>0</v>
      </c>
    </row>
    <row r="40" spans="1:18" x14ac:dyDescent="0.3">
      <c r="A40" s="679" t="s">
        <v>54</v>
      </c>
      <c r="B40" s="1247" t="s">
        <v>53</v>
      </c>
      <c r="C40" s="1247"/>
      <c r="D40" s="668">
        <f>+G40+J40+M40+P40</f>
        <v>0</v>
      </c>
      <c r="E40" s="668">
        <f t="shared" ref="E40:F48" si="28">+H40+K40+N40+Q40</f>
        <v>0</v>
      </c>
      <c r="F40" s="668">
        <f t="shared" si="28"/>
        <v>0</v>
      </c>
      <c r="G40" s="668"/>
      <c r="H40" s="668"/>
      <c r="I40" s="668">
        <f>+H40+G40</f>
        <v>0</v>
      </c>
      <c r="J40" s="668"/>
      <c r="K40" s="668"/>
      <c r="L40" s="668">
        <f>+J40+K40</f>
        <v>0</v>
      </c>
      <c r="M40" s="668"/>
      <c r="N40" s="668"/>
      <c r="O40" s="668">
        <f>+N40+M40</f>
        <v>0</v>
      </c>
      <c r="P40" s="668"/>
      <c r="Q40" s="668"/>
      <c r="R40" s="668">
        <f>+Q40+P40</f>
        <v>0</v>
      </c>
    </row>
    <row r="41" spans="1:18" x14ac:dyDescent="0.3">
      <c r="A41" s="679" t="s">
        <v>56</v>
      </c>
      <c r="B41" s="1247" t="s">
        <v>55</v>
      </c>
      <c r="C41" s="1247"/>
      <c r="D41" s="668">
        <f t="shared" ref="D41:D48" si="29">+G41+J41+M41+P41</f>
        <v>17718</v>
      </c>
      <c r="E41" s="668">
        <f t="shared" si="28"/>
        <v>0</v>
      </c>
      <c r="F41" s="668">
        <f t="shared" si="28"/>
        <v>17718</v>
      </c>
      <c r="G41" s="668"/>
      <c r="H41" s="668"/>
      <c r="I41" s="668">
        <f t="shared" ref="I41:I48" si="30">+H41+G41</f>
        <v>0</v>
      </c>
      <c r="J41" s="123"/>
      <c r="K41" s="668"/>
      <c r="L41" s="668">
        <f t="shared" ref="L41:L48" si="31">+J41+K41</f>
        <v>0</v>
      </c>
      <c r="M41" s="668"/>
      <c r="N41" s="668"/>
      <c r="O41" s="668">
        <f t="shared" ref="O41:O48" si="32">+N41+M41</f>
        <v>0</v>
      </c>
      <c r="P41" s="123">
        <v>17718</v>
      </c>
      <c r="Q41" s="668"/>
      <c r="R41" s="668">
        <f t="shared" ref="R41:R48" si="33">+Q41+P41</f>
        <v>17718</v>
      </c>
    </row>
    <row r="42" spans="1:18" x14ac:dyDescent="0.3">
      <c r="A42" s="679" t="s">
        <v>57</v>
      </c>
      <c r="B42" s="1247" t="s">
        <v>433</v>
      </c>
      <c r="C42" s="1247"/>
      <c r="D42" s="668">
        <f t="shared" si="29"/>
        <v>0</v>
      </c>
      <c r="E42" s="668">
        <f t="shared" si="28"/>
        <v>0</v>
      </c>
      <c r="F42" s="668">
        <f t="shared" si="28"/>
        <v>0</v>
      </c>
      <c r="G42" s="668"/>
      <c r="H42" s="668"/>
      <c r="I42" s="668">
        <f t="shared" si="30"/>
        <v>0</v>
      </c>
      <c r="J42" s="668"/>
      <c r="K42" s="668"/>
      <c r="L42" s="668">
        <f t="shared" si="31"/>
        <v>0</v>
      </c>
      <c r="M42" s="668"/>
      <c r="N42" s="668"/>
      <c r="O42" s="668">
        <f t="shared" si="32"/>
        <v>0</v>
      </c>
      <c r="P42" s="668"/>
      <c r="Q42" s="668"/>
      <c r="R42" s="668">
        <f t="shared" si="33"/>
        <v>0</v>
      </c>
    </row>
    <row r="43" spans="1:18" x14ac:dyDescent="0.3">
      <c r="A43" s="679" t="s">
        <v>59</v>
      </c>
      <c r="B43" s="1247" t="s">
        <v>58</v>
      </c>
      <c r="C43" s="1247"/>
      <c r="D43" s="668">
        <f t="shared" si="29"/>
        <v>0</v>
      </c>
      <c r="E43" s="668">
        <f t="shared" si="28"/>
        <v>0</v>
      </c>
      <c r="F43" s="668">
        <f t="shared" si="28"/>
        <v>0</v>
      </c>
      <c r="G43" s="668"/>
      <c r="H43" s="668"/>
      <c r="I43" s="668">
        <f t="shared" si="30"/>
        <v>0</v>
      </c>
      <c r="J43" s="668">
        <v>0</v>
      </c>
      <c r="K43" s="668"/>
      <c r="L43" s="668">
        <f t="shared" si="31"/>
        <v>0</v>
      </c>
      <c r="M43" s="668"/>
      <c r="N43" s="668"/>
      <c r="O43" s="668">
        <f t="shared" si="32"/>
        <v>0</v>
      </c>
      <c r="P43" s="668"/>
      <c r="Q43" s="668"/>
      <c r="R43" s="668">
        <f t="shared" si="33"/>
        <v>0</v>
      </c>
    </row>
    <row r="44" spans="1:18" x14ac:dyDescent="0.3">
      <c r="A44" s="679" t="s">
        <v>60</v>
      </c>
      <c r="B44" s="1247" t="s">
        <v>166</v>
      </c>
      <c r="C44" s="1247"/>
      <c r="D44" s="668">
        <f t="shared" si="29"/>
        <v>0</v>
      </c>
      <c r="E44" s="668">
        <f t="shared" si="28"/>
        <v>5</v>
      </c>
      <c r="F44" s="668">
        <f t="shared" si="28"/>
        <v>5</v>
      </c>
      <c r="G44" s="668"/>
      <c r="H44" s="668">
        <v>5</v>
      </c>
      <c r="I44" s="668">
        <f t="shared" si="30"/>
        <v>5</v>
      </c>
      <c r="J44" s="668"/>
      <c r="K44" s="668"/>
      <c r="L44" s="668">
        <f t="shared" si="31"/>
        <v>0</v>
      </c>
      <c r="M44" s="668"/>
      <c r="N44" s="668"/>
      <c r="O44" s="668">
        <f t="shared" si="32"/>
        <v>0</v>
      </c>
      <c r="P44" s="668"/>
      <c r="Q44" s="668"/>
      <c r="R44" s="668">
        <f t="shared" si="33"/>
        <v>0</v>
      </c>
    </row>
    <row r="45" spans="1:18" ht="26.4" x14ac:dyDescent="0.3">
      <c r="A45" s="685" t="s">
        <v>60</v>
      </c>
      <c r="B45" s="686"/>
      <c r="C45" s="687" t="s">
        <v>61</v>
      </c>
      <c r="D45" s="668">
        <f t="shared" si="29"/>
        <v>0</v>
      </c>
      <c r="E45" s="668">
        <f t="shared" si="28"/>
        <v>0</v>
      </c>
      <c r="F45" s="668">
        <f t="shared" si="28"/>
        <v>0</v>
      </c>
      <c r="G45" s="668"/>
      <c r="H45" s="668"/>
      <c r="I45" s="668">
        <f t="shared" si="30"/>
        <v>0</v>
      </c>
      <c r="J45" s="668"/>
      <c r="K45" s="668"/>
      <c r="L45" s="668">
        <f t="shared" si="31"/>
        <v>0</v>
      </c>
      <c r="M45" s="668"/>
      <c r="N45" s="668"/>
      <c r="O45" s="668">
        <f t="shared" si="32"/>
        <v>0</v>
      </c>
      <c r="P45" s="668"/>
      <c r="Q45" s="668"/>
      <c r="R45" s="668">
        <f t="shared" si="33"/>
        <v>0</v>
      </c>
    </row>
    <row r="46" spans="1:18" ht="26.4" x14ac:dyDescent="0.3">
      <c r="A46" s="685" t="s">
        <v>60</v>
      </c>
      <c r="B46" s="686"/>
      <c r="C46" s="687" t="s">
        <v>168</v>
      </c>
      <c r="D46" s="668">
        <f t="shared" si="29"/>
        <v>0</v>
      </c>
      <c r="E46" s="668">
        <f t="shared" si="28"/>
        <v>0</v>
      </c>
      <c r="F46" s="668">
        <f t="shared" si="28"/>
        <v>0</v>
      </c>
      <c r="G46" s="668"/>
      <c r="H46" s="668"/>
      <c r="I46" s="668">
        <f t="shared" si="30"/>
        <v>0</v>
      </c>
      <c r="J46" s="668"/>
      <c r="K46" s="668"/>
      <c r="L46" s="668">
        <f t="shared" si="31"/>
        <v>0</v>
      </c>
      <c r="M46" s="668"/>
      <c r="N46" s="668"/>
      <c r="O46" s="668">
        <f t="shared" si="32"/>
        <v>0</v>
      </c>
      <c r="P46" s="668"/>
      <c r="Q46" s="668"/>
      <c r="R46" s="668">
        <f t="shared" si="33"/>
        <v>0</v>
      </c>
    </row>
    <row r="47" spans="1:18" ht="28.5" customHeight="1" x14ac:dyDescent="0.3">
      <c r="A47" s="679" t="s">
        <v>63</v>
      </c>
      <c r="B47" s="1247" t="s">
        <v>434</v>
      </c>
      <c r="C47" s="1247"/>
      <c r="D47" s="668">
        <f t="shared" si="29"/>
        <v>89</v>
      </c>
      <c r="E47" s="668">
        <f t="shared" si="28"/>
        <v>360</v>
      </c>
      <c r="F47" s="668">
        <f t="shared" si="28"/>
        <v>449</v>
      </c>
      <c r="G47" s="668">
        <v>89</v>
      </c>
      <c r="H47" s="668"/>
      <c r="I47" s="668">
        <f t="shared" si="30"/>
        <v>89</v>
      </c>
      <c r="J47" s="668"/>
      <c r="K47" s="668"/>
      <c r="L47" s="668">
        <f t="shared" si="31"/>
        <v>0</v>
      </c>
      <c r="M47" s="668"/>
      <c r="N47" s="668">
        <v>360</v>
      </c>
      <c r="O47" s="668">
        <f t="shared" si="32"/>
        <v>360</v>
      </c>
      <c r="P47" s="668"/>
      <c r="Q47" s="668"/>
      <c r="R47" s="668">
        <f t="shared" si="33"/>
        <v>0</v>
      </c>
    </row>
    <row r="48" spans="1:18" x14ac:dyDescent="0.3">
      <c r="A48" s="679" t="s">
        <v>65</v>
      </c>
      <c r="B48" s="1247" t="s">
        <v>435</v>
      </c>
      <c r="C48" s="1247"/>
      <c r="D48" s="668">
        <f t="shared" si="29"/>
        <v>220</v>
      </c>
      <c r="E48" s="668">
        <f t="shared" si="28"/>
        <v>78</v>
      </c>
      <c r="F48" s="993">
        <f t="shared" si="28"/>
        <v>298</v>
      </c>
      <c r="G48" s="668">
        <v>220</v>
      </c>
      <c r="H48" s="668">
        <f>90-2-10</f>
        <v>78</v>
      </c>
      <c r="I48" s="668">
        <f t="shared" si="30"/>
        <v>298</v>
      </c>
      <c r="J48" s="668">
        <v>0</v>
      </c>
      <c r="K48" s="668"/>
      <c r="L48" s="668">
        <f t="shared" si="31"/>
        <v>0</v>
      </c>
      <c r="M48" s="668"/>
      <c r="N48" s="668"/>
      <c r="O48" s="668">
        <f t="shared" si="32"/>
        <v>0</v>
      </c>
      <c r="P48" s="668"/>
      <c r="Q48" s="668"/>
      <c r="R48" s="668">
        <f t="shared" si="33"/>
        <v>0</v>
      </c>
    </row>
    <row r="49" spans="1:18" s="682" customFormat="1" x14ac:dyDescent="0.3">
      <c r="A49" s="680" t="s">
        <v>66</v>
      </c>
      <c r="B49" s="1250" t="s">
        <v>436</v>
      </c>
      <c r="C49" s="1250"/>
      <c r="D49" s="667">
        <f t="shared" ref="D49:F49" si="34">SUM(D40:D48)</f>
        <v>18027</v>
      </c>
      <c r="E49" s="667">
        <f t="shared" si="34"/>
        <v>443</v>
      </c>
      <c r="F49" s="667">
        <f t="shared" si="34"/>
        <v>18470</v>
      </c>
      <c r="G49" s="667">
        <f t="shared" ref="G49:R49" si="35">SUM(G40:G48)</f>
        <v>309</v>
      </c>
      <c r="H49" s="667">
        <f t="shared" si="35"/>
        <v>83</v>
      </c>
      <c r="I49" s="667">
        <f t="shared" si="35"/>
        <v>392</v>
      </c>
      <c r="J49" s="667">
        <f>SUM(J40:J48)</f>
        <v>0</v>
      </c>
      <c r="K49" s="667">
        <f t="shared" si="35"/>
        <v>0</v>
      </c>
      <c r="L49" s="667">
        <f t="shared" si="35"/>
        <v>0</v>
      </c>
      <c r="M49" s="667">
        <f t="shared" si="35"/>
        <v>0</v>
      </c>
      <c r="N49" s="667">
        <f t="shared" si="35"/>
        <v>360</v>
      </c>
      <c r="O49" s="667">
        <f t="shared" si="35"/>
        <v>360</v>
      </c>
      <c r="P49" s="667">
        <f t="shared" si="35"/>
        <v>17718</v>
      </c>
      <c r="Q49" s="667">
        <f t="shared" si="35"/>
        <v>0</v>
      </c>
      <c r="R49" s="667">
        <f t="shared" si="35"/>
        <v>17718</v>
      </c>
    </row>
    <row r="50" spans="1:18" x14ac:dyDescent="0.3">
      <c r="A50" s="679" t="s">
        <v>68</v>
      </c>
      <c r="B50" s="1247" t="s">
        <v>67</v>
      </c>
      <c r="C50" s="1247"/>
      <c r="D50" s="668">
        <f>G50</f>
        <v>60</v>
      </c>
      <c r="E50" s="668">
        <f t="shared" ref="E50:F51" si="36">H50</f>
        <v>0</v>
      </c>
      <c r="F50" s="668">
        <f t="shared" si="36"/>
        <v>60</v>
      </c>
      <c r="G50" s="668">
        <v>60</v>
      </c>
      <c r="H50" s="668"/>
      <c r="I50" s="668">
        <f>+G50+H50</f>
        <v>60</v>
      </c>
      <c r="J50" s="668"/>
      <c r="K50" s="668"/>
      <c r="L50" s="668">
        <f>+J50+K50</f>
        <v>0</v>
      </c>
      <c r="M50" s="668"/>
      <c r="N50" s="668"/>
      <c r="O50" s="668">
        <f>+N50+M50</f>
        <v>0</v>
      </c>
      <c r="P50" s="668"/>
      <c r="Q50" s="668"/>
      <c r="R50" s="668">
        <f>+Q50+P50</f>
        <v>0</v>
      </c>
    </row>
    <row r="51" spans="1:18" x14ac:dyDescent="0.3">
      <c r="A51" s="679" t="s">
        <v>70</v>
      </c>
      <c r="B51" s="1247" t="s">
        <v>69</v>
      </c>
      <c r="C51" s="1247"/>
      <c r="D51" s="668">
        <f>G51</f>
        <v>0</v>
      </c>
      <c r="E51" s="668">
        <f t="shared" si="36"/>
        <v>0</v>
      </c>
      <c r="F51" s="668">
        <f t="shared" si="36"/>
        <v>0</v>
      </c>
      <c r="G51" s="668"/>
      <c r="H51" s="668"/>
      <c r="I51" s="668">
        <f>+G51+H51</f>
        <v>0</v>
      </c>
      <c r="J51" s="668"/>
      <c r="K51" s="668"/>
      <c r="L51" s="668">
        <f>+J51+K51</f>
        <v>0</v>
      </c>
      <c r="M51" s="668"/>
      <c r="N51" s="668"/>
      <c r="O51" s="668">
        <f>+N51+M51</f>
        <v>0</v>
      </c>
      <c r="P51" s="668"/>
      <c r="Q51" s="668"/>
      <c r="R51" s="668">
        <f>+Q51+P51</f>
        <v>0</v>
      </c>
    </row>
    <row r="52" spans="1:18" s="681" customFormat="1" ht="26.25" customHeight="1" x14ac:dyDescent="0.3">
      <c r="A52" s="680" t="s">
        <v>71</v>
      </c>
      <c r="B52" s="1250" t="s">
        <v>155</v>
      </c>
      <c r="C52" s="1250"/>
      <c r="D52" s="667">
        <f>SUM(D50:D51)</f>
        <v>60</v>
      </c>
      <c r="E52" s="667">
        <f t="shared" ref="E52:R52" si="37">+E51+E50</f>
        <v>0</v>
      </c>
      <c r="F52" s="667">
        <f t="shared" si="37"/>
        <v>60</v>
      </c>
      <c r="G52" s="667">
        <f t="shared" si="37"/>
        <v>60</v>
      </c>
      <c r="H52" s="667">
        <f t="shared" si="37"/>
        <v>0</v>
      </c>
      <c r="I52" s="667">
        <f t="shared" si="37"/>
        <v>60</v>
      </c>
      <c r="J52" s="667">
        <f t="shared" si="37"/>
        <v>0</v>
      </c>
      <c r="K52" s="667">
        <f t="shared" si="37"/>
        <v>0</v>
      </c>
      <c r="L52" s="667">
        <f t="shared" si="37"/>
        <v>0</v>
      </c>
      <c r="M52" s="667">
        <f t="shared" si="37"/>
        <v>0</v>
      </c>
      <c r="N52" s="667">
        <f t="shared" si="37"/>
        <v>0</v>
      </c>
      <c r="O52" s="667">
        <f t="shared" si="37"/>
        <v>0</v>
      </c>
      <c r="P52" s="667">
        <f t="shared" si="37"/>
        <v>0</v>
      </c>
      <c r="Q52" s="667">
        <f t="shared" si="37"/>
        <v>0</v>
      </c>
      <c r="R52" s="667">
        <f t="shared" si="37"/>
        <v>0</v>
      </c>
    </row>
    <row r="53" spans="1:18" ht="25.5" customHeight="1" x14ac:dyDescent="0.3">
      <c r="A53" s="679" t="s">
        <v>73</v>
      </c>
      <c r="B53" s="1247" t="s">
        <v>72</v>
      </c>
      <c r="C53" s="1247"/>
      <c r="D53" s="669">
        <f>+G53+J53+M53+P53</f>
        <v>5473.93</v>
      </c>
      <c r="E53" s="669">
        <f t="shared" ref="E53:F57" si="38">+H53+K53+N53+Q53</f>
        <v>0</v>
      </c>
      <c r="F53" s="669">
        <f t="shared" si="38"/>
        <v>5473.93</v>
      </c>
      <c r="G53" s="669">
        <f>(G49+G36)*0.27</f>
        <v>623.43000000000006</v>
      </c>
      <c r="H53" s="668"/>
      <c r="I53" s="669">
        <f>+G53+H53</f>
        <v>623.43000000000006</v>
      </c>
      <c r="J53" s="669">
        <f>(J49+J39)*0.27</f>
        <v>67.5</v>
      </c>
      <c r="K53" s="668"/>
      <c r="L53" s="669">
        <f>+K53+J53</f>
        <v>67.5</v>
      </c>
      <c r="M53" s="668"/>
      <c r="N53" s="668"/>
      <c r="O53" s="668">
        <f>+M53+N53</f>
        <v>0</v>
      </c>
      <c r="P53" s="123">
        <v>4783</v>
      </c>
      <c r="Q53" s="668"/>
      <c r="R53" s="668">
        <f>+Q53+P53</f>
        <v>4783</v>
      </c>
    </row>
    <row r="54" spans="1:18" x14ac:dyDescent="0.3">
      <c r="A54" s="679" t="s">
        <v>75</v>
      </c>
      <c r="B54" s="1247" t="s">
        <v>437</v>
      </c>
      <c r="C54" s="1247"/>
      <c r="D54" s="669">
        <f t="shared" ref="D54:D57" si="39">+G54+J54+M54+P54</f>
        <v>936</v>
      </c>
      <c r="E54" s="669">
        <f t="shared" si="38"/>
        <v>0</v>
      </c>
      <c r="F54" s="669">
        <f t="shared" si="38"/>
        <v>936</v>
      </c>
      <c r="G54" s="668"/>
      <c r="H54" s="668"/>
      <c r="I54" s="669">
        <f t="shared" ref="I54:I57" si="40">+G54+H54</f>
        <v>0</v>
      </c>
      <c r="J54" s="669"/>
      <c r="K54" s="668"/>
      <c r="L54" s="669">
        <f t="shared" ref="L54:L57" si="41">+K54+J54</f>
        <v>0</v>
      </c>
      <c r="M54" s="668"/>
      <c r="N54" s="668"/>
      <c r="O54" s="668">
        <f t="shared" ref="O54:O58" si="42">+M54+N54</f>
        <v>0</v>
      </c>
      <c r="P54" s="668">
        <v>936</v>
      </c>
      <c r="Q54" s="668"/>
      <c r="R54" s="668">
        <f t="shared" ref="R54:R57" si="43">+Q54+P54</f>
        <v>936</v>
      </c>
    </row>
    <row r="55" spans="1:18" x14ac:dyDescent="0.3">
      <c r="A55" s="679" t="s">
        <v>76</v>
      </c>
      <c r="B55" s="1247" t="s">
        <v>438</v>
      </c>
      <c r="C55" s="1247"/>
      <c r="D55" s="669">
        <f t="shared" si="39"/>
        <v>0</v>
      </c>
      <c r="E55" s="669">
        <f t="shared" si="38"/>
        <v>0</v>
      </c>
      <c r="F55" s="669">
        <f t="shared" si="38"/>
        <v>0</v>
      </c>
      <c r="G55" s="668"/>
      <c r="H55" s="668"/>
      <c r="I55" s="669">
        <f t="shared" si="40"/>
        <v>0</v>
      </c>
      <c r="J55" s="669"/>
      <c r="K55" s="668"/>
      <c r="L55" s="669">
        <f t="shared" si="41"/>
        <v>0</v>
      </c>
      <c r="M55" s="668"/>
      <c r="N55" s="668"/>
      <c r="O55" s="668">
        <f t="shared" si="42"/>
        <v>0</v>
      </c>
      <c r="P55" s="668"/>
      <c r="Q55" s="668"/>
      <c r="R55" s="668">
        <f t="shared" si="43"/>
        <v>0</v>
      </c>
    </row>
    <row r="56" spans="1:18" x14ac:dyDescent="0.3">
      <c r="A56" s="679" t="s">
        <v>77</v>
      </c>
      <c r="B56" s="1247" t="s">
        <v>439</v>
      </c>
      <c r="C56" s="1247"/>
      <c r="D56" s="669">
        <f t="shared" si="39"/>
        <v>0</v>
      </c>
      <c r="E56" s="669">
        <f t="shared" si="38"/>
        <v>0</v>
      </c>
      <c r="F56" s="669">
        <f t="shared" si="38"/>
        <v>0</v>
      </c>
      <c r="G56" s="668"/>
      <c r="H56" s="668"/>
      <c r="I56" s="669">
        <f t="shared" si="40"/>
        <v>0</v>
      </c>
      <c r="J56" s="669"/>
      <c r="K56" s="668"/>
      <c r="L56" s="669">
        <f t="shared" si="41"/>
        <v>0</v>
      </c>
      <c r="M56" s="668"/>
      <c r="N56" s="668"/>
      <c r="O56" s="668">
        <f t="shared" si="42"/>
        <v>0</v>
      </c>
      <c r="P56" s="668"/>
      <c r="Q56" s="668"/>
      <c r="R56" s="668">
        <f t="shared" si="43"/>
        <v>0</v>
      </c>
    </row>
    <row r="57" spans="1:18" x14ac:dyDescent="0.3">
      <c r="A57" s="679" t="s">
        <v>79</v>
      </c>
      <c r="B57" s="1247" t="s">
        <v>78</v>
      </c>
      <c r="C57" s="1247"/>
      <c r="D57" s="669">
        <f t="shared" si="39"/>
        <v>0</v>
      </c>
      <c r="E57" s="669">
        <f t="shared" si="38"/>
        <v>12</v>
      </c>
      <c r="F57" s="669">
        <f t="shared" si="38"/>
        <v>12</v>
      </c>
      <c r="G57" s="668"/>
      <c r="H57" s="668">
        <v>12</v>
      </c>
      <c r="I57" s="669">
        <f t="shared" si="40"/>
        <v>12</v>
      </c>
      <c r="J57" s="669"/>
      <c r="K57" s="668"/>
      <c r="L57" s="669">
        <f t="shared" si="41"/>
        <v>0</v>
      </c>
      <c r="M57" s="668"/>
      <c r="N57" s="668"/>
      <c r="O57" s="668">
        <f t="shared" si="42"/>
        <v>0</v>
      </c>
      <c r="P57" s="668"/>
      <c r="Q57" s="668"/>
      <c r="R57" s="668">
        <f t="shared" si="43"/>
        <v>0</v>
      </c>
    </row>
    <row r="58" spans="1:18" s="795" customFormat="1" ht="27" customHeight="1" x14ac:dyDescent="0.3">
      <c r="A58" s="793" t="s">
        <v>80</v>
      </c>
      <c r="B58" s="1253" t="s">
        <v>152</v>
      </c>
      <c r="C58" s="1253"/>
      <c r="D58" s="794">
        <f>SUM(D53:D57)</f>
        <v>6409.93</v>
      </c>
      <c r="E58" s="794">
        <f t="shared" ref="E58:R58" si="44">SUM(E53:E57)</f>
        <v>12</v>
      </c>
      <c r="F58" s="794">
        <f t="shared" si="44"/>
        <v>6421.93</v>
      </c>
      <c r="G58" s="794">
        <f t="shared" si="44"/>
        <v>623.43000000000006</v>
      </c>
      <c r="H58" s="794">
        <f t="shared" si="44"/>
        <v>12</v>
      </c>
      <c r="I58" s="794">
        <f t="shared" si="44"/>
        <v>635.43000000000006</v>
      </c>
      <c r="J58" s="794">
        <f t="shared" si="44"/>
        <v>67.5</v>
      </c>
      <c r="K58" s="794">
        <f t="shared" si="44"/>
        <v>0</v>
      </c>
      <c r="L58" s="794">
        <f t="shared" si="44"/>
        <v>67.5</v>
      </c>
      <c r="M58" s="794">
        <f t="shared" si="44"/>
        <v>0</v>
      </c>
      <c r="N58" s="794">
        <f t="shared" si="44"/>
        <v>0</v>
      </c>
      <c r="O58" s="668">
        <f t="shared" si="42"/>
        <v>0</v>
      </c>
      <c r="P58" s="794">
        <f t="shared" si="44"/>
        <v>5719</v>
      </c>
      <c r="Q58" s="794">
        <f t="shared" si="44"/>
        <v>0</v>
      </c>
      <c r="R58" s="794">
        <f t="shared" si="44"/>
        <v>5719</v>
      </c>
    </row>
    <row r="59" spans="1:18" x14ac:dyDescent="0.3">
      <c r="A59" s="680" t="s">
        <v>81</v>
      </c>
      <c r="B59" s="1250" t="s">
        <v>345</v>
      </c>
      <c r="C59" s="1250"/>
      <c r="D59" s="667">
        <f t="shared" ref="D59:R59" si="45">+D58+D52+D49+D39+D36</f>
        <v>26746.93</v>
      </c>
      <c r="E59" s="667">
        <f t="shared" si="45"/>
        <v>477</v>
      </c>
      <c r="F59" s="667">
        <f t="shared" si="45"/>
        <v>27223.93</v>
      </c>
      <c r="G59" s="670">
        <f t="shared" si="45"/>
        <v>2992.4300000000003</v>
      </c>
      <c r="H59" s="667">
        <f t="shared" si="45"/>
        <v>117</v>
      </c>
      <c r="I59" s="667">
        <f t="shared" si="45"/>
        <v>3109.4300000000003</v>
      </c>
      <c r="J59" s="670">
        <f t="shared" si="45"/>
        <v>317.5</v>
      </c>
      <c r="K59" s="670">
        <f t="shared" si="45"/>
        <v>0</v>
      </c>
      <c r="L59" s="670">
        <f t="shared" si="45"/>
        <v>317.5</v>
      </c>
      <c r="M59" s="670">
        <f t="shared" si="45"/>
        <v>0</v>
      </c>
      <c r="N59" s="670">
        <f t="shared" si="45"/>
        <v>360</v>
      </c>
      <c r="O59" s="670">
        <f t="shared" si="45"/>
        <v>360</v>
      </c>
      <c r="P59" s="670">
        <f t="shared" si="45"/>
        <v>23437</v>
      </c>
      <c r="Q59" s="670">
        <f t="shared" si="45"/>
        <v>0</v>
      </c>
      <c r="R59" s="670">
        <f t="shared" si="45"/>
        <v>23437</v>
      </c>
    </row>
    <row r="60" spans="1:18" x14ac:dyDescent="0.3">
      <c r="A60" s="683"/>
      <c r="B60" s="885"/>
      <c r="C60" s="885"/>
      <c r="D60" s="667"/>
      <c r="E60" s="667"/>
      <c r="F60" s="667"/>
      <c r="G60" s="670"/>
      <c r="H60" s="667"/>
      <c r="I60" s="667"/>
      <c r="J60" s="670"/>
      <c r="K60" s="670"/>
      <c r="L60" s="670"/>
      <c r="M60" s="670"/>
      <c r="N60" s="670"/>
      <c r="O60" s="670"/>
      <c r="P60" s="670"/>
      <c r="Q60" s="670"/>
      <c r="R60" s="670"/>
    </row>
    <row r="61" spans="1:18" ht="25.5" customHeight="1" x14ac:dyDescent="0.3">
      <c r="A61" s="994" t="s">
        <v>101</v>
      </c>
      <c r="B61" s="1252" t="s">
        <v>905</v>
      </c>
      <c r="C61" s="1252"/>
      <c r="D61" s="668"/>
      <c r="E61" s="669">
        <f t="shared" ref="E61:F64" si="46">+H61+K61+N61+Q61</f>
        <v>113</v>
      </c>
      <c r="F61" s="669">
        <f t="shared" si="46"/>
        <v>113</v>
      </c>
      <c r="G61" s="668"/>
      <c r="H61" s="668">
        <v>113</v>
      </c>
      <c r="I61" s="669">
        <f t="shared" ref="I61" si="47">+G61+H61</f>
        <v>113</v>
      </c>
      <c r="J61" s="668"/>
      <c r="K61" s="668"/>
      <c r="L61" s="668"/>
      <c r="M61" s="668"/>
      <c r="N61" s="668"/>
      <c r="O61" s="668"/>
      <c r="P61" s="668"/>
      <c r="Q61" s="668"/>
      <c r="R61" s="668"/>
    </row>
    <row r="62" spans="1:18" ht="28.5" customHeight="1" x14ac:dyDescent="0.3">
      <c r="A62" s="679" t="s">
        <v>107</v>
      </c>
      <c r="B62" s="1247" t="s">
        <v>164</v>
      </c>
      <c r="C62" s="1247"/>
      <c r="D62" s="668">
        <f>+G62+J62+M62+P62</f>
        <v>10444</v>
      </c>
      <c r="E62" s="668">
        <f t="shared" si="46"/>
        <v>0</v>
      </c>
      <c r="F62" s="668">
        <f t="shared" si="46"/>
        <v>10444</v>
      </c>
      <c r="G62" s="668">
        <v>10444</v>
      </c>
      <c r="H62" s="668"/>
      <c r="I62" s="668">
        <f>+G62+H62</f>
        <v>10444</v>
      </c>
      <c r="J62" s="668"/>
      <c r="K62" s="668"/>
      <c r="L62" s="668"/>
      <c r="M62" s="668"/>
      <c r="N62" s="668"/>
      <c r="O62" s="668"/>
      <c r="P62" s="668"/>
      <c r="Q62" s="668"/>
      <c r="R62" s="668"/>
    </row>
    <row r="63" spans="1:18" ht="25.5" customHeight="1" x14ac:dyDescent="0.3">
      <c r="A63" s="692" t="s">
        <v>107</v>
      </c>
      <c r="B63" s="686"/>
      <c r="C63" s="693" t="s">
        <v>104</v>
      </c>
      <c r="D63" s="668">
        <f>+G63+J63+M63+P63</f>
        <v>10444</v>
      </c>
      <c r="E63" s="668">
        <f t="shared" si="46"/>
        <v>0</v>
      </c>
      <c r="F63" s="668">
        <f t="shared" si="46"/>
        <v>10444</v>
      </c>
      <c r="G63" s="668">
        <v>10444</v>
      </c>
      <c r="H63" s="668"/>
      <c r="I63" s="668">
        <f t="shared" ref="I63" si="48">+G63+H63</f>
        <v>10444</v>
      </c>
      <c r="J63" s="668"/>
      <c r="K63" s="668"/>
      <c r="L63" s="668"/>
      <c r="M63" s="668"/>
      <c r="N63" s="668"/>
      <c r="O63" s="668"/>
      <c r="P63" s="668"/>
      <c r="Q63" s="668"/>
      <c r="R63" s="668"/>
    </row>
    <row r="64" spans="1:18" s="681" customFormat="1" x14ac:dyDescent="0.3">
      <c r="A64" s="680" t="s">
        <v>108</v>
      </c>
      <c r="B64" s="1250" t="s">
        <v>163</v>
      </c>
      <c r="C64" s="1250"/>
      <c r="D64" s="667">
        <f>+D62</f>
        <v>10444</v>
      </c>
      <c r="E64" s="667">
        <f t="shared" si="46"/>
        <v>113</v>
      </c>
      <c r="F64" s="667">
        <f>+F62+F61</f>
        <v>10557</v>
      </c>
      <c r="G64" s="667">
        <f t="shared" ref="G64:R64" si="49">+G62</f>
        <v>10444</v>
      </c>
      <c r="H64" s="667">
        <f>+H62+H61</f>
        <v>113</v>
      </c>
      <c r="I64" s="670">
        <f>+G64+I61</f>
        <v>10557</v>
      </c>
      <c r="J64" s="667">
        <f t="shared" si="49"/>
        <v>0</v>
      </c>
      <c r="K64" s="667">
        <f t="shared" si="49"/>
        <v>0</v>
      </c>
      <c r="L64" s="667">
        <f t="shared" si="49"/>
        <v>0</v>
      </c>
      <c r="M64" s="667">
        <f t="shared" si="49"/>
        <v>0</v>
      </c>
      <c r="N64" s="667">
        <f t="shared" si="49"/>
        <v>0</v>
      </c>
      <c r="O64" s="667">
        <f t="shared" si="49"/>
        <v>0</v>
      </c>
      <c r="P64" s="667"/>
      <c r="Q64" s="667">
        <f t="shared" si="49"/>
        <v>0</v>
      </c>
      <c r="R64" s="667">
        <f t="shared" si="49"/>
        <v>0</v>
      </c>
    </row>
    <row r="65" spans="1:18" ht="8.25" customHeight="1" x14ac:dyDescent="0.3">
      <c r="A65" s="694"/>
      <c r="B65" s="695"/>
      <c r="C65" s="695"/>
      <c r="D65" s="696"/>
      <c r="E65" s="696"/>
      <c r="F65" s="696"/>
      <c r="G65" s="696"/>
      <c r="H65" s="696"/>
      <c r="I65" s="696"/>
      <c r="J65" s="696"/>
      <c r="K65" s="696"/>
      <c r="L65" s="696"/>
      <c r="M65" s="696"/>
      <c r="N65" s="696"/>
      <c r="O65" s="696"/>
      <c r="P65" s="696"/>
      <c r="Q65" s="696"/>
      <c r="R65" s="696"/>
    </row>
    <row r="66" spans="1:18" ht="11.25" customHeight="1" x14ac:dyDescent="0.3">
      <c r="A66" s="697"/>
      <c r="B66" s="698"/>
      <c r="C66" s="698"/>
      <c r="D66" s="699"/>
      <c r="E66" s="699"/>
      <c r="F66" s="699"/>
      <c r="G66" s="699"/>
      <c r="H66" s="699"/>
      <c r="I66" s="699"/>
      <c r="J66" s="699"/>
      <c r="K66" s="699"/>
      <c r="L66" s="699"/>
      <c r="M66" s="699"/>
      <c r="N66" s="699"/>
      <c r="O66" s="699"/>
      <c r="P66" s="699"/>
      <c r="Q66" s="699"/>
      <c r="R66" s="699"/>
    </row>
    <row r="67" spans="1:18" ht="15" customHeight="1" x14ac:dyDescent="0.3">
      <c r="A67" s="679" t="s">
        <v>110</v>
      </c>
      <c r="B67" s="1247" t="s">
        <v>109</v>
      </c>
      <c r="C67" s="1247"/>
      <c r="D67" s="668">
        <f>+G67+J67+M67+P67</f>
        <v>0</v>
      </c>
      <c r="E67" s="668">
        <f t="shared" ref="E67:F74" si="50">+H67+K67+N67+Q67</f>
        <v>0</v>
      </c>
      <c r="F67" s="668">
        <f t="shared" si="50"/>
        <v>0</v>
      </c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</row>
    <row r="68" spans="1:18" ht="15" customHeight="1" x14ac:dyDescent="0.3">
      <c r="A68" s="679" t="s">
        <v>111</v>
      </c>
      <c r="B68" s="1247" t="s">
        <v>440</v>
      </c>
      <c r="C68" s="1247"/>
      <c r="D68" s="668">
        <f t="shared" ref="D68:D74" si="51">+G68+J68+M68+P68</f>
        <v>0</v>
      </c>
      <c r="E68" s="668">
        <f t="shared" si="50"/>
        <v>0</v>
      </c>
      <c r="F68" s="668">
        <f t="shared" si="50"/>
        <v>0</v>
      </c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</row>
    <row r="69" spans="1:18" ht="26.4" x14ac:dyDescent="0.3">
      <c r="A69" s="685" t="s">
        <v>111</v>
      </c>
      <c r="B69" s="686"/>
      <c r="C69" s="693" t="s">
        <v>112</v>
      </c>
      <c r="D69" s="668">
        <f t="shared" si="51"/>
        <v>0</v>
      </c>
      <c r="E69" s="668">
        <f t="shared" si="50"/>
        <v>0</v>
      </c>
      <c r="F69" s="668">
        <f t="shared" si="50"/>
        <v>0</v>
      </c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</row>
    <row r="70" spans="1:18" ht="27.75" customHeight="1" x14ac:dyDescent="0.3">
      <c r="A70" s="679" t="s">
        <v>114</v>
      </c>
      <c r="B70" s="1247" t="s">
        <v>113</v>
      </c>
      <c r="C70" s="1247"/>
      <c r="D70" s="668">
        <f t="shared" si="51"/>
        <v>0</v>
      </c>
      <c r="E70" s="668">
        <f t="shared" si="50"/>
        <v>0</v>
      </c>
      <c r="F70" s="668">
        <f t="shared" si="50"/>
        <v>0</v>
      </c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</row>
    <row r="71" spans="1:18" ht="28.5" customHeight="1" x14ac:dyDescent="0.3">
      <c r="A71" s="679" t="s">
        <v>116</v>
      </c>
      <c r="B71" s="1247" t="s">
        <v>115</v>
      </c>
      <c r="C71" s="1247"/>
      <c r="D71" s="668">
        <f t="shared" si="51"/>
        <v>0</v>
      </c>
      <c r="E71" s="668">
        <f t="shared" si="50"/>
        <v>33</v>
      </c>
      <c r="F71" s="668">
        <f t="shared" si="50"/>
        <v>33</v>
      </c>
      <c r="G71" s="668"/>
      <c r="H71" s="668">
        <v>33</v>
      </c>
      <c r="I71" s="668">
        <f>+G71+H71</f>
        <v>33</v>
      </c>
      <c r="J71" s="668"/>
      <c r="K71" s="668"/>
      <c r="L71" s="668"/>
      <c r="M71" s="668"/>
      <c r="N71" s="668"/>
      <c r="O71" s="668"/>
      <c r="P71" s="668"/>
      <c r="Q71" s="668"/>
      <c r="R71" s="668"/>
    </row>
    <row r="72" spans="1:18" ht="15" customHeight="1" x14ac:dyDescent="0.3">
      <c r="A72" s="679" t="s">
        <v>118</v>
      </c>
      <c r="B72" s="1247" t="s">
        <v>117</v>
      </c>
      <c r="C72" s="1247"/>
      <c r="D72" s="668">
        <f t="shared" si="51"/>
        <v>0</v>
      </c>
      <c r="E72" s="668">
        <f t="shared" si="50"/>
        <v>0</v>
      </c>
      <c r="F72" s="668">
        <f t="shared" si="50"/>
        <v>0</v>
      </c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</row>
    <row r="73" spans="1:18" ht="27" customHeight="1" x14ac:dyDescent="0.3">
      <c r="A73" s="679" t="s">
        <v>120</v>
      </c>
      <c r="B73" s="1247" t="s">
        <v>119</v>
      </c>
      <c r="C73" s="1247"/>
      <c r="D73" s="668">
        <f t="shared" si="51"/>
        <v>0</v>
      </c>
      <c r="E73" s="668">
        <f t="shared" si="50"/>
        <v>0</v>
      </c>
      <c r="F73" s="668">
        <f t="shared" si="50"/>
        <v>0</v>
      </c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</row>
    <row r="74" spans="1:18" ht="25.5" customHeight="1" x14ac:dyDescent="0.3">
      <c r="A74" s="679" t="s">
        <v>122</v>
      </c>
      <c r="B74" s="1247" t="s">
        <v>121</v>
      </c>
      <c r="C74" s="1247"/>
      <c r="D74" s="668">
        <f t="shared" si="51"/>
        <v>0</v>
      </c>
      <c r="E74" s="668">
        <f t="shared" si="50"/>
        <v>9</v>
      </c>
      <c r="F74" s="668">
        <f t="shared" si="50"/>
        <v>9</v>
      </c>
      <c r="G74" s="668"/>
      <c r="H74" s="668">
        <v>9</v>
      </c>
      <c r="I74" s="668">
        <f>+G74+H74</f>
        <v>9</v>
      </c>
      <c r="J74" s="668"/>
      <c r="K74" s="668"/>
      <c r="L74" s="668"/>
      <c r="M74" s="668"/>
      <c r="N74" s="668"/>
      <c r="O74" s="668"/>
      <c r="P74" s="668"/>
      <c r="Q74" s="668"/>
      <c r="R74" s="668"/>
    </row>
    <row r="75" spans="1:18" ht="15" customHeight="1" x14ac:dyDescent="0.3">
      <c r="A75" s="680" t="s">
        <v>123</v>
      </c>
      <c r="B75" s="1250" t="s">
        <v>161</v>
      </c>
      <c r="C75" s="1250"/>
      <c r="D75" s="667">
        <f t="shared" ref="D75:F75" si="52">SUM(D67:D74)</f>
        <v>0</v>
      </c>
      <c r="E75" s="667">
        <f t="shared" si="52"/>
        <v>42</v>
      </c>
      <c r="F75" s="667">
        <f t="shared" si="52"/>
        <v>42</v>
      </c>
      <c r="G75" s="667">
        <f t="shared" ref="G75:R75" si="53">(((((+G74+G73)+G72)+G71)+G70)+G68)+G67</f>
        <v>0</v>
      </c>
      <c r="H75" s="667">
        <f t="shared" si="53"/>
        <v>42</v>
      </c>
      <c r="I75" s="667">
        <f t="shared" si="53"/>
        <v>42</v>
      </c>
      <c r="J75" s="667">
        <f t="shared" si="53"/>
        <v>0</v>
      </c>
      <c r="K75" s="667">
        <f t="shared" si="53"/>
        <v>0</v>
      </c>
      <c r="L75" s="667">
        <f t="shared" si="53"/>
        <v>0</v>
      </c>
      <c r="M75" s="667">
        <f t="shared" si="53"/>
        <v>0</v>
      </c>
      <c r="N75" s="667">
        <f t="shared" si="53"/>
        <v>0</v>
      </c>
      <c r="O75" s="667">
        <f t="shared" si="53"/>
        <v>0</v>
      </c>
      <c r="P75" s="667">
        <f t="shared" si="53"/>
        <v>0</v>
      </c>
      <c r="Q75" s="667">
        <f t="shared" si="53"/>
        <v>0</v>
      </c>
      <c r="R75" s="667">
        <f t="shared" si="53"/>
        <v>0</v>
      </c>
    </row>
    <row r="76" spans="1:18" x14ac:dyDescent="0.3">
      <c r="A76" s="683"/>
      <c r="B76" s="684"/>
      <c r="C76" s="684"/>
      <c r="D76" s="672"/>
      <c r="E76" s="672"/>
      <c r="F76" s="673"/>
      <c r="G76" s="671"/>
      <c r="H76" s="672"/>
      <c r="I76" s="673"/>
      <c r="J76" s="671"/>
      <c r="K76" s="672"/>
      <c r="L76" s="673"/>
      <c r="M76" s="671"/>
      <c r="N76" s="672"/>
      <c r="O76" s="673"/>
      <c r="P76" s="671"/>
      <c r="Q76" s="672"/>
      <c r="R76" s="673"/>
    </row>
    <row r="77" spans="1:18" ht="15" hidden="1" customHeight="1" x14ac:dyDescent="0.3">
      <c r="A77" s="679" t="s">
        <v>125</v>
      </c>
      <c r="B77" s="1247" t="s">
        <v>124</v>
      </c>
      <c r="C77" s="1247"/>
      <c r="D77" s="668">
        <f>+G77+J77+M77+P77</f>
        <v>0</v>
      </c>
      <c r="E77" s="668"/>
      <c r="F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</row>
    <row r="78" spans="1:18" ht="15" hidden="1" customHeight="1" x14ac:dyDescent="0.3">
      <c r="A78" s="679" t="s">
        <v>127</v>
      </c>
      <c r="B78" s="1247" t="s">
        <v>126</v>
      </c>
      <c r="C78" s="1247"/>
      <c r="D78" s="668">
        <f t="shared" ref="D78:D80" si="54">+G78+J78+M78+P78</f>
        <v>0</v>
      </c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</row>
    <row r="79" spans="1:18" ht="15" hidden="1" customHeight="1" x14ac:dyDescent="0.3">
      <c r="A79" s="679" t="s">
        <v>129</v>
      </c>
      <c r="B79" s="1247" t="s">
        <v>441</v>
      </c>
      <c r="C79" s="1247"/>
      <c r="D79" s="668">
        <f t="shared" si="54"/>
        <v>0</v>
      </c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</row>
    <row r="80" spans="1:18" ht="15" hidden="1" customHeight="1" x14ac:dyDescent="0.3">
      <c r="A80" s="679" t="s">
        <v>131</v>
      </c>
      <c r="B80" s="1247" t="s">
        <v>130</v>
      </c>
      <c r="C80" s="1247"/>
      <c r="D80" s="668">
        <f t="shared" si="54"/>
        <v>0</v>
      </c>
      <c r="E80" s="668"/>
      <c r="F80" s="668"/>
      <c r="G80" s="668"/>
      <c r="H80" s="668"/>
      <c r="I80" s="668"/>
      <c r="J80" s="668"/>
      <c r="K80" s="668"/>
      <c r="L80" s="668"/>
      <c r="M80" s="668"/>
      <c r="N80" s="668"/>
      <c r="O80" s="668"/>
      <c r="P80" s="668"/>
      <c r="Q80" s="668"/>
      <c r="R80" s="668"/>
    </row>
    <row r="81" spans="1:18" x14ac:dyDescent="0.3">
      <c r="A81" s="680" t="s">
        <v>132</v>
      </c>
      <c r="B81" s="1250" t="s">
        <v>316</v>
      </c>
      <c r="C81" s="1250"/>
      <c r="D81" s="667">
        <f t="shared" ref="D81:R81" si="55">SUM(D77:D80)</f>
        <v>0</v>
      </c>
      <c r="E81" s="667">
        <f t="shared" si="55"/>
        <v>0</v>
      </c>
      <c r="F81" s="667">
        <f t="shared" si="55"/>
        <v>0</v>
      </c>
      <c r="G81" s="667">
        <f t="shared" si="55"/>
        <v>0</v>
      </c>
      <c r="H81" s="667">
        <f t="shared" si="55"/>
        <v>0</v>
      </c>
      <c r="I81" s="667">
        <f t="shared" si="55"/>
        <v>0</v>
      </c>
      <c r="J81" s="667">
        <f t="shared" si="55"/>
        <v>0</v>
      </c>
      <c r="K81" s="667">
        <f t="shared" si="55"/>
        <v>0</v>
      </c>
      <c r="L81" s="667">
        <f t="shared" si="55"/>
        <v>0</v>
      </c>
      <c r="M81" s="667">
        <f t="shared" si="55"/>
        <v>0</v>
      </c>
      <c r="N81" s="667">
        <f t="shared" si="55"/>
        <v>0</v>
      </c>
      <c r="O81" s="667">
        <f t="shared" si="55"/>
        <v>0</v>
      </c>
      <c r="P81" s="667">
        <f t="shared" si="55"/>
        <v>0</v>
      </c>
      <c r="Q81" s="667">
        <f t="shared" si="55"/>
        <v>0</v>
      </c>
      <c r="R81" s="667">
        <f t="shared" si="55"/>
        <v>0</v>
      </c>
    </row>
    <row r="82" spans="1:18" x14ac:dyDescent="0.3">
      <c r="A82" s="683"/>
      <c r="B82" s="885"/>
      <c r="C82" s="885"/>
      <c r="D82" s="672"/>
      <c r="E82" s="672"/>
      <c r="F82" s="673"/>
      <c r="G82" s="671"/>
      <c r="H82" s="672"/>
      <c r="I82" s="673"/>
      <c r="J82" s="671"/>
      <c r="K82" s="672"/>
      <c r="L82" s="673"/>
      <c r="M82" s="671"/>
      <c r="N82" s="672"/>
      <c r="O82" s="673"/>
      <c r="P82" s="671"/>
      <c r="Q82" s="672"/>
      <c r="R82" s="673"/>
    </row>
    <row r="83" spans="1:18" ht="15" customHeight="1" x14ac:dyDescent="0.3">
      <c r="A83" s="680" t="s">
        <v>134</v>
      </c>
      <c r="B83" s="1250" t="s">
        <v>158</v>
      </c>
      <c r="C83" s="1250"/>
      <c r="D83" s="668"/>
      <c r="E83" s="668"/>
      <c r="F83" s="668"/>
      <c r="G83" s="668"/>
      <c r="H83" s="668"/>
      <c r="I83" s="668"/>
      <c r="J83" s="668"/>
      <c r="K83" s="668"/>
      <c r="L83" s="668"/>
      <c r="M83" s="668"/>
      <c r="N83" s="668"/>
      <c r="O83" s="668"/>
      <c r="P83" s="668"/>
      <c r="Q83" s="668"/>
      <c r="R83" s="668"/>
    </row>
    <row r="84" spans="1:18" ht="15.75" customHeight="1" thickBot="1" x14ac:dyDescent="0.35">
      <c r="A84" s="700"/>
      <c r="B84" s="695"/>
      <c r="C84" s="695"/>
      <c r="D84" s="691"/>
      <c r="E84" s="691"/>
      <c r="F84" s="701"/>
      <c r="G84" s="702"/>
      <c r="H84" s="691"/>
      <c r="I84" s="701"/>
      <c r="J84" s="702"/>
      <c r="K84" s="691"/>
      <c r="L84" s="701"/>
      <c r="M84" s="702"/>
      <c r="N84" s="691"/>
      <c r="O84" s="701"/>
      <c r="P84" s="702"/>
      <c r="Q84" s="691"/>
      <c r="R84" s="701"/>
    </row>
    <row r="85" spans="1:18" s="706" customFormat="1" ht="40.5" customHeight="1" thickBot="1" x14ac:dyDescent="0.35">
      <c r="A85" s="703" t="s">
        <v>135</v>
      </c>
      <c r="B85" s="1248" t="s">
        <v>157</v>
      </c>
      <c r="C85" s="1249"/>
      <c r="D85" s="704">
        <f t="shared" ref="D85:R85" si="56">+D83+D81+D75+D64+D59+D26+D24</f>
        <v>186878.93</v>
      </c>
      <c r="E85" s="704">
        <f t="shared" si="56"/>
        <v>489</v>
      </c>
      <c r="F85" s="704">
        <f t="shared" si="56"/>
        <v>187367.93</v>
      </c>
      <c r="G85" s="704">
        <f t="shared" si="56"/>
        <v>160730.43</v>
      </c>
      <c r="H85" s="704">
        <f t="shared" si="56"/>
        <v>489</v>
      </c>
      <c r="I85" s="704">
        <f t="shared" si="56"/>
        <v>161219.43</v>
      </c>
      <c r="J85" s="704">
        <f t="shared" si="56"/>
        <v>317.5</v>
      </c>
      <c r="K85" s="704">
        <f t="shared" si="56"/>
        <v>0</v>
      </c>
      <c r="L85" s="704">
        <f t="shared" si="56"/>
        <v>317.5</v>
      </c>
      <c r="M85" s="704">
        <f t="shared" si="56"/>
        <v>2394</v>
      </c>
      <c r="N85" s="704">
        <f>+N83+N81+N75+N64+N59+N26+N24</f>
        <v>0</v>
      </c>
      <c r="O85" s="704">
        <f t="shared" si="56"/>
        <v>2394</v>
      </c>
      <c r="P85" s="704">
        <f t="shared" si="56"/>
        <v>23437</v>
      </c>
      <c r="Q85" s="704">
        <f t="shared" si="56"/>
        <v>0</v>
      </c>
      <c r="R85" s="705">
        <f t="shared" si="56"/>
        <v>23437</v>
      </c>
    </row>
  </sheetData>
  <mergeCells count="76"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81:C81"/>
    <mergeCell ref="B83:C83"/>
    <mergeCell ref="B72:C72"/>
    <mergeCell ref="B73:C73"/>
    <mergeCell ref="B75:C75"/>
    <mergeCell ref="B77:C77"/>
    <mergeCell ref="B78:C78"/>
    <mergeCell ref="B80:C80"/>
    <mergeCell ref="B79:C79"/>
    <mergeCell ref="B36:C36"/>
    <mergeCell ref="B37:C37"/>
    <mergeCell ref="B71:C71"/>
    <mergeCell ref="B61:C61"/>
    <mergeCell ref="B59:C59"/>
    <mergeCell ref="B58:C58"/>
    <mergeCell ref="B68:C6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5:C85"/>
    <mergeCell ref="B44:C44"/>
    <mergeCell ref="B62:C62"/>
    <mergeCell ref="B64:C6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</mergeCells>
  <pageMargins left="0.31496062992125984" right="0.11811023622047245" top="0.74803149606299213" bottom="0.74803149606299213" header="0.31496062992125984" footer="0.31496062992125984"/>
  <pageSetup paperSize="9" scale="80" orientation="landscape" cellComments="asDisplayed" r:id="rId1"/>
  <headerFooter>
    <oddHeader>&amp;C&amp;"Times New Roman,Félkövér"&amp;12Martonvásár Város Önkormányzatának kiadásai 2018.
Brunszvik Teréz Óvoda&amp;R&amp;"Times New Roman,Félkövér"&amp;12 6/b. melléklet</oddHeader>
  </headerFooter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view="pageLayout" topLeftCell="A13" zoomScaleNormal="100" workbookViewId="0">
      <selection activeCell="D23" sqref="D23"/>
    </sheetView>
  </sheetViews>
  <sheetFormatPr defaultColWidth="9.109375" defaultRowHeight="15.6" x14ac:dyDescent="0.3"/>
  <cols>
    <col min="1" max="1" width="5.44140625" style="132" customWidth="1"/>
    <col min="2" max="2" width="54.88671875" style="126" customWidth="1"/>
    <col min="3" max="3" width="10.44140625" style="126" customWidth="1"/>
    <col min="4" max="4" width="9.109375" style="126" customWidth="1"/>
    <col min="5" max="5" width="9" style="126" customWidth="1"/>
    <col min="6" max="20" width="9.109375" style="89"/>
    <col min="21" max="16384" width="9.109375" style="126"/>
  </cols>
  <sheetData>
    <row r="1" spans="1:20" ht="15.9" customHeight="1" x14ac:dyDescent="0.3">
      <c r="A1" s="83" t="s">
        <v>303</v>
      </c>
      <c r="B1" s="84"/>
      <c r="C1" s="84"/>
      <c r="D1" s="84"/>
      <c r="E1" s="84"/>
    </row>
    <row r="2" spans="1:20" ht="15.9" customHeight="1" x14ac:dyDescent="0.3">
      <c r="A2" s="1060" t="s">
        <v>304</v>
      </c>
      <c r="B2" s="1060"/>
      <c r="D2" s="526"/>
      <c r="E2" s="767" t="s">
        <v>390</v>
      </c>
    </row>
    <row r="3" spans="1:20" ht="35.25" customHeight="1" x14ac:dyDescent="0.3">
      <c r="A3" s="133"/>
      <c r="B3" s="133" t="s">
        <v>182</v>
      </c>
      <c r="C3" s="151" t="s">
        <v>177</v>
      </c>
      <c r="D3" s="65" t="s">
        <v>792</v>
      </c>
      <c r="E3" s="65" t="s">
        <v>793</v>
      </c>
      <c r="O3" s="126"/>
      <c r="P3" s="126"/>
      <c r="Q3" s="126"/>
      <c r="R3" s="126"/>
      <c r="S3" s="126"/>
      <c r="T3" s="126"/>
    </row>
    <row r="4" spans="1:20" s="145" customFormat="1" x14ac:dyDescent="0.3">
      <c r="A4" s="143" t="s">
        <v>402</v>
      </c>
      <c r="B4" s="137" t="s">
        <v>401</v>
      </c>
      <c r="C4" s="149">
        <f>+C7+C8+C13+C14</f>
        <v>996291</v>
      </c>
      <c r="D4" s="149">
        <f t="shared" ref="D4:E4" si="0">+D7+D8+D13+D14</f>
        <v>6860</v>
      </c>
      <c r="E4" s="149">
        <f t="shared" si="0"/>
        <v>1003151</v>
      </c>
      <c r="F4" s="144"/>
      <c r="G4" s="144"/>
      <c r="H4" s="144"/>
      <c r="I4" s="144"/>
      <c r="J4" s="144"/>
      <c r="K4" s="144"/>
      <c r="L4" s="144"/>
      <c r="M4" s="144"/>
      <c r="N4" s="144"/>
    </row>
    <row r="5" spans="1:20" s="127" customFormat="1" ht="12" customHeight="1" x14ac:dyDescent="0.25">
      <c r="A5" s="95" t="s">
        <v>399</v>
      </c>
      <c r="B5" s="148" t="s">
        <v>333</v>
      </c>
      <c r="C5" s="93">
        <f>+'3.mell. Bevétel'!C11</f>
        <v>452944</v>
      </c>
      <c r="D5" s="93">
        <f>+'3.mell. Bevétel'!D11</f>
        <v>1429</v>
      </c>
      <c r="E5" s="93">
        <f>+'3.mell. Bevétel'!E11</f>
        <v>454373</v>
      </c>
      <c r="F5" s="89"/>
      <c r="G5" s="89"/>
      <c r="H5" s="89"/>
      <c r="I5" s="89"/>
      <c r="J5" s="89"/>
      <c r="K5" s="89"/>
      <c r="L5" s="89"/>
      <c r="M5" s="89"/>
      <c r="N5" s="89"/>
    </row>
    <row r="6" spans="1:20" s="127" customFormat="1" ht="26.25" customHeight="1" x14ac:dyDescent="0.25">
      <c r="A6" s="147" t="s">
        <v>400</v>
      </c>
      <c r="B6" s="148" t="s">
        <v>205</v>
      </c>
      <c r="C6" s="93">
        <f>+'3.mell. Bevétel'!C12+'6.mell Int.összesen'!D15</f>
        <v>28000</v>
      </c>
      <c r="D6" s="93">
        <f>+'3.mell. Bevétel'!D12+'6.mell Int.összesen'!E15</f>
        <v>4261</v>
      </c>
      <c r="E6" s="93">
        <f>+'3.mell. Bevétel'!E12+'6.mell Int.összesen'!F15</f>
        <v>32261</v>
      </c>
      <c r="F6" s="89"/>
      <c r="G6" s="89"/>
      <c r="H6" s="89"/>
      <c r="I6" s="89"/>
      <c r="J6" s="89"/>
      <c r="K6" s="89"/>
      <c r="L6" s="89"/>
      <c r="M6" s="89"/>
      <c r="N6" s="89"/>
    </row>
    <row r="7" spans="1:20" s="146" customFormat="1" ht="12" customHeight="1" x14ac:dyDescent="0.25">
      <c r="A7" s="67" t="s">
        <v>310</v>
      </c>
      <c r="B7" s="59" t="s">
        <v>331</v>
      </c>
      <c r="C7" s="77">
        <f>+C5+C6</f>
        <v>480944</v>
      </c>
      <c r="D7" s="77">
        <f t="shared" ref="D7:E7" si="1">+D5+D6</f>
        <v>5690</v>
      </c>
      <c r="E7" s="77">
        <f t="shared" si="1"/>
        <v>486634</v>
      </c>
      <c r="F7" s="144"/>
      <c r="G7" s="144"/>
      <c r="H7" s="144"/>
      <c r="I7" s="144"/>
      <c r="J7" s="144"/>
      <c r="K7" s="144"/>
      <c r="L7" s="144"/>
      <c r="M7" s="144"/>
      <c r="N7" s="144"/>
    </row>
    <row r="8" spans="1:20" s="127" customFormat="1" ht="12" customHeight="1" x14ac:dyDescent="0.25">
      <c r="A8" s="139" t="s">
        <v>403</v>
      </c>
      <c r="B8" s="59" t="s">
        <v>337</v>
      </c>
      <c r="C8" s="77">
        <f>SUM(C9:C12)</f>
        <v>288500</v>
      </c>
      <c r="D8" s="77">
        <f t="shared" ref="D8:E8" si="2">SUM(D9:D12)</f>
        <v>0</v>
      </c>
      <c r="E8" s="77">
        <f t="shared" si="2"/>
        <v>288500</v>
      </c>
      <c r="F8" s="89"/>
      <c r="G8" s="89"/>
      <c r="H8" s="89"/>
      <c r="I8" s="89"/>
      <c r="J8" s="89"/>
      <c r="K8" s="89"/>
      <c r="L8" s="89"/>
      <c r="M8" s="89"/>
      <c r="N8" s="89"/>
    </row>
    <row r="9" spans="1:20" s="127" customFormat="1" ht="12" customHeight="1" x14ac:dyDescent="0.25">
      <c r="A9" s="95" t="s">
        <v>404</v>
      </c>
      <c r="B9" s="148" t="s">
        <v>335</v>
      </c>
      <c r="C9" s="77">
        <f>+'3.mell. Bevétel'!C40</f>
        <v>0</v>
      </c>
      <c r="D9" s="77">
        <f>+'3.mell. Bevétel'!D40</f>
        <v>0</v>
      </c>
      <c r="E9" s="77">
        <f>+'3.mell. Bevétel'!E40</f>
        <v>0</v>
      </c>
      <c r="F9" s="89"/>
      <c r="G9" s="89"/>
      <c r="H9" s="89"/>
      <c r="I9" s="89"/>
      <c r="J9" s="89"/>
      <c r="K9" s="89"/>
      <c r="L9" s="89"/>
      <c r="M9" s="89"/>
      <c r="N9" s="89"/>
    </row>
    <row r="10" spans="1:20" s="127" customFormat="1" ht="12" customHeight="1" x14ac:dyDescent="0.25">
      <c r="A10" s="147" t="s">
        <v>405</v>
      </c>
      <c r="B10" s="148" t="s">
        <v>220</v>
      </c>
      <c r="C10" s="77">
        <f>+'3.mell. Bevétel'!C43</f>
        <v>129000</v>
      </c>
      <c r="D10" s="77">
        <f>+'3.mell. Bevétel'!D43</f>
        <v>0</v>
      </c>
      <c r="E10" s="77">
        <f>+'3.mell. Bevétel'!E43</f>
        <v>129000</v>
      </c>
      <c r="F10" s="89"/>
      <c r="G10" s="89"/>
      <c r="H10" s="89"/>
      <c r="I10" s="89"/>
      <c r="J10" s="89"/>
      <c r="K10" s="89"/>
      <c r="L10" s="89"/>
      <c r="M10" s="89"/>
      <c r="N10" s="89"/>
    </row>
    <row r="11" spans="1:20" s="127" customFormat="1" ht="12" customHeight="1" x14ac:dyDescent="0.25">
      <c r="A11" s="95" t="s">
        <v>406</v>
      </c>
      <c r="B11" s="148" t="s">
        <v>336</v>
      </c>
      <c r="C11" s="77">
        <f>+'3.mell. Bevétel'!C52</f>
        <v>154000</v>
      </c>
      <c r="D11" s="77">
        <f>+'3.mell. Bevétel'!D52</f>
        <v>0</v>
      </c>
      <c r="E11" s="77">
        <f>+'3.mell. Bevétel'!E52</f>
        <v>154000</v>
      </c>
      <c r="F11" s="89"/>
      <c r="G11" s="89"/>
      <c r="H11" s="89"/>
      <c r="I11" s="89"/>
      <c r="J11" s="89"/>
      <c r="K11" s="89"/>
      <c r="L11" s="89"/>
      <c r="M11" s="89"/>
      <c r="N11" s="89"/>
    </row>
    <row r="12" spans="1:20" s="127" customFormat="1" ht="12" customHeight="1" x14ac:dyDescent="0.25">
      <c r="A12" s="147" t="s">
        <v>407</v>
      </c>
      <c r="B12" s="148" t="s">
        <v>233</v>
      </c>
      <c r="C12" s="77">
        <f>+'3.mell. Bevétel'!C53</f>
        <v>5500</v>
      </c>
      <c r="D12" s="77">
        <f>+'3.mell. Bevétel'!D53</f>
        <v>0</v>
      </c>
      <c r="E12" s="77">
        <f>+'3.mell. Bevétel'!E53</f>
        <v>5500</v>
      </c>
      <c r="F12" s="89"/>
      <c r="G12" s="89"/>
      <c r="H12" s="89"/>
      <c r="I12" s="89"/>
      <c r="J12" s="89"/>
      <c r="K12" s="89"/>
      <c r="L12" s="89"/>
      <c r="M12" s="89"/>
      <c r="N12" s="89"/>
    </row>
    <row r="13" spans="1:20" s="127" customFormat="1" ht="12" customHeight="1" x14ac:dyDescent="0.25">
      <c r="A13" s="67">
        <v>3</v>
      </c>
      <c r="B13" s="59" t="s">
        <v>280</v>
      </c>
      <c r="C13" s="77">
        <f>+'3.mell. Bevétel'!C65+'6.mell Int.összesen'!D36</f>
        <v>225804</v>
      </c>
      <c r="D13" s="77">
        <f>+'3.mell. Bevétel'!D65+'6.mell Int.összesen'!E36</f>
        <v>520</v>
      </c>
      <c r="E13" s="77">
        <f>+'3.mell. Bevétel'!E65+'6.mell Int.összesen'!F36</f>
        <v>226324</v>
      </c>
      <c r="F13" s="89"/>
      <c r="G13" s="89"/>
      <c r="H13" s="89"/>
      <c r="I13" s="89"/>
      <c r="J13" s="89"/>
      <c r="K13" s="89"/>
      <c r="L13" s="89"/>
      <c r="M13" s="89"/>
      <c r="N13" s="89"/>
    </row>
    <row r="14" spans="1:20" s="127" customFormat="1" ht="12" customHeight="1" x14ac:dyDescent="0.25">
      <c r="A14" s="139">
        <v>4</v>
      </c>
      <c r="B14" s="59" t="s">
        <v>278</v>
      </c>
      <c r="C14" s="77">
        <f>+'3.mell. Bevétel'!C69+'6.mell Int.összesen'!D39</f>
        <v>1043</v>
      </c>
      <c r="D14" s="77">
        <f>+'3.mell. Bevétel'!D69+'6.mell Int.összesen'!E39</f>
        <v>650</v>
      </c>
      <c r="E14" s="77">
        <f>+'3.mell. Bevétel'!E69+'6.mell Int.összesen'!F39</f>
        <v>1693</v>
      </c>
      <c r="F14" s="89"/>
      <c r="G14" s="89"/>
      <c r="H14" s="89"/>
      <c r="I14" s="89"/>
      <c r="J14" s="89"/>
      <c r="K14" s="89"/>
      <c r="L14" s="89"/>
      <c r="M14" s="89"/>
      <c r="N14" s="89"/>
    </row>
    <row r="15" spans="1:20" s="146" customFormat="1" ht="12" customHeight="1" x14ac:dyDescent="0.25">
      <c r="A15" s="68" t="s">
        <v>408</v>
      </c>
      <c r="B15" s="137" t="s">
        <v>279</v>
      </c>
      <c r="C15" s="81">
        <f>SUM(C16:C18)</f>
        <v>574643</v>
      </c>
      <c r="D15" s="81">
        <f t="shared" ref="D15:E15" si="3">SUM(D16:D18)</f>
        <v>90306</v>
      </c>
      <c r="E15" s="81">
        <f t="shared" si="3"/>
        <v>664949</v>
      </c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20" s="127" customFormat="1" ht="12" customHeight="1" x14ac:dyDescent="0.25">
      <c r="A16" s="139">
        <v>1</v>
      </c>
      <c r="B16" s="59" t="s">
        <v>332</v>
      </c>
      <c r="C16" s="77">
        <f>+'3.mell. Bevétel'!C37+'6.mell Int.összesen'!D41</f>
        <v>574643</v>
      </c>
      <c r="D16" s="77">
        <f>+'3.mell. Bevétel'!D37+'6.mell Int.összesen'!E41</f>
        <v>90306</v>
      </c>
      <c r="E16" s="77">
        <f>+'3.mell. Bevétel'!E37+'6.mell Int.összesen'!F41</f>
        <v>664949</v>
      </c>
      <c r="F16" s="89"/>
      <c r="G16" s="89"/>
      <c r="H16" s="89"/>
      <c r="I16" s="89"/>
      <c r="J16" s="89"/>
      <c r="K16" s="89"/>
      <c r="L16" s="89"/>
      <c r="M16" s="89"/>
      <c r="N16" s="89"/>
    </row>
    <row r="17" spans="1:20" s="127" customFormat="1" ht="12" customHeight="1" x14ac:dyDescent="0.25">
      <c r="A17" s="67">
        <v>2</v>
      </c>
      <c r="B17" s="59" t="s">
        <v>279</v>
      </c>
      <c r="C17" s="77">
        <f>+'3.mell. Bevétel'!C66</f>
        <v>0</v>
      </c>
      <c r="D17" s="77">
        <f>+'3.mell. Bevétel'!D66</f>
        <v>0</v>
      </c>
      <c r="E17" s="77">
        <f>+'3.mell. Bevétel'!E66</f>
        <v>0</v>
      </c>
      <c r="F17" s="89"/>
      <c r="G17" s="89"/>
      <c r="H17" s="89"/>
      <c r="I17" s="89"/>
      <c r="J17" s="89"/>
      <c r="K17" s="89"/>
      <c r="L17" s="89"/>
      <c r="M17" s="89"/>
      <c r="N17" s="89"/>
    </row>
    <row r="18" spans="1:20" s="127" customFormat="1" ht="12" customHeight="1" x14ac:dyDescent="0.25">
      <c r="A18" s="139">
        <v>3</v>
      </c>
      <c r="B18" s="59" t="s">
        <v>284</v>
      </c>
      <c r="C18" s="77">
        <f>+'3.mell. Bevétel'!C71</f>
        <v>0</v>
      </c>
      <c r="D18" s="77">
        <f>+'3.mell. Bevétel'!D71</f>
        <v>0</v>
      </c>
      <c r="E18" s="77">
        <f>+'3.mell. Bevétel'!E71</f>
        <v>0</v>
      </c>
      <c r="F18" s="89"/>
      <c r="G18" s="89"/>
      <c r="H18" s="89"/>
      <c r="I18" s="89"/>
      <c r="J18" s="89"/>
      <c r="K18" s="89"/>
      <c r="L18" s="89"/>
      <c r="M18" s="89"/>
      <c r="N18" s="89"/>
    </row>
    <row r="19" spans="1:20" s="127" customFormat="1" ht="12" customHeight="1" x14ac:dyDescent="0.25">
      <c r="A19" s="67"/>
      <c r="B19" s="60" t="s">
        <v>387</v>
      </c>
      <c r="C19" s="81">
        <f>+C15+C4</f>
        <v>1570934</v>
      </c>
      <c r="D19" s="81">
        <f t="shared" ref="D19:E19" si="4">+D15+D4</f>
        <v>97166</v>
      </c>
      <c r="E19" s="81">
        <f t="shared" si="4"/>
        <v>1668100</v>
      </c>
      <c r="F19" s="89"/>
      <c r="G19" s="89"/>
      <c r="H19" s="89"/>
      <c r="I19" s="89"/>
      <c r="J19" s="89"/>
      <c r="K19" s="89"/>
      <c r="L19" s="89"/>
      <c r="M19" s="89"/>
      <c r="N19" s="89"/>
    </row>
    <row r="20" spans="1:20" s="127" customFormat="1" ht="12" customHeight="1" x14ac:dyDescent="0.25">
      <c r="A20" s="143" t="s">
        <v>409</v>
      </c>
      <c r="B20" s="60" t="s">
        <v>287</v>
      </c>
      <c r="C20" s="81">
        <f>+C22+C21</f>
        <v>1492070</v>
      </c>
      <c r="D20" s="81">
        <f t="shared" ref="D20:E20" si="5">+D22+D21</f>
        <v>892558</v>
      </c>
      <c r="E20" s="81">
        <f t="shared" si="5"/>
        <v>2384628</v>
      </c>
      <c r="F20" s="89"/>
      <c r="G20" s="89"/>
      <c r="H20" s="89"/>
      <c r="I20" s="89"/>
      <c r="J20" s="89"/>
      <c r="K20" s="89"/>
      <c r="L20" s="89"/>
      <c r="M20" s="89"/>
      <c r="N20" s="89"/>
    </row>
    <row r="21" spans="1:20" s="127" customFormat="1" ht="12" customHeight="1" x14ac:dyDescent="0.25">
      <c r="A21" s="67">
        <v>1</v>
      </c>
      <c r="B21" s="59" t="s">
        <v>750</v>
      </c>
      <c r="C21" s="77">
        <f>+'3.mell. Bevétel'!C74</f>
        <v>380000</v>
      </c>
      <c r="D21" s="77">
        <f>+'3.mell. Bevétel'!D74</f>
        <v>850000</v>
      </c>
      <c r="E21" s="77">
        <f>+'3.mell. Bevétel'!E74</f>
        <v>1230000</v>
      </c>
      <c r="F21" s="89"/>
      <c r="G21" s="89"/>
      <c r="H21" s="89"/>
      <c r="I21" s="89"/>
      <c r="J21" s="89"/>
      <c r="K21" s="89"/>
      <c r="L21" s="89"/>
      <c r="M21" s="89"/>
      <c r="N21" s="89"/>
    </row>
    <row r="22" spans="1:20" s="127" customFormat="1" ht="12" customHeight="1" x14ac:dyDescent="0.25">
      <c r="A22" s="139">
        <v>2</v>
      </c>
      <c r="B22" s="59" t="s">
        <v>338</v>
      </c>
      <c r="C22" s="77">
        <f>SUM(C23:C24)</f>
        <v>1112070</v>
      </c>
      <c r="D22" s="77">
        <f>SUM(D23:D24)</f>
        <v>42558</v>
      </c>
      <c r="E22" s="77">
        <f>SUM(E23:E24)</f>
        <v>1154628</v>
      </c>
      <c r="F22" s="89"/>
      <c r="G22" s="89"/>
      <c r="H22" s="89"/>
      <c r="I22" s="89"/>
      <c r="J22" s="89"/>
      <c r="K22" s="89"/>
      <c r="L22" s="89"/>
      <c r="M22" s="89"/>
      <c r="N22" s="89"/>
    </row>
    <row r="23" spans="1:20" s="127" customFormat="1" ht="12" customHeight="1" x14ac:dyDescent="0.25">
      <c r="A23" s="67" t="s">
        <v>399</v>
      </c>
      <c r="B23" s="148" t="s">
        <v>385</v>
      </c>
      <c r="C23" s="93">
        <f>+'3.mell. Bevétel'!C76+'6.mell Int.összesen'!D46</f>
        <v>489162</v>
      </c>
      <c r="D23" s="93">
        <f>+'3.mell. Bevétel'!D76+'6.mell Int.összesen'!E46</f>
        <v>42558</v>
      </c>
      <c r="E23" s="93">
        <f>+'3.mell. Bevétel'!E76+'6.mell Int.összesen'!F46</f>
        <v>531720</v>
      </c>
      <c r="F23" s="89"/>
      <c r="G23" s="89"/>
      <c r="H23" s="89"/>
      <c r="I23" s="89"/>
      <c r="J23" s="89"/>
      <c r="K23" s="89"/>
      <c r="L23" s="89"/>
      <c r="M23" s="89"/>
      <c r="N23" s="89"/>
    </row>
    <row r="24" spans="1:20" s="127" customFormat="1" ht="12" customHeight="1" x14ac:dyDescent="0.25">
      <c r="A24" s="139" t="s">
        <v>400</v>
      </c>
      <c r="B24" s="148" t="s">
        <v>386</v>
      </c>
      <c r="C24" s="93">
        <f>+'3.mell. Bevétel'!C77</f>
        <v>622908</v>
      </c>
      <c r="D24" s="93">
        <f>+'3.mell. Bevétel'!D77</f>
        <v>0</v>
      </c>
      <c r="E24" s="93">
        <f>+'3.mell. Bevétel'!E77</f>
        <v>622908</v>
      </c>
      <c r="F24" s="89"/>
      <c r="G24" s="89"/>
      <c r="H24" s="89"/>
      <c r="I24" s="89"/>
      <c r="J24" s="89"/>
      <c r="K24" s="89"/>
      <c r="L24" s="89"/>
      <c r="M24" s="89"/>
      <c r="N24" s="89"/>
    </row>
    <row r="25" spans="1:20" s="127" customFormat="1" ht="12.75" customHeight="1" x14ac:dyDescent="0.25">
      <c r="A25" s="1055" t="s">
        <v>388</v>
      </c>
      <c r="B25" s="1056"/>
      <c r="C25" s="150">
        <f>+C20+C15+C4</f>
        <v>3063004</v>
      </c>
      <c r="D25" s="150">
        <f t="shared" ref="D25:E25" si="6">+D20+D15+D4</f>
        <v>989724</v>
      </c>
      <c r="E25" s="150">
        <f t="shared" si="6"/>
        <v>4052728</v>
      </c>
      <c r="F25" s="89"/>
      <c r="G25" s="89"/>
      <c r="H25" s="89"/>
      <c r="I25" s="89"/>
      <c r="J25" s="89"/>
      <c r="K25" s="89"/>
      <c r="L25" s="89"/>
      <c r="M25" s="89"/>
      <c r="N25" s="89"/>
    </row>
    <row r="26" spans="1:20" s="127" customFormat="1" ht="12" customHeight="1" x14ac:dyDescent="0.25">
      <c r="A26" s="125"/>
      <c r="B26" s="80"/>
      <c r="C26" s="140"/>
      <c r="D26" s="80"/>
      <c r="E26" s="80"/>
      <c r="F26" s="89"/>
      <c r="G26" s="89"/>
      <c r="H26" s="89"/>
      <c r="I26" s="89"/>
      <c r="J26" s="89"/>
      <c r="K26" s="89"/>
      <c r="L26" s="89"/>
      <c r="M26" s="89"/>
      <c r="N26" s="89"/>
    </row>
    <row r="27" spans="1:20" s="127" customFormat="1" ht="16.5" customHeight="1" x14ac:dyDescent="0.25">
      <c r="A27" s="1061" t="s">
        <v>311</v>
      </c>
      <c r="B27" s="1062"/>
      <c r="C27" s="1062"/>
      <c r="D27" s="1062"/>
      <c r="E27" s="1062"/>
      <c r="F27" s="89"/>
      <c r="G27" s="89"/>
      <c r="H27" s="89"/>
      <c r="I27" s="89"/>
      <c r="J27" s="89"/>
      <c r="K27" s="89"/>
      <c r="L27" s="89"/>
      <c r="M27" s="89"/>
      <c r="N27" s="89"/>
    </row>
    <row r="28" spans="1:20" s="127" customFormat="1" ht="15" customHeight="1" x14ac:dyDescent="0.3">
      <c r="A28" s="1060" t="s">
        <v>312</v>
      </c>
      <c r="B28" s="1060"/>
      <c r="C28" s="128"/>
      <c r="D28" s="128"/>
      <c r="E28" s="12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</row>
    <row r="29" spans="1:20" ht="30" customHeight="1" x14ac:dyDescent="0.3">
      <c r="A29" s="134"/>
      <c r="B29" s="134" t="s">
        <v>182</v>
      </c>
      <c r="C29" s="151" t="s">
        <v>177</v>
      </c>
      <c r="D29" s="65" t="s">
        <v>792</v>
      </c>
      <c r="E29" s="65" t="s">
        <v>793</v>
      </c>
    </row>
    <row r="30" spans="1:20" ht="16.5" customHeight="1" x14ac:dyDescent="0.3">
      <c r="A30" s="143" t="s">
        <v>402</v>
      </c>
      <c r="B30" s="137" t="s">
        <v>413</v>
      </c>
      <c r="C30" s="149">
        <f>+C31+C32+C33+C34+C35+C36</f>
        <v>1512657.9100000001</v>
      </c>
      <c r="D30" s="149">
        <f t="shared" ref="D30:E30" si="7">+D31+D32+D33+D34+D35+D36</f>
        <v>102273</v>
      </c>
      <c r="E30" s="149">
        <f t="shared" si="7"/>
        <v>1614930.9100000001</v>
      </c>
    </row>
    <row r="31" spans="1:20" ht="13.5" customHeight="1" x14ac:dyDescent="0.3">
      <c r="A31" s="4">
        <v>1</v>
      </c>
      <c r="B31" s="118" t="s">
        <v>172</v>
      </c>
      <c r="C31" s="138">
        <f>+'5. mell. Önk.össz kiadás'!D5+'6.mell Int.összesen'!D55</f>
        <v>339970</v>
      </c>
      <c r="D31" s="138">
        <f>+'5. mell. Önk.össz kiadás'!E5+'6.mell Int.összesen'!E55</f>
        <v>1298</v>
      </c>
      <c r="E31" s="138">
        <f>+'5. mell. Önk.össz kiadás'!F5+'6.mell Int.összesen'!F55</f>
        <v>341268</v>
      </c>
      <c r="O31" s="126"/>
      <c r="P31" s="126"/>
      <c r="Q31" s="126"/>
      <c r="R31" s="126"/>
      <c r="S31" s="126"/>
      <c r="T31" s="126"/>
    </row>
    <row r="32" spans="1:20" ht="12" customHeight="1" x14ac:dyDescent="0.3">
      <c r="A32" s="4">
        <v>2</v>
      </c>
      <c r="B32" s="118" t="s">
        <v>171</v>
      </c>
      <c r="C32" s="138">
        <f>+'5. mell. Önk.össz kiadás'!D7+'6.mell Int.összesen'!D56</f>
        <v>72827</v>
      </c>
      <c r="D32" s="138">
        <f>+'5. mell. Önk.össz kiadás'!E7+'6.mell Int.összesen'!E56</f>
        <v>315</v>
      </c>
      <c r="E32" s="138">
        <f>+'5. mell. Önk.össz kiadás'!F7+'6.mell Int.összesen'!F56</f>
        <v>73142</v>
      </c>
      <c r="O32" s="126"/>
      <c r="P32" s="126"/>
      <c r="Q32" s="126"/>
      <c r="R32" s="126"/>
      <c r="S32" s="126"/>
      <c r="T32" s="126"/>
    </row>
    <row r="33" spans="1:20" ht="12" customHeight="1" x14ac:dyDescent="0.3">
      <c r="A33" s="4">
        <v>3</v>
      </c>
      <c r="B33" s="118" t="s">
        <v>151</v>
      </c>
      <c r="C33" s="138">
        <f>+'5. mell. Önk.össz kiadás'!D14+'6.mell Int.összesen'!D63</f>
        <v>500962.91000000003</v>
      </c>
      <c r="D33" s="138">
        <f>+'5. mell. Önk.össz kiadás'!E14+'6.mell Int.összesen'!E63</f>
        <v>73013</v>
      </c>
      <c r="E33" s="138">
        <f>+'5. mell. Önk.össz kiadás'!F14+'6.mell Int.összesen'!F63</f>
        <v>573975.91</v>
      </c>
      <c r="O33" s="126"/>
      <c r="P33" s="126"/>
      <c r="Q33" s="126"/>
      <c r="R33" s="126"/>
      <c r="S33" s="126"/>
      <c r="T33" s="126"/>
    </row>
    <row r="34" spans="1:20" ht="12" customHeight="1" x14ac:dyDescent="0.3">
      <c r="A34" s="4">
        <v>4</v>
      </c>
      <c r="B34" s="119" t="s">
        <v>150</v>
      </c>
      <c r="C34" s="138">
        <f>+'5. mell. Önk.össz kiadás'!D16</f>
        <v>23333</v>
      </c>
      <c r="D34" s="138">
        <f>+'5. mell. Önk.össz kiadás'!E16</f>
        <v>0</v>
      </c>
      <c r="E34" s="138">
        <f>+'5. mell. Önk.össz kiadás'!F16</f>
        <v>23333</v>
      </c>
      <c r="K34" s="89" t="s">
        <v>700</v>
      </c>
      <c r="O34" s="126"/>
      <c r="P34" s="126"/>
      <c r="Q34" s="126"/>
      <c r="R34" s="126"/>
      <c r="S34" s="126"/>
      <c r="T34" s="126"/>
    </row>
    <row r="35" spans="1:20" ht="12" customHeight="1" x14ac:dyDescent="0.3">
      <c r="A35" s="4">
        <v>5</v>
      </c>
      <c r="B35" s="118" t="s">
        <v>163</v>
      </c>
      <c r="C35" s="138">
        <f>+'5. mell. Önk.össz kiadás'!D18-'5. mell. Önk.össz kiadás'!D19+'6.mell Int.összesen'!D67</f>
        <v>237325</v>
      </c>
      <c r="D35" s="138">
        <f>+'5. mell. Önk.össz kiadás'!E18-'5. mell. Önk.össz kiadás'!E19+'6.mell Int.összesen'!E67</f>
        <v>1202</v>
      </c>
      <c r="E35" s="138">
        <f>+'5. mell. Önk.össz kiadás'!F18-'5. mell. Önk.össz kiadás'!F19+'6.mell Int.összesen'!F67</f>
        <v>238527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</row>
    <row r="36" spans="1:20" ht="12" customHeight="1" x14ac:dyDescent="0.3">
      <c r="A36" s="4">
        <v>6</v>
      </c>
      <c r="B36" s="118" t="s">
        <v>423</v>
      </c>
      <c r="C36" s="138">
        <f>+'5. mell. Önk.össz kiadás'!D19</f>
        <v>338240</v>
      </c>
      <c r="D36" s="138">
        <f>+'5. mell. Önk.össz kiadás'!E19</f>
        <v>26445</v>
      </c>
      <c r="E36" s="138">
        <f>+'5. mell. Önk.össz kiadás'!F19</f>
        <v>364685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</row>
    <row r="37" spans="1:20" ht="12" customHeight="1" x14ac:dyDescent="0.3">
      <c r="A37" s="6" t="s">
        <v>414</v>
      </c>
      <c r="B37" s="137" t="s">
        <v>415</v>
      </c>
      <c r="C37" s="150">
        <f>+C38+C39+C40</f>
        <v>1550346</v>
      </c>
      <c r="D37" s="150">
        <f t="shared" ref="D37:E37" si="8">+D38+D39+D40</f>
        <v>21297</v>
      </c>
      <c r="E37" s="150">
        <f t="shared" si="8"/>
        <v>1571643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</row>
    <row r="38" spans="1:20" ht="12" customHeight="1" x14ac:dyDescent="0.3">
      <c r="A38" s="4">
        <v>1</v>
      </c>
      <c r="B38" s="118" t="s">
        <v>161</v>
      </c>
      <c r="C38" s="138">
        <f>+'5. mell. Önk.össz kiadás'!D21+'6.mell Int.összesen'!D69</f>
        <v>1465764</v>
      </c>
      <c r="D38" s="138">
        <f>+'5. mell. Önk.össz kiadás'!E21+'6.mell Int.összesen'!E69</f>
        <v>-3448</v>
      </c>
      <c r="E38" s="138">
        <f>+'5. mell. Önk.össz kiadás'!F21+'6.mell Int.összesen'!F69</f>
        <v>1462316</v>
      </c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</row>
    <row r="39" spans="1:20" ht="12" customHeight="1" x14ac:dyDescent="0.3">
      <c r="A39" s="4">
        <v>2</v>
      </c>
      <c r="B39" s="118" t="s">
        <v>160</v>
      </c>
      <c r="C39" s="138">
        <f>+'5. mell. Önk.össz kiadás'!D23</f>
        <v>84582</v>
      </c>
      <c r="D39" s="138">
        <f>+'5. mell. Önk.össz kiadás'!E23</f>
        <v>24745</v>
      </c>
      <c r="E39" s="138">
        <f>+'5. mell. Önk.össz kiadás'!F23</f>
        <v>109327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</row>
    <row r="40" spans="1:20" ht="12" customHeight="1" x14ac:dyDescent="0.3">
      <c r="A40" s="4">
        <v>3</v>
      </c>
      <c r="B40" s="118" t="s">
        <v>158</v>
      </c>
      <c r="C40" s="138">
        <f>+'5. mell. Önk.össz kiadás'!D25+'6.mell Int.összesen'!D73</f>
        <v>0</v>
      </c>
      <c r="D40" s="138">
        <f>+'5. mell. Önk.össz kiadás'!E25+'6.mell Int.összesen'!E73</f>
        <v>0</v>
      </c>
      <c r="E40" s="138">
        <f>+'5. mell. Önk.össz kiadás'!F25+'6.mell Int.összesen'!F73</f>
        <v>0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</row>
    <row r="41" spans="1:20" s="145" customFormat="1" ht="12" customHeight="1" x14ac:dyDescent="0.3">
      <c r="A41" s="6"/>
      <c r="B41" s="121" t="s">
        <v>411</v>
      </c>
      <c r="C41" s="150">
        <f>+C37+C30</f>
        <v>3063003.91</v>
      </c>
      <c r="D41" s="150">
        <f t="shared" ref="D41:E41" si="9">+D37+D30</f>
        <v>123570</v>
      </c>
      <c r="E41" s="150">
        <f t="shared" si="9"/>
        <v>3186573.91</v>
      </c>
    </row>
    <row r="42" spans="1:20" ht="12" customHeight="1" x14ac:dyDescent="0.3">
      <c r="A42" s="6" t="s">
        <v>416</v>
      </c>
      <c r="B42" s="152" t="s">
        <v>277</v>
      </c>
      <c r="C42" s="150">
        <f>+'5.g. mell. Egyéb tev.'!D103+'5.g. mell. Egyéb tev.'!D104+'5.g. mell. Egyéb tev.'!D105</f>
        <v>0</v>
      </c>
      <c r="D42" s="150">
        <f>+'5.g. mell. Egyéb tev.'!E103+'5.g. mell. Egyéb tev.'!E104+'5.g. mell. Egyéb tev.'!E105</f>
        <v>866154</v>
      </c>
      <c r="E42" s="150">
        <f>+'5.g. mell. Egyéb tev.'!F103+'5.g. mell. Egyéb tev.'!F104+'5.g. mell. Egyéb tev.'!F105</f>
        <v>866154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</row>
    <row r="43" spans="1:20" s="145" customFormat="1" ht="12" customHeight="1" x14ac:dyDescent="0.3">
      <c r="A43" s="1057" t="s">
        <v>412</v>
      </c>
      <c r="B43" s="1058"/>
      <c r="C43" s="150">
        <f>C42+C41</f>
        <v>3063003.91</v>
      </c>
      <c r="D43" s="150">
        <f t="shared" ref="D43:E43" si="10">D42+D41</f>
        <v>989724</v>
      </c>
      <c r="E43" s="150">
        <f t="shared" si="10"/>
        <v>4052727.91</v>
      </c>
    </row>
    <row r="44" spans="1:20" ht="15" customHeight="1" x14ac:dyDescent="0.3">
      <c r="A44" s="129"/>
      <c r="B44" s="89"/>
      <c r="C44" s="89"/>
      <c r="D44" s="89"/>
      <c r="E44" s="89"/>
      <c r="O44" s="126"/>
      <c r="P44" s="126"/>
      <c r="Q44" s="126"/>
      <c r="R44" s="126"/>
      <c r="S44" s="126"/>
      <c r="T44" s="126"/>
    </row>
    <row r="45" spans="1:20" s="127" customFormat="1" ht="15.75" customHeight="1" x14ac:dyDescent="0.3">
      <c r="A45" s="1059" t="s">
        <v>317</v>
      </c>
      <c r="B45" s="1059"/>
      <c r="C45" s="1059"/>
      <c r="D45" s="1059"/>
      <c r="E45" s="105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</row>
    <row r="46" spans="1:20" s="89" customFormat="1" x14ac:dyDescent="0.3">
      <c r="A46" s="130" t="s">
        <v>318</v>
      </c>
      <c r="B46" s="131"/>
      <c r="C46" s="126"/>
      <c r="D46" s="126"/>
      <c r="E46" s="126"/>
    </row>
    <row r="47" spans="1:20" x14ac:dyDescent="0.3">
      <c r="A47" s="135">
        <v>1</v>
      </c>
      <c r="B47" s="88" t="s">
        <v>417</v>
      </c>
      <c r="C47" s="85">
        <f>+C19-C41</f>
        <v>-1492069.9100000001</v>
      </c>
      <c r="D47" s="85">
        <f t="shared" ref="D47:E47" si="11">+D19-D41</f>
        <v>-26404</v>
      </c>
      <c r="E47" s="85">
        <f t="shared" si="11"/>
        <v>-1518473.9100000001</v>
      </c>
    </row>
    <row r="48" spans="1:20" x14ac:dyDescent="0.3">
      <c r="A48" s="129"/>
      <c r="B48" s="89"/>
      <c r="C48" s="89"/>
      <c r="D48" s="89"/>
      <c r="E48" s="89"/>
    </row>
    <row r="49" spans="1:20" x14ac:dyDescent="0.3">
      <c r="A49" s="1059" t="s">
        <v>319</v>
      </c>
      <c r="B49" s="1059"/>
      <c r="C49" s="1059"/>
      <c r="D49" s="1059"/>
      <c r="E49" s="1059"/>
    </row>
    <row r="50" spans="1:20" x14ac:dyDescent="0.3">
      <c r="A50" s="130" t="s">
        <v>320</v>
      </c>
      <c r="B50" s="131"/>
    </row>
    <row r="51" spans="1:20" x14ac:dyDescent="0.3">
      <c r="A51" s="135" t="s">
        <v>310</v>
      </c>
      <c r="B51" s="88" t="s">
        <v>321</v>
      </c>
      <c r="C51" s="85">
        <f>+C52-C53</f>
        <v>1492070</v>
      </c>
      <c r="D51" s="85">
        <f t="shared" ref="D51:E51" si="12">+D52-D53</f>
        <v>26404</v>
      </c>
      <c r="E51" s="85">
        <f t="shared" si="12"/>
        <v>1518474</v>
      </c>
    </row>
    <row r="52" spans="1:20" x14ac:dyDescent="0.3">
      <c r="A52" s="136" t="s">
        <v>314</v>
      </c>
      <c r="B52" s="86" t="s">
        <v>418</v>
      </c>
      <c r="C52" s="87">
        <f>+C20</f>
        <v>1492070</v>
      </c>
      <c r="D52" s="87">
        <f t="shared" ref="D52:E52" si="13">+D20</f>
        <v>892558</v>
      </c>
      <c r="E52" s="87">
        <f t="shared" si="13"/>
        <v>2384628</v>
      </c>
    </row>
    <row r="53" spans="1:20" x14ac:dyDescent="0.3">
      <c r="A53" s="136" t="s">
        <v>315</v>
      </c>
      <c r="B53" s="86" t="s">
        <v>419</v>
      </c>
      <c r="C53" s="87">
        <f>+C42</f>
        <v>0</v>
      </c>
      <c r="D53" s="87">
        <f t="shared" ref="D53:E53" si="14">+D42</f>
        <v>866154</v>
      </c>
      <c r="E53" s="87">
        <f t="shared" si="14"/>
        <v>866154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</row>
    <row r="54" spans="1:20" x14ac:dyDescent="0.3">
      <c r="A54" s="129"/>
      <c r="B54" s="89"/>
      <c r="C54" s="89"/>
      <c r="D54" s="89"/>
      <c r="E54" s="89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</row>
    <row r="55" spans="1:20" x14ac:dyDescent="0.3">
      <c r="A55" s="130" t="s">
        <v>322</v>
      </c>
      <c r="B55" s="131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x14ac:dyDescent="0.3">
      <c r="A56" s="105"/>
      <c r="B56" s="88" t="s">
        <v>585</v>
      </c>
      <c r="C56" s="85">
        <f>+C25-C43</f>
        <v>8.9999999850988388E-2</v>
      </c>
      <c r="D56" s="85">
        <f t="shared" ref="D56:E56" si="15">+D25-D43</f>
        <v>0</v>
      </c>
      <c r="E56" s="85">
        <f t="shared" si="15"/>
        <v>8.9999999850988388E-2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x14ac:dyDescent="0.3">
      <c r="A57" s="129"/>
      <c r="B57" s="89"/>
      <c r="C57" s="89"/>
      <c r="D57" s="89"/>
      <c r="E57" s="89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</row>
    <row r="58" spans="1:20" x14ac:dyDescent="0.3">
      <c r="A58" s="129"/>
      <c r="B58" s="89"/>
      <c r="C58" s="89"/>
      <c r="D58" s="89"/>
      <c r="E58" s="89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</row>
    <row r="59" spans="1:20" x14ac:dyDescent="0.3">
      <c r="A59" s="129"/>
      <c r="B59" s="89"/>
      <c r="C59" s="89"/>
      <c r="D59" s="89"/>
      <c r="E59" s="89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</row>
    <row r="60" spans="1:20" x14ac:dyDescent="0.3">
      <c r="A60" s="129"/>
      <c r="B60" s="89"/>
      <c r="C60" s="89"/>
      <c r="D60" s="89"/>
      <c r="E60" s="89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</row>
    <row r="61" spans="1:20" x14ac:dyDescent="0.3">
      <c r="A61" s="129"/>
      <c r="B61" s="89"/>
      <c r="C61" s="89"/>
      <c r="D61" s="89"/>
      <c r="E61" s="89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</row>
    <row r="62" spans="1:20" x14ac:dyDescent="0.3">
      <c r="A62" s="129"/>
      <c r="B62" s="89"/>
      <c r="C62" s="89"/>
      <c r="D62" s="89"/>
      <c r="E62" s="89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</row>
    <row r="63" spans="1:20" x14ac:dyDescent="0.3">
      <c r="A63" s="129"/>
      <c r="B63" s="89"/>
      <c r="C63" s="89"/>
      <c r="D63" s="89"/>
      <c r="E63" s="89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 x14ac:dyDescent="0.3">
      <c r="A64" s="129"/>
      <c r="B64" s="89"/>
      <c r="C64" s="89"/>
      <c r="D64" s="89"/>
      <c r="E64" s="89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</row>
    <row r="65" spans="1:20" x14ac:dyDescent="0.3">
      <c r="A65" s="129"/>
      <c r="B65" s="89"/>
      <c r="C65" s="89"/>
      <c r="D65" s="89"/>
      <c r="E65" s="89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</row>
    <row r="66" spans="1:20" x14ac:dyDescent="0.3">
      <c r="A66" s="129"/>
      <c r="B66" s="89"/>
      <c r="C66" s="89"/>
      <c r="D66" s="89"/>
      <c r="E66" s="89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</row>
    <row r="67" spans="1:20" x14ac:dyDescent="0.3">
      <c r="A67" s="129"/>
      <c r="B67" s="89"/>
      <c r="C67" s="89"/>
      <c r="D67" s="89"/>
      <c r="E67" s="89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</row>
    <row r="68" spans="1:20" x14ac:dyDescent="0.3">
      <c r="A68" s="129"/>
      <c r="B68" s="89"/>
      <c r="C68" s="89"/>
      <c r="D68" s="89"/>
      <c r="E68" s="89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</row>
    <row r="69" spans="1:20" x14ac:dyDescent="0.3">
      <c r="A69" s="129"/>
      <c r="B69" s="89"/>
      <c r="C69" s="89"/>
      <c r="D69" s="89"/>
      <c r="E69" s="89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</row>
    <row r="70" spans="1:20" x14ac:dyDescent="0.3">
      <c r="A70" s="129"/>
      <c r="B70" s="89"/>
      <c r="C70" s="89"/>
      <c r="D70" s="89"/>
      <c r="E70" s="89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</row>
    <row r="71" spans="1:20" x14ac:dyDescent="0.3">
      <c r="A71" s="129"/>
      <c r="B71" s="89"/>
      <c r="C71" s="89"/>
      <c r="D71" s="89"/>
      <c r="E71" s="89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</row>
    <row r="72" spans="1:20" x14ac:dyDescent="0.3">
      <c r="A72" s="129"/>
      <c r="B72" s="89"/>
      <c r="C72" s="89"/>
      <c r="D72" s="89"/>
      <c r="E72" s="89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</row>
    <row r="73" spans="1:20" x14ac:dyDescent="0.3">
      <c r="A73" s="129"/>
      <c r="B73" s="89"/>
      <c r="C73" s="89"/>
      <c r="D73" s="89"/>
      <c r="E73" s="89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</row>
    <row r="74" spans="1:20" x14ac:dyDescent="0.3">
      <c r="A74" s="129"/>
      <c r="B74" s="89"/>
      <c r="C74" s="89"/>
      <c r="D74" s="89"/>
      <c r="E74" s="89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</row>
    <row r="75" spans="1:20" x14ac:dyDescent="0.3">
      <c r="A75" s="129"/>
      <c r="B75" s="89"/>
      <c r="C75" s="89"/>
      <c r="D75" s="89"/>
      <c r="E75" s="89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</row>
    <row r="76" spans="1:20" x14ac:dyDescent="0.3">
      <c r="A76" s="129"/>
      <c r="B76" s="89"/>
      <c r="C76" s="89"/>
      <c r="D76" s="89"/>
      <c r="E76" s="89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</row>
    <row r="77" spans="1:20" x14ac:dyDescent="0.3">
      <c r="A77" s="129"/>
      <c r="B77" s="89"/>
      <c r="C77" s="89"/>
      <c r="D77" s="89"/>
      <c r="E77" s="89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</row>
    <row r="78" spans="1:20" x14ac:dyDescent="0.3">
      <c r="A78" s="129"/>
      <c r="B78" s="89"/>
      <c r="C78" s="89"/>
      <c r="D78" s="89"/>
      <c r="E78" s="89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</row>
    <row r="79" spans="1:20" x14ac:dyDescent="0.3">
      <c r="A79" s="129"/>
      <c r="B79" s="89"/>
      <c r="C79" s="89"/>
      <c r="D79" s="89"/>
      <c r="E79" s="89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</row>
    <row r="80" spans="1:20" x14ac:dyDescent="0.3">
      <c r="A80" s="129"/>
      <c r="B80" s="89"/>
      <c r="C80" s="89"/>
      <c r="D80" s="89"/>
      <c r="E80" s="89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</row>
    <row r="81" spans="1:20" x14ac:dyDescent="0.3">
      <c r="A81" s="129"/>
      <c r="B81" s="89"/>
      <c r="C81" s="89"/>
      <c r="D81" s="89"/>
      <c r="E81" s="89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</row>
    <row r="82" spans="1:20" x14ac:dyDescent="0.3">
      <c r="A82" s="129"/>
      <c r="B82" s="89"/>
      <c r="C82" s="89"/>
      <c r="D82" s="89"/>
      <c r="E82" s="89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</row>
    <row r="83" spans="1:20" x14ac:dyDescent="0.3">
      <c r="A83" s="129"/>
      <c r="B83" s="89"/>
      <c r="C83" s="89"/>
      <c r="D83" s="89"/>
      <c r="E83" s="89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</row>
    <row r="84" spans="1:20" x14ac:dyDescent="0.3">
      <c r="A84" s="129"/>
      <c r="B84" s="89"/>
      <c r="C84" s="89"/>
      <c r="D84" s="89"/>
      <c r="E84" s="89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</row>
    <row r="85" spans="1:20" x14ac:dyDescent="0.3">
      <c r="A85" s="129"/>
      <c r="B85" s="89"/>
      <c r="C85" s="89"/>
      <c r="D85" s="89"/>
      <c r="E85" s="89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x14ac:dyDescent="0.3">
      <c r="A86" s="129"/>
      <c r="B86" s="89"/>
      <c r="C86" s="89"/>
      <c r="D86" s="89"/>
      <c r="E86" s="89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</row>
    <row r="87" spans="1:20" x14ac:dyDescent="0.3">
      <c r="A87" s="129"/>
      <c r="B87" s="89"/>
      <c r="C87" s="89"/>
      <c r="D87" s="89"/>
      <c r="E87" s="89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</row>
    <row r="88" spans="1:20" x14ac:dyDescent="0.3">
      <c r="A88" s="129"/>
      <c r="B88" s="89"/>
      <c r="C88" s="89"/>
      <c r="D88" s="89"/>
      <c r="E88" s="89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</row>
    <row r="89" spans="1:20" x14ac:dyDescent="0.3">
      <c r="A89" s="129"/>
      <c r="B89" s="89"/>
      <c r="C89" s="89"/>
      <c r="D89" s="89"/>
      <c r="E89" s="89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</row>
    <row r="90" spans="1:20" x14ac:dyDescent="0.3">
      <c r="A90" s="129"/>
      <c r="B90" s="89"/>
      <c r="C90" s="89"/>
      <c r="D90" s="89"/>
      <c r="E90" s="89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</row>
    <row r="91" spans="1:20" x14ac:dyDescent="0.3">
      <c r="A91" s="129"/>
      <c r="B91" s="89"/>
      <c r="C91" s="89"/>
      <c r="D91" s="89"/>
      <c r="E91" s="89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</row>
    <row r="92" spans="1:20" x14ac:dyDescent="0.3">
      <c r="A92" s="129"/>
      <c r="B92" s="89"/>
      <c r="C92" s="89"/>
      <c r="D92" s="89"/>
      <c r="E92" s="89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</row>
    <row r="93" spans="1:20" x14ac:dyDescent="0.3">
      <c r="A93" s="129"/>
      <c r="B93" s="89"/>
      <c r="C93" s="89"/>
      <c r="D93" s="89"/>
      <c r="E93" s="89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</row>
    <row r="94" spans="1:20" x14ac:dyDescent="0.3">
      <c r="A94" s="129"/>
      <c r="B94" s="89"/>
      <c r="C94" s="89"/>
      <c r="D94" s="89"/>
      <c r="E94" s="89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</row>
    <row r="95" spans="1:20" x14ac:dyDescent="0.3">
      <c r="A95" s="129"/>
      <c r="B95" s="89"/>
      <c r="C95" s="89"/>
      <c r="D95" s="89"/>
      <c r="E95" s="89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</row>
    <row r="96" spans="1:20" x14ac:dyDescent="0.3">
      <c r="A96" s="129"/>
      <c r="B96" s="89"/>
      <c r="C96" s="89"/>
      <c r="D96" s="89"/>
      <c r="E96" s="89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</row>
    <row r="97" spans="1:20" x14ac:dyDescent="0.3">
      <c r="A97" s="129"/>
      <c r="B97" s="89"/>
      <c r="C97" s="89"/>
      <c r="D97" s="89"/>
      <c r="E97" s="89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</row>
    <row r="98" spans="1:20" x14ac:dyDescent="0.3">
      <c r="A98" s="129"/>
      <c r="B98" s="89"/>
      <c r="C98" s="89"/>
      <c r="D98" s="89"/>
      <c r="E98" s="89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</row>
    <row r="99" spans="1:20" x14ac:dyDescent="0.3">
      <c r="A99" s="129"/>
      <c r="B99" s="89"/>
      <c r="C99" s="89"/>
      <c r="D99" s="89"/>
      <c r="E99" s="89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</row>
    <row r="100" spans="1:20" x14ac:dyDescent="0.3">
      <c r="A100" s="129"/>
      <c r="B100" s="89"/>
      <c r="C100" s="89"/>
      <c r="D100" s="89"/>
      <c r="E100" s="89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</row>
    <row r="101" spans="1:20" x14ac:dyDescent="0.3">
      <c r="A101" s="129"/>
      <c r="B101" s="89"/>
      <c r="C101" s="89"/>
      <c r="D101" s="89"/>
      <c r="E101" s="89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</row>
    <row r="102" spans="1:20" x14ac:dyDescent="0.3">
      <c r="A102" s="129"/>
      <c r="B102" s="89"/>
      <c r="C102" s="89"/>
      <c r="D102" s="89"/>
      <c r="E102" s="89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</row>
    <row r="103" spans="1:20" x14ac:dyDescent="0.3">
      <c r="A103" s="129"/>
      <c r="B103" s="89"/>
      <c r="C103" s="89"/>
      <c r="D103" s="89"/>
      <c r="E103" s="89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</row>
    <row r="104" spans="1:20" x14ac:dyDescent="0.3">
      <c r="A104" s="129"/>
      <c r="B104" s="89"/>
      <c r="C104" s="89"/>
      <c r="D104" s="89"/>
      <c r="E104" s="89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</row>
    <row r="105" spans="1:20" x14ac:dyDescent="0.3">
      <c r="A105" s="129"/>
      <c r="B105" s="89"/>
      <c r="C105" s="89"/>
      <c r="D105" s="89"/>
      <c r="E105" s="89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</row>
    <row r="106" spans="1:20" x14ac:dyDescent="0.3">
      <c r="A106" s="129"/>
      <c r="B106" s="89"/>
      <c r="C106" s="89"/>
      <c r="D106" s="89"/>
      <c r="E106" s="89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</row>
    <row r="107" spans="1:20" x14ac:dyDescent="0.3">
      <c r="A107" s="129"/>
      <c r="B107" s="89"/>
      <c r="C107" s="89"/>
      <c r="D107" s="89"/>
      <c r="E107" s="89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</row>
    <row r="108" spans="1:20" x14ac:dyDescent="0.3">
      <c r="A108" s="129"/>
      <c r="B108" s="89"/>
      <c r="C108" s="89"/>
      <c r="D108" s="89"/>
      <c r="E108" s="89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</row>
    <row r="109" spans="1:20" x14ac:dyDescent="0.3">
      <c r="A109" s="129"/>
      <c r="B109" s="89"/>
      <c r="C109" s="89"/>
      <c r="D109" s="89"/>
      <c r="E109" s="89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</row>
    <row r="110" spans="1:20" x14ac:dyDescent="0.3">
      <c r="A110" s="129"/>
      <c r="B110" s="89"/>
      <c r="C110" s="89"/>
      <c r="D110" s="89"/>
      <c r="E110" s="89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</row>
    <row r="111" spans="1:20" x14ac:dyDescent="0.3">
      <c r="A111" s="129"/>
      <c r="B111" s="89"/>
      <c r="C111" s="89"/>
      <c r="D111" s="89"/>
      <c r="E111" s="89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</row>
    <row r="112" spans="1:20" x14ac:dyDescent="0.3">
      <c r="A112" s="129"/>
      <c r="B112" s="89"/>
      <c r="C112" s="89"/>
      <c r="D112" s="89"/>
      <c r="E112" s="89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</row>
    <row r="113" spans="1:20" x14ac:dyDescent="0.3">
      <c r="A113" s="129"/>
      <c r="B113" s="89"/>
      <c r="C113" s="89"/>
      <c r="D113" s="89"/>
      <c r="E113" s="89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</row>
    <row r="114" spans="1:20" x14ac:dyDescent="0.3">
      <c r="A114" s="129"/>
      <c r="B114" s="89"/>
      <c r="C114" s="89"/>
      <c r="D114" s="89"/>
      <c r="E114" s="89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</row>
    <row r="115" spans="1:20" x14ac:dyDescent="0.3">
      <c r="A115" s="129"/>
      <c r="B115" s="89"/>
      <c r="C115" s="89"/>
      <c r="D115" s="89"/>
      <c r="E115" s="89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</row>
    <row r="116" spans="1:20" x14ac:dyDescent="0.3">
      <c r="A116" s="129"/>
      <c r="B116" s="89"/>
      <c r="C116" s="89"/>
      <c r="D116" s="89"/>
      <c r="E116" s="89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</row>
    <row r="117" spans="1:20" s="89" customFormat="1" ht="10.199999999999999" x14ac:dyDescent="0.2">
      <c r="A117" s="129"/>
    </row>
    <row r="118" spans="1:20" s="89" customFormat="1" ht="10.199999999999999" x14ac:dyDescent="0.2">
      <c r="A118" s="129"/>
    </row>
    <row r="119" spans="1:20" s="89" customFormat="1" ht="10.199999999999999" x14ac:dyDescent="0.2">
      <c r="A119" s="129"/>
    </row>
    <row r="120" spans="1:20" s="89" customFormat="1" ht="10.199999999999999" x14ac:dyDescent="0.2">
      <c r="A120" s="129"/>
    </row>
    <row r="121" spans="1:20" s="89" customFormat="1" ht="10.199999999999999" x14ac:dyDescent="0.2">
      <c r="A121" s="129"/>
    </row>
    <row r="122" spans="1:20" s="89" customFormat="1" ht="10.199999999999999" x14ac:dyDescent="0.2">
      <c r="A122" s="129"/>
    </row>
    <row r="123" spans="1:20" s="89" customFormat="1" ht="10.199999999999999" x14ac:dyDescent="0.2">
      <c r="A123" s="129"/>
    </row>
    <row r="124" spans="1:20" s="89" customFormat="1" ht="10.199999999999999" x14ac:dyDescent="0.2">
      <c r="A124" s="129"/>
    </row>
    <row r="125" spans="1:20" s="89" customFormat="1" ht="10.199999999999999" x14ac:dyDescent="0.2">
      <c r="A125" s="129"/>
    </row>
    <row r="126" spans="1:20" s="89" customFormat="1" ht="10.199999999999999" x14ac:dyDescent="0.2">
      <c r="A126" s="129"/>
    </row>
    <row r="127" spans="1:20" s="89" customFormat="1" ht="10.199999999999999" x14ac:dyDescent="0.2">
      <c r="A127" s="129"/>
    </row>
    <row r="128" spans="1:20" s="89" customFormat="1" x14ac:dyDescent="0.3">
      <c r="A128" s="132"/>
      <c r="B128" s="126"/>
      <c r="C128" s="126"/>
      <c r="D128" s="126"/>
      <c r="E128" s="126"/>
    </row>
    <row r="129" spans="1:5" s="89" customFormat="1" x14ac:dyDescent="0.3">
      <c r="A129" s="132"/>
      <c r="B129" s="126"/>
      <c r="C129" s="126"/>
      <c r="D129" s="126"/>
      <c r="E129" s="126"/>
    </row>
  </sheetData>
  <mergeCells count="7">
    <mergeCell ref="A25:B25"/>
    <mergeCell ref="A43:B43"/>
    <mergeCell ref="A45:E45"/>
    <mergeCell ref="A49:E49"/>
    <mergeCell ref="A2:B2"/>
    <mergeCell ref="A27:E27"/>
    <mergeCell ref="A28:B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&amp;C&amp;"Times New Roman,Félkövér"&amp;14Martonvásár Város Önkormányzat 2018.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6"/>
  <sheetViews>
    <sheetView topLeftCell="A61" zoomScale="89" zoomScaleNormal="89" zoomScalePageLayoutView="70" workbookViewId="0">
      <selection activeCell="K66" sqref="K66"/>
    </sheetView>
  </sheetViews>
  <sheetFormatPr defaultColWidth="8.6640625" defaultRowHeight="14.4" x14ac:dyDescent="0.3"/>
  <cols>
    <col min="1" max="1" width="7.109375" style="194" customWidth="1"/>
    <col min="2" max="2" width="7.109375" style="195" customWidth="1"/>
    <col min="3" max="3" width="25.6640625" style="195" customWidth="1"/>
    <col min="4" max="4" width="7.6640625" style="196" customWidth="1"/>
    <col min="5" max="5" width="7.109375" style="196" customWidth="1"/>
    <col min="6" max="7" width="7.6640625" style="196" customWidth="1"/>
    <col min="8" max="8" width="6.44140625" style="196" customWidth="1"/>
    <col min="9" max="9" width="6" style="196" customWidth="1"/>
    <col min="10" max="10" width="6.88671875" style="196" customWidth="1"/>
    <col min="11" max="11" width="7.6640625" style="196" customWidth="1"/>
    <col min="12" max="12" width="7.33203125" style="196" customWidth="1"/>
    <col min="13" max="13" width="7" style="196" customWidth="1"/>
    <col min="14" max="14" width="6.5546875" style="196" customWidth="1"/>
    <col min="15" max="18" width="7" style="196" customWidth="1"/>
    <col min="19" max="19" width="7.44140625" style="196" customWidth="1"/>
    <col min="20" max="20" width="7.33203125" style="196" customWidth="1"/>
    <col min="21" max="21" width="7" style="196" customWidth="1"/>
    <col min="22" max="16384" width="8.6640625" style="164"/>
  </cols>
  <sheetData>
    <row r="1" spans="1:26" x14ac:dyDescent="0.3">
      <c r="A1" s="165"/>
      <c r="B1" s="166"/>
      <c r="C1" s="166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</row>
    <row r="2" spans="1:26" ht="42" customHeight="1" x14ac:dyDescent="0.3">
      <c r="A2" s="1268" t="s">
        <v>0</v>
      </c>
      <c r="B2" s="1277" t="s">
        <v>182</v>
      </c>
      <c r="C2" s="1278"/>
      <c r="D2" s="1271" t="s">
        <v>180</v>
      </c>
      <c r="E2" s="1272"/>
      <c r="F2" s="1273"/>
      <c r="G2" s="1259" t="s">
        <v>297</v>
      </c>
      <c r="H2" s="1260"/>
      <c r="I2" s="1261"/>
      <c r="J2" s="1259" t="s">
        <v>298</v>
      </c>
      <c r="K2" s="1260"/>
      <c r="L2" s="1261"/>
      <c r="M2" s="1259" t="s">
        <v>299</v>
      </c>
      <c r="N2" s="1260"/>
      <c r="O2" s="1261"/>
      <c r="P2" s="1259" t="s">
        <v>906</v>
      </c>
      <c r="Q2" s="1260"/>
      <c r="R2" s="1261"/>
      <c r="S2" s="1259" t="s">
        <v>300</v>
      </c>
      <c r="T2" s="1260"/>
      <c r="U2" s="1261"/>
    </row>
    <row r="3" spans="1:26" ht="15" customHeight="1" x14ac:dyDescent="0.3">
      <c r="A3" s="1269"/>
      <c r="B3" s="1279"/>
      <c r="C3" s="1280"/>
      <c r="D3" s="1274"/>
      <c r="E3" s="1275"/>
      <c r="F3" s="1276"/>
      <c r="G3" s="1259" t="s">
        <v>189</v>
      </c>
      <c r="H3" s="1260"/>
      <c r="I3" s="1261"/>
      <c r="J3" s="1259" t="s">
        <v>189</v>
      </c>
      <c r="K3" s="1260"/>
      <c r="L3" s="1261"/>
      <c r="M3" s="1259" t="s">
        <v>189</v>
      </c>
      <c r="N3" s="1260"/>
      <c r="O3" s="1261"/>
      <c r="P3" s="1259" t="s">
        <v>189</v>
      </c>
      <c r="Q3" s="1260"/>
      <c r="R3" s="1261"/>
      <c r="S3" s="1259" t="s">
        <v>189</v>
      </c>
      <c r="T3" s="1260"/>
      <c r="U3" s="1261"/>
    </row>
    <row r="4" spans="1:26" s="168" customFormat="1" ht="25.5" customHeight="1" x14ac:dyDescent="0.3">
      <c r="A4" s="1270"/>
      <c r="B4" s="1281"/>
      <c r="C4" s="1282"/>
      <c r="D4" s="660" t="s">
        <v>177</v>
      </c>
      <c r="E4" s="660" t="s">
        <v>792</v>
      </c>
      <c r="F4" s="660" t="s">
        <v>796</v>
      </c>
      <c r="G4" s="660" t="s">
        <v>177</v>
      </c>
      <c r="H4" s="660" t="s">
        <v>792</v>
      </c>
      <c r="I4" s="660" t="s">
        <v>796</v>
      </c>
      <c r="J4" s="660" t="s">
        <v>177</v>
      </c>
      <c r="K4" s="660" t="s">
        <v>792</v>
      </c>
      <c r="L4" s="660" t="s">
        <v>796</v>
      </c>
      <c r="M4" s="660" t="s">
        <v>177</v>
      </c>
      <c r="N4" s="660" t="s">
        <v>792</v>
      </c>
      <c r="O4" s="660" t="s">
        <v>796</v>
      </c>
      <c r="P4" s="660" t="s">
        <v>177</v>
      </c>
      <c r="Q4" s="660" t="s">
        <v>792</v>
      </c>
      <c r="R4" s="660" t="s">
        <v>796</v>
      </c>
      <c r="S4" s="660" t="s">
        <v>177</v>
      </c>
      <c r="T4" s="660" t="s">
        <v>792</v>
      </c>
      <c r="U4" s="660" t="s">
        <v>796</v>
      </c>
    </row>
    <row r="5" spans="1:26" ht="26.25" customHeight="1" x14ac:dyDescent="0.3">
      <c r="A5" s="169" t="s">
        <v>2</v>
      </c>
      <c r="B5" s="1262" t="s">
        <v>1</v>
      </c>
      <c r="C5" s="1263"/>
      <c r="D5" s="765">
        <f>+G5+J5+M5+S5</f>
        <v>21275</v>
      </c>
      <c r="E5" s="765">
        <f>+H5+K5+N5+T5</f>
        <v>-59</v>
      </c>
      <c r="F5" s="765">
        <f>+I5+L5+O5+U5</f>
        <v>21216</v>
      </c>
      <c r="G5" s="765">
        <v>11611</v>
      </c>
      <c r="H5" s="765">
        <f>-3+215-452-41-28-4</f>
        <v>-313</v>
      </c>
      <c r="I5" s="765">
        <f>+H5+G5</f>
        <v>11298</v>
      </c>
      <c r="J5" s="765">
        <v>5150</v>
      </c>
      <c r="K5" s="765">
        <v>130</v>
      </c>
      <c r="L5" s="765">
        <f>+K5+J5</f>
        <v>5280</v>
      </c>
      <c r="M5" s="765">
        <v>2147</v>
      </c>
      <c r="N5" s="765">
        <v>67</v>
      </c>
      <c r="O5" s="765">
        <f>+N5+M5</f>
        <v>2214</v>
      </c>
      <c r="P5" s="765"/>
      <c r="Q5" s="765"/>
      <c r="R5" s="765"/>
      <c r="S5" s="765">
        <v>2367</v>
      </c>
      <c r="T5" s="765">
        <v>57</v>
      </c>
      <c r="U5" s="765">
        <f>+T5+S5</f>
        <v>2424</v>
      </c>
      <c r="Z5" s="164" t="s">
        <v>700</v>
      </c>
    </row>
    <row r="6" spans="1:26" ht="15" customHeight="1" x14ac:dyDescent="0.3">
      <c r="A6" s="169" t="s">
        <v>4</v>
      </c>
      <c r="B6" s="1262" t="s">
        <v>3</v>
      </c>
      <c r="C6" s="1263"/>
      <c r="D6" s="765">
        <f t="shared" ref="D6:F18" si="0">+G6+J6+M6+S6</f>
        <v>0</v>
      </c>
      <c r="E6" s="765">
        <f t="shared" si="0"/>
        <v>0</v>
      </c>
      <c r="F6" s="765">
        <f t="shared" si="0"/>
        <v>0</v>
      </c>
      <c r="G6" s="765"/>
      <c r="H6" s="765"/>
      <c r="I6" s="765">
        <f t="shared" ref="I6:I18" si="1">+H6+G6</f>
        <v>0</v>
      </c>
      <c r="J6" s="765"/>
      <c r="K6" s="765"/>
      <c r="L6" s="765">
        <f t="shared" ref="L6:L18" si="2">+K6+J6</f>
        <v>0</v>
      </c>
      <c r="M6" s="765"/>
      <c r="N6" s="765"/>
      <c r="O6" s="765">
        <f t="shared" ref="O6:O18" si="3">+N6+M6</f>
        <v>0</v>
      </c>
      <c r="P6" s="765"/>
      <c r="Q6" s="765"/>
      <c r="R6" s="765"/>
      <c r="S6" s="765"/>
      <c r="T6" s="765"/>
      <c r="U6" s="765">
        <f t="shared" ref="U6:U18" si="4">+T6+S6</f>
        <v>0</v>
      </c>
    </row>
    <row r="7" spans="1:26" ht="15" customHeight="1" x14ac:dyDescent="0.3">
      <c r="A7" s="169" t="s">
        <v>6</v>
      </c>
      <c r="B7" s="1262" t="s">
        <v>5</v>
      </c>
      <c r="C7" s="1263"/>
      <c r="D7" s="765">
        <f t="shared" si="0"/>
        <v>0</v>
      </c>
      <c r="E7" s="765">
        <f t="shared" si="0"/>
        <v>0</v>
      </c>
      <c r="F7" s="765">
        <f t="shared" si="0"/>
        <v>0</v>
      </c>
      <c r="G7" s="765"/>
      <c r="H7" s="765"/>
      <c r="I7" s="765">
        <f t="shared" si="1"/>
        <v>0</v>
      </c>
      <c r="J7" s="765"/>
      <c r="K7" s="765"/>
      <c r="L7" s="765">
        <f t="shared" si="2"/>
        <v>0</v>
      </c>
      <c r="M7" s="765"/>
      <c r="N7" s="765"/>
      <c r="O7" s="765">
        <f t="shared" si="3"/>
        <v>0</v>
      </c>
      <c r="P7" s="765"/>
      <c r="Q7" s="765"/>
      <c r="R7" s="765"/>
      <c r="S7" s="765"/>
      <c r="T7" s="765"/>
      <c r="U7" s="765">
        <f t="shared" si="4"/>
        <v>0</v>
      </c>
    </row>
    <row r="8" spans="1:26" ht="27" customHeight="1" x14ac:dyDescent="0.3">
      <c r="A8" s="169" t="s">
        <v>8</v>
      </c>
      <c r="B8" s="1262" t="s">
        <v>7</v>
      </c>
      <c r="C8" s="1263"/>
      <c r="D8" s="765">
        <f t="shared" si="0"/>
        <v>0</v>
      </c>
      <c r="E8" s="765">
        <f t="shared" si="0"/>
        <v>0</v>
      </c>
      <c r="F8" s="765">
        <f t="shared" si="0"/>
        <v>0</v>
      </c>
      <c r="G8" s="765"/>
      <c r="H8" s="765"/>
      <c r="I8" s="765">
        <f t="shared" si="1"/>
        <v>0</v>
      </c>
      <c r="J8" s="765"/>
      <c r="K8" s="765"/>
      <c r="L8" s="765">
        <f t="shared" si="2"/>
        <v>0</v>
      </c>
      <c r="M8" s="765"/>
      <c r="N8" s="765"/>
      <c r="O8" s="765">
        <f t="shared" si="3"/>
        <v>0</v>
      </c>
      <c r="P8" s="765"/>
      <c r="Q8" s="765"/>
      <c r="R8" s="765"/>
      <c r="S8" s="765"/>
      <c r="T8" s="765"/>
      <c r="U8" s="765">
        <f t="shared" si="4"/>
        <v>0</v>
      </c>
    </row>
    <row r="9" spans="1:26" ht="15" customHeight="1" x14ac:dyDescent="0.3">
      <c r="A9" s="169" t="s">
        <v>10</v>
      </c>
      <c r="B9" s="1262" t="s">
        <v>9</v>
      </c>
      <c r="C9" s="1263"/>
      <c r="D9" s="765">
        <f t="shared" si="0"/>
        <v>0</v>
      </c>
      <c r="E9" s="765">
        <f t="shared" si="0"/>
        <v>0</v>
      </c>
      <c r="F9" s="765">
        <f t="shared" si="0"/>
        <v>0</v>
      </c>
      <c r="G9" s="765"/>
      <c r="H9" s="765"/>
      <c r="I9" s="765">
        <f t="shared" si="1"/>
        <v>0</v>
      </c>
      <c r="J9" s="765"/>
      <c r="K9" s="765"/>
      <c r="L9" s="765">
        <f t="shared" si="2"/>
        <v>0</v>
      </c>
      <c r="M9" s="765"/>
      <c r="N9" s="765"/>
      <c r="O9" s="765">
        <f t="shared" si="3"/>
        <v>0</v>
      </c>
      <c r="P9" s="765"/>
      <c r="Q9" s="765"/>
      <c r="R9" s="765"/>
      <c r="S9" s="765"/>
      <c r="T9" s="765"/>
      <c r="U9" s="765">
        <f t="shared" si="4"/>
        <v>0</v>
      </c>
    </row>
    <row r="10" spans="1:26" ht="15" customHeight="1" x14ac:dyDescent="0.3">
      <c r="A10" s="169" t="s">
        <v>12</v>
      </c>
      <c r="B10" s="1262" t="s">
        <v>11</v>
      </c>
      <c r="C10" s="1263"/>
      <c r="D10" s="765">
        <f t="shared" si="0"/>
        <v>0</v>
      </c>
      <c r="E10" s="765">
        <f t="shared" si="0"/>
        <v>0</v>
      </c>
      <c r="F10" s="765">
        <f t="shared" si="0"/>
        <v>0</v>
      </c>
      <c r="G10" s="765"/>
      <c r="H10" s="765"/>
      <c r="I10" s="765">
        <f t="shared" si="1"/>
        <v>0</v>
      </c>
      <c r="J10" s="765"/>
      <c r="K10" s="765"/>
      <c r="L10" s="765">
        <f t="shared" si="2"/>
        <v>0</v>
      </c>
      <c r="M10" s="765"/>
      <c r="N10" s="765"/>
      <c r="O10" s="765">
        <f t="shared" si="3"/>
        <v>0</v>
      </c>
      <c r="P10" s="765"/>
      <c r="Q10" s="765"/>
      <c r="R10" s="765"/>
      <c r="S10" s="765"/>
      <c r="T10" s="765"/>
      <c r="U10" s="765">
        <f t="shared" si="4"/>
        <v>0</v>
      </c>
    </row>
    <row r="11" spans="1:26" ht="15" customHeight="1" x14ac:dyDescent="0.3">
      <c r="A11" s="169" t="s">
        <v>14</v>
      </c>
      <c r="B11" s="1262" t="s">
        <v>13</v>
      </c>
      <c r="C11" s="1263"/>
      <c r="D11" s="765">
        <f t="shared" si="0"/>
        <v>420</v>
      </c>
      <c r="E11" s="765">
        <f t="shared" si="0"/>
        <v>0</v>
      </c>
      <c r="F11" s="765">
        <f t="shared" si="0"/>
        <v>420</v>
      </c>
      <c r="G11" s="765">
        <v>240</v>
      </c>
      <c r="H11" s="765"/>
      <c r="I11" s="765">
        <f t="shared" si="1"/>
        <v>240</v>
      </c>
      <c r="J11" s="765">
        <v>120</v>
      </c>
      <c r="K11" s="765"/>
      <c r="L11" s="765">
        <f t="shared" si="2"/>
        <v>120</v>
      </c>
      <c r="M11" s="765"/>
      <c r="N11" s="765"/>
      <c r="O11" s="765">
        <f t="shared" si="3"/>
        <v>0</v>
      </c>
      <c r="P11" s="765"/>
      <c r="Q11" s="765"/>
      <c r="R11" s="765"/>
      <c r="S11" s="765">
        <v>60</v>
      </c>
      <c r="T11" s="765"/>
      <c r="U11" s="765">
        <f t="shared" si="4"/>
        <v>60</v>
      </c>
    </row>
    <row r="12" spans="1:26" ht="15" customHeight="1" x14ac:dyDescent="0.3">
      <c r="A12" s="169" t="s">
        <v>16</v>
      </c>
      <c r="B12" s="1262" t="s">
        <v>15</v>
      </c>
      <c r="C12" s="1263"/>
      <c r="D12" s="765">
        <f t="shared" si="0"/>
        <v>0</v>
      </c>
      <c r="E12" s="765">
        <f t="shared" si="0"/>
        <v>0</v>
      </c>
      <c r="F12" s="765">
        <f t="shared" si="0"/>
        <v>0</v>
      </c>
      <c r="G12" s="765"/>
      <c r="H12" s="765"/>
      <c r="I12" s="765">
        <f t="shared" si="1"/>
        <v>0</v>
      </c>
      <c r="J12" s="765"/>
      <c r="K12" s="765"/>
      <c r="L12" s="765">
        <f t="shared" si="2"/>
        <v>0</v>
      </c>
      <c r="M12" s="765"/>
      <c r="N12" s="765"/>
      <c r="O12" s="765">
        <f t="shared" si="3"/>
        <v>0</v>
      </c>
      <c r="P12" s="765"/>
      <c r="Q12" s="765"/>
      <c r="R12" s="765"/>
      <c r="S12" s="765"/>
      <c r="T12" s="765"/>
      <c r="U12" s="765">
        <f t="shared" si="4"/>
        <v>0</v>
      </c>
    </row>
    <row r="13" spans="1:26" ht="15" customHeight="1" x14ac:dyDescent="0.3">
      <c r="A13" s="169" t="s">
        <v>18</v>
      </c>
      <c r="B13" s="1262" t="s">
        <v>17</v>
      </c>
      <c r="C13" s="1263"/>
      <c r="D13" s="765">
        <f t="shared" si="0"/>
        <v>723</v>
      </c>
      <c r="E13" s="765">
        <f t="shared" si="0"/>
        <v>0</v>
      </c>
      <c r="F13" s="765">
        <f t="shared" si="0"/>
        <v>723</v>
      </c>
      <c r="G13" s="765">
        <v>248</v>
      </c>
      <c r="H13" s="765"/>
      <c r="I13" s="765">
        <f t="shared" si="1"/>
        <v>248</v>
      </c>
      <c r="J13" s="765"/>
      <c r="K13" s="765"/>
      <c r="L13" s="765">
        <f t="shared" si="2"/>
        <v>0</v>
      </c>
      <c r="M13" s="765">
        <v>414</v>
      </c>
      <c r="N13" s="765"/>
      <c r="O13" s="765">
        <f t="shared" si="3"/>
        <v>414</v>
      </c>
      <c r="P13" s="765"/>
      <c r="Q13" s="765"/>
      <c r="R13" s="765"/>
      <c r="S13" s="765">
        <v>61</v>
      </c>
      <c r="T13" s="765"/>
      <c r="U13" s="765">
        <f t="shared" si="4"/>
        <v>61</v>
      </c>
    </row>
    <row r="14" spans="1:26" ht="15" customHeight="1" x14ac:dyDescent="0.3">
      <c r="A14" s="169" t="s">
        <v>20</v>
      </c>
      <c r="B14" s="1262" t="s">
        <v>19</v>
      </c>
      <c r="C14" s="1263"/>
      <c r="D14" s="765">
        <f t="shared" si="0"/>
        <v>0</v>
      </c>
      <c r="E14" s="765">
        <f t="shared" si="0"/>
        <v>0</v>
      </c>
      <c r="F14" s="765">
        <f t="shared" si="0"/>
        <v>0</v>
      </c>
      <c r="G14" s="765"/>
      <c r="H14" s="765"/>
      <c r="I14" s="765">
        <f t="shared" si="1"/>
        <v>0</v>
      </c>
      <c r="J14" s="765"/>
      <c r="K14" s="765"/>
      <c r="L14" s="765">
        <f t="shared" si="2"/>
        <v>0</v>
      </c>
      <c r="M14" s="765"/>
      <c r="N14" s="765"/>
      <c r="O14" s="765">
        <f t="shared" si="3"/>
        <v>0</v>
      </c>
      <c r="P14" s="765"/>
      <c r="Q14" s="765"/>
      <c r="R14" s="765"/>
      <c r="S14" s="765"/>
      <c r="T14" s="765"/>
      <c r="U14" s="765">
        <f t="shared" si="4"/>
        <v>0</v>
      </c>
    </row>
    <row r="15" spans="1:26" ht="15" customHeight="1" x14ac:dyDescent="0.3">
      <c r="A15" s="169" t="s">
        <v>22</v>
      </c>
      <c r="B15" s="1262" t="s">
        <v>21</v>
      </c>
      <c r="C15" s="1263"/>
      <c r="D15" s="765">
        <f t="shared" si="0"/>
        <v>41</v>
      </c>
      <c r="E15" s="765">
        <f t="shared" si="0"/>
        <v>493</v>
      </c>
      <c r="F15" s="765">
        <f t="shared" si="0"/>
        <v>534</v>
      </c>
      <c r="G15" s="765">
        <v>41</v>
      </c>
      <c r="H15" s="765">
        <f>452+41</f>
        <v>493</v>
      </c>
      <c r="I15" s="765">
        <f t="shared" si="1"/>
        <v>534</v>
      </c>
      <c r="J15" s="765"/>
      <c r="K15" s="765"/>
      <c r="L15" s="765">
        <f t="shared" si="2"/>
        <v>0</v>
      </c>
      <c r="M15" s="765"/>
      <c r="N15" s="765"/>
      <c r="O15" s="765">
        <f t="shared" si="3"/>
        <v>0</v>
      </c>
      <c r="P15" s="765"/>
      <c r="Q15" s="765"/>
      <c r="R15" s="765"/>
      <c r="S15" s="765"/>
      <c r="T15" s="765"/>
      <c r="U15" s="765">
        <f t="shared" si="4"/>
        <v>0</v>
      </c>
    </row>
    <row r="16" spans="1:26" ht="15" customHeight="1" x14ac:dyDescent="0.3">
      <c r="A16" s="169" t="s">
        <v>24</v>
      </c>
      <c r="B16" s="1262" t="s">
        <v>23</v>
      </c>
      <c r="C16" s="1263"/>
      <c r="D16" s="765">
        <f t="shared" si="0"/>
        <v>0</v>
      </c>
      <c r="E16" s="765">
        <f t="shared" si="0"/>
        <v>0</v>
      </c>
      <c r="F16" s="765">
        <f t="shared" si="0"/>
        <v>0</v>
      </c>
      <c r="G16" s="765"/>
      <c r="H16" s="765"/>
      <c r="I16" s="765">
        <f t="shared" si="1"/>
        <v>0</v>
      </c>
      <c r="J16" s="765"/>
      <c r="K16" s="765"/>
      <c r="L16" s="765">
        <f t="shared" si="2"/>
        <v>0</v>
      </c>
      <c r="M16" s="765"/>
      <c r="N16" s="765"/>
      <c r="O16" s="765">
        <f t="shared" si="3"/>
        <v>0</v>
      </c>
      <c r="P16" s="765"/>
      <c r="Q16" s="765"/>
      <c r="R16" s="765"/>
      <c r="S16" s="765"/>
      <c r="T16" s="765"/>
      <c r="U16" s="765">
        <f t="shared" si="4"/>
        <v>0</v>
      </c>
    </row>
    <row r="17" spans="1:21" ht="23.25" customHeight="1" x14ac:dyDescent="0.3">
      <c r="A17" s="169" t="s">
        <v>25</v>
      </c>
      <c r="B17" s="1262" t="s">
        <v>175</v>
      </c>
      <c r="C17" s="1263"/>
      <c r="D17" s="765">
        <f t="shared" si="0"/>
        <v>0</v>
      </c>
      <c r="E17" s="765">
        <f t="shared" si="0"/>
        <v>188</v>
      </c>
      <c r="F17" s="765">
        <f t="shared" si="0"/>
        <v>188</v>
      </c>
      <c r="G17" s="765"/>
      <c r="H17" s="765">
        <f>28+76</f>
        <v>104</v>
      </c>
      <c r="I17" s="765">
        <f t="shared" si="1"/>
        <v>104</v>
      </c>
      <c r="J17" s="765"/>
      <c r="K17" s="765">
        <f>43</f>
        <v>43</v>
      </c>
      <c r="L17" s="765">
        <f t="shared" si="2"/>
        <v>43</v>
      </c>
      <c r="M17" s="765"/>
      <c r="N17" s="765">
        <f>22</f>
        <v>22</v>
      </c>
      <c r="O17" s="765">
        <f t="shared" si="3"/>
        <v>22</v>
      </c>
      <c r="P17" s="765"/>
      <c r="Q17" s="765"/>
      <c r="R17" s="765"/>
      <c r="S17" s="765"/>
      <c r="T17" s="765">
        <f>19</f>
        <v>19</v>
      </c>
      <c r="U17" s="765">
        <f t="shared" si="4"/>
        <v>19</v>
      </c>
    </row>
    <row r="18" spans="1:21" ht="15" customHeight="1" x14ac:dyDescent="0.3">
      <c r="A18" s="169" t="s">
        <v>25</v>
      </c>
      <c r="B18" s="1262" t="s">
        <v>26</v>
      </c>
      <c r="C18" s="1263"/>
      <c r="D18" s="765">
        <f t="shared" si="0"/>
        <v>0</v>
      </c>
      <c r="E18" s="765">
        <f t="shared" si="0"/>
        <v>0</v>
      </c>
      <c r="F18" s="765">
        <f t="shared" si="0"/>
        <v>0</v>
      </c>
      <c r="G18" s="765"/>
      <c r="H18" s="765"/>
      <c r="I18" s="765">
        <f t="shared" si="1"/>
        <v>0</v>
      </c>
      <c r="J18" s="765"/>
      <c r="K18" s="765"/>
      <c r="L18" s="765">
        <f t="shared" si="2"/>
        <v>0</v>
      </c>
      <c r="M18" s="765"/>
      <c r="N18" s="765"/>
      <c r="O18" s="765">
        <f t="shared" si="3"/>
        <v>0</v>
      </c>
      <c r="P18" s="765"/>
      <c r="Q18" s="765"/>
      <c r="R18" s="765"/>
      <c r="S18" s="765"/>
      <c r="T18" s="765"/>
      <c r="U18" s="765">
        <f t="shared" si="4"/>
        <v>0</v>
      </c>
    </row>
    <row r="19" spans="1:21" s="234" customFormat="1" ht="15" customHeight="1" x14ac:dyDescent="0.3">
      <c r="A19" s="232" t="s">
        <v>27</v>
      </c>
      <c r="B19" s="1264" t="s">
        <v>426</v>
      </c>
      <c r="C19" s="1265"/>
      <c r="D19" s="766">
        <f>SUM(D5:D18)</f>
        <v>22459</v>
      </c>
      <c r="E19" s="766">
        <f t="shared" ref="E19:U19" si="5">SUM(E5:E18)</f>
        <v>622</v>
      </c>
      <c r="F19" s="766">
        <f t="shared" si="5"/>
        <v>23081</v>
      </c>
      <c r="G19" s="766">
        <f t="shared" si="5"/>
        <v>12140</v>
      </c>
      <c r="H19" s="766">
        <f t="shared" si="5"/>
        <v>284</v>
      </c>
      <c r="I19" s="766">
        <f t="shared" si="5"/>
        <v>12424</v>
      </c>
      <c r="J19" s="766">
        <f t="shared" si="5"/>
        <v>5270</v>
      </c>
      <c r="K19" s="766">
        <f t="shared" si="5"/>
        <v>173</v>
      </c>
      <c r="L19" s="766">
        <f t="shared" si="5"/>
        <v>5443</v>
      </c>
      <c r="M19" s="766">
        <f t="shared" si="5"/>
        <v>2561</v>
      </c>
      <c r="N19" s="766">
        <f t="shared" si="5"/>
        <v>89</v>
      </c>
      <c r="O19" s="766">
        <f t="shared" si="5"/>
        <v>2650</v>
      </c>
      <c r="P19" s="766">
        <f t="shared" si="5"/>
        <v>0</v>
      </c>
      <c r="Q19" s="766">
        <f t="shared" si="5"/>
        <v>0</v>
      </c>
      <c r="R19" s="766">
        <f t="shared" si="5"/>
        <v>0</v>
      </c>
      <c r="S19" s="766">
        <f t="shared" si="5"/>
        <v>2488</v>
      </c>
      <c r="T19" s="766">
        <f t="shared" si="5"/>
        <v>76</v>
      </c>
      <c r="U19" s="766">
        <f t="shared" si="5"/>
        <v>2564</v>
      </c>
    </row>
    <row r="20" spans="1:21" ht="15" customHeight="1" x14ac:dyDescent="0.3">
      <c r="A20" s="169" t="s">
        <v>29</v>
      </c>
      <c r="B20" s="1262" t="s">
        <v>28</v>
      </c>
      <c r="C20" s="1263"/>
      <c r="D20" s="765">
        <f>+G20+J20+M20+S20</f>
        <v>0</v>
      </c>
      <c r="E20" s="765">
        <f>+H20+K20+N20+T20</f>
        <v>0</v>
      </c>
      <c r="F20" s="765">
        <f>+I20+L20+O20+U20</f>
        <v>0</v>
      </c>
      <c r="G20" s="765"/>
      <c r="H20" s="765"/>
      <c r="I20" s="765">
        <f>+H20+G20</f>
        <v>0</v>
      </c>
      <c r="J20" s="765"/>
      <c r="K20" s="765"/>
      <c r="L20" s="765">
        <f>+K20+J20</f>
        <v>0</v>
      </c>
      <c r="M20" s="765"/>
      <c r="N20" s="765"/>
      <c r="O20" s="765">
        <f>+N20+M20</f>
        <v>0</v>
      </c>
      <c r="P20" s="765"/>
      <c r="Q20" s="765"/>
      <c r="R20" s="765"/>
      <c r="S20" s="765"/>
      <c r="T20" s="765"/>
      <c r="U20" s="765">
        <f>+T20+S20</f>
        <v>0</v>
      </c>
    </row>
    <row r="21" spans="1:21" ht="40.5" customHeight="1" x14ac:dyDescent="0.3">
      <c r="A21" s="169" t="s">
        <v>663</v>
      </c>
      <c r="B21" s="1262" t="s">
        <v>30</v>
      </c>
      <c r="C21" s="1263"/>
      <c r="D21" s="765">
        <f t="shared" ref="D21:D22" si="6">+G21+J21+M21+S21</f>
        <v>1500</v>
      </c>
      <c r="E21" s="765">
        <f>+H21+K21+N21+T21</f>
        <v>0</v>
      </c>
      <c r="F21" s="765">
        <f>+I21+L21+O21+U21</f>
        <v>1500</v>
      </c>
      <c r="G21" s="765">
        <v>1500</v>
      </c>
      <c r="H21" s="765"/>
      <c r="I21" s="765">
        <f>+H21+G21</f>
        <v>1500</v>
      </c>
      <c r="J21" s="765"/>
      <c r="K21" s="765"/>
      <c r="L21" s="765">
        <f t="shared" ref="L21:L22" si="7">+K21+J21</f>
        <v>0</v>
      </c>
      <c r="M21" s="765"/>
      <c r="N21" s="765"/>
      <c r="O21" s="765">
        <f t="shared" ref="O21:O22" si="8">+N21+M21</f>
        <v>0</v>
      </c>
      <c r="P21" s="765"/>
      <c r="Q21" s="765"/>
      <c r="R21" s="765"/>
      <c r="S21" s="765"/>
      <c r="T21" s="765"/>
      <c r="U21" s="765">
        <f t="shared" ref="U21:U22" si="9">+T21+S21</f>
        <v>0</v>
      </c>
    </row>
    <row r="22" spans="1:21" ht="15" customHeight="1" x14ac:dyDescent="0.3">
      <c r="A22" s="169" t="s">
        <v>32</v>
      </c>
      <c r="B22" s="1262" t="s">
        <v>31</v>
      </c>
      <c r="C22" s="1263"/>
      <c r="D22" s="765">
        <f t="shared" si="6"/>
        <v>30</v>
      </c>
      <c r="E22" s="765">
        <f>+H22+K22+N22+T22</f>
        <v>6</v>
      </c>
      <c r="F22" s="765">
        <f>+I22+L22+O22+U22</f>
        <v>36</v>
      </c>
      <c r="G22" s="765">
        <v>30</v>
      </c>
      <c r="H22" s="765">
        <v>6</v>
      </c>
      <c r="I22" s="765">
        <f>+H22+G22</f>
        <v>36</v>
      </c>
      <c r="J22" s="765"/>
      <c r="K22" s="765">
        <v>0</v>
      </c>
      <c r="L22" s="765">
        <f t="shared" si="7"/>
        <v>0</v>
      </c>
      <c r="M22" s="765"/>
      <c r="N22" s="765"/>
      <c r="O22" s="765">
        <f t="shared" si="8"/>
        <v>0</v>
      </c>
      <c r="P22" s="765"/>
      <c r="Q22" s="765"/>
      <c r="R22" s="765"/>
      <c r="S22" s="765"/>
      <c r="T22" s="765"/>
      <c r="U22" s="765">
        <f t="shared" si="9"/>
        <v>0</v>
      </c>
    </row>
    <row r="23" spans="1:21" s="234" customFormat="1" ht="15" customHeight="1" x14ac:dyDescent="0.3">
      <c r="A23" s="232" t="s">
        <v>33</v>
      </c>
      <c r="B23" s="1264" t="s">
        <v>427</v>
      </c>
      <c r="C23" s="1265"/>
      <c r="D23" s="766">
        <f>+D22+D21+D20</f>
        <v>1530</v>
      </c>
      <c r="E23" s="766">
        <f t="shared" ref="E23:U23" si="10">SUM(E20:E22)</f>
        <v>6</v>
      </c>
      <c r="F23" s="766">
        <f t="shared" si="10"/>
        <v>1536</v>
      </c>
      <c r="G23" s="766">
        <f t="shared" si="10"/>
        <v>1530</v>
      </c>
      <c r="H23" s="766">
        <f t="shared" si="10"/>
        <v>6</v>
      </c>
      <c r="I23" s="766">
        <f t="shared" si="10"/>
        <v>1536</v>
      </c>
      <c r="J23" s="766">
        <f t="shared" si="10"/>
        <v>0</v>
      </c>
      <c r="K23" s="766">
        <f t="shared" si="10"/>
        <v>0</v>
      </c>
      <c r="L23" s="766">
        <f t="shared" si="10"/>
        <v>0</v>
      </c>
      <c r="M23" s="766">
        <f t="shared" si="10"/>
        <v>0</v>
      </c>
      <c r="N23" s="766">
        <f t="shared" si="10"/>
        <v>0</v>
      </c>
      <c r="O23" s="766">
        <f t="shared" si="10"/>
        <v>0</v>
      </c>
      <c r="P23" s="766">
        <f t="shared" ref="P23:R23" si="11">SUM(P20:P22)</f>
        <v>0</v>
      </c>
      <c r="Q23" s="766">
        <f t="shared" si="11"/>
        <v>0</v>
      </c>
      <c r="R23" s="766">
        <f t="shared" si="11"/>
        <v>0</v>
      </c>
      <c r="S23" s="766">
        <f t="shared" si="10"/>
        <v>0</v>
      </c>
      <c r="T23" s="766">
        <f t="shared" si="10"/>
        <v>0</v>
      </c>
      <c r="U23" s="766">
        <f t="shared" si="10"/>
        <v>0</v>
      </c>
    </row>
    <row r="24" spans="1:21" s="234" customFormat="1" ht="15" customHeight="1" x14ac:dyDescent="0.3">
      <c r="A24" s="232" t="s">
        <v>34</v>
      </c>
      <c r="B24" s="1264" t="s">
        <v>428</v>
      </c>
      <c r="C24" s="1265"/>
      <c r="D24" s="766">
        <f>+D23+D19</f>
        <v>23989</v>
      </c>
      <c r="E24" s="766">
        <f t="shared" ref="E24:U24" si="12">+E23+E19</f>
        <v>628</v>
      </c>
      <c r="F24" s="766">
        <f t="shared" si="12"/>
        <v>24617</v>
      </c>
      <c r="G24" s="766">
        <f t="shared" si="12"/>
        <v>13670</v>
      </c>
      <c r="H24" s="766">
        <f t="shared" si="12"/>
        <v>290</v>
      </c>
      <c r="I24" s="766">
        <f t="shared" si="12"/>
        <v>13960</v>
      </c>
      <c r="J24" s="766">
        <f t="shared" si="12"/>
        <v>5270</v>
      </c>
      <c r="K24" s="766">
        <f t="shared" si="12"/>
        <v>173</v>
      </c>
      <c r="L24" s="766">
        <f t="shared" si="12"/>
        <v>5443</v>
      </c>
      <c r="M24" s="766">
        <f t="shared" si="12"/>
        <v>2561</v>
      </c>
      <c r="N24" s="766">
        <f t="shared" si="12"/>
        <v>89</v>
      </c>
      <c r="O24" s="766">
        <f t="shared" si="12"/>
        <v>2650</v>
      </c>
      <c r="P24" s="766">
        <f t="shared" si="12"/>
        <v>0</v>
      </c>
      <c r="Q24" s="766">
        <f t="shared" si="12"/>
        <v>0</v>
      </c>
      <c r="R24" s="766">
        <f t="shared" si="12"/>
        <v>0</v>
      </c>
      <c r="S24" s="766">
        <f t="shared" si="12"/>
        <v>2488</v>
      </c>
      <c r="T24" s="766">
        <f t="shared" si="12"/>
        <v>76</v>
      </c>
      <c r="U24" s="766">
        <f t="shared" si="12"/>
        <v>2564</v>
      </c>
    </row>
    <row r="25" spans="1:21" x14ac:dyDescent="0.3">
      <c r="A25" s="170"/>
      <c r="B25" s="171"/>
      <c r="C25" s="171"/>
      <c r="D25" s="172"/>
      <c r="E25" s="172"/>
      <c r="F25" s="173"/>
      <c r="G25" s="241"/>
      <c r="H25" s="172"/>
      <c r="I25" s="173"/>
      <c r="J25" s="241"/>
      <c r="K25" s="172"/>
      <c r="L25" s="173"/>
      <c r="M25" s="241"/>
      <c r="N25" s="172"/>
      <c r="O25" s="173"/>
      <c r="P25" s="172"/>
      <c r="Q25" s="172"/>
      <c r="R25" s="172"/>
      <c r="S25" s="241"/>
      <c r="T25" s="172"/>
      <c r="U25" s="173"/>
    </row>
    <row r="26" spans="1:21" s="234" customFormat="1" ht="26.25" customHeight="1" x14ac:dyDescent="0.3">
      <c r="A26" s="232" t="s">
        <v>35</v>
      </c>
      <c r="B26" s="1264" t="s">
        <v>429</v>
      </c>
      <c r="C26" s="1265"/>
      <c r="D26" s="233">
        <f t="shared" ref="D26:F31" si="13">+G26+J26+M26+S26</f>
        <v>4688</v>
      </c>
      <c r="E26" s="233">
        <f t="shared" si="13"/>
        <v>127</v>
      </c>
      <c r="F26" s="233">
        <f t="shared" si="13"/>
        <v>4815</v>
      </c>
      <c r="G26" s="233">
        <f t="shared" ref="G26:U26" si="14">SUM(G27:G31)</f>
        <v>2722</v>
      </c>
      <c r="H26" s="233">
        <f t="shared" si="14"/>
        <v>59</v>
      </c>
      <c r="I26" s="233">
        <f t="shared" si="14"/>
        <v>2781</v>
      </c>
      <c r="J26" s="233">
        <f t="shared" si="14"/>
        <v>1056</v>
      </c>
      <c r="K26" s="233">
        <f t="shared" si="14"/>
        <v>34</v>
      </c>
      <c r="L26" s="233">
        <f t="shared" si="14"/>
        <v>1090</v>
      </c>
      <c r="M26" s="233">
        <f t="shared" si="14"/>
        <v>423</v>
      </c>
      <c r="N26" s="233">
        <f t="shared" si="14"/>
        <v>18</v>
      </c>
      <c r="O26" s="233">
        <f t="shared" si="14"/>
        <v>441</v>
      </c>
      <c r="P26" s="233">
        <f t="shared" si="14"/>
        <v>0</v>
      </c>
      <c r="Q26" s="233">
        <f t="shared" si="14"/>
        <v>0</v>
      </c>
      <c r="R26" s="233">
        <f t="shared" si="14"/>
        <v>0</v>
      </c>
      <c r="S26" s="233">
        <f t="shared" si="14"/>
        <v>487</v>
      </c>
      <c r="T26" s="233">
        <f t="shared" si="14"/>
        <v>16</v>
      </c>
      <c r="U26" s="233">
        <f t="shared" si="14"/>
        <v>503</v>
      </c>
    </row>
    <row r="27" spans="1:21" ht="25.5" customHeight="1" x14ac:dyDescent="0.3">
      <c r="A27" s="174" t="s">
        <v>35</v>
      </c>
      <c r="B27" s="175"/>
      <c r="C27" s="176" t="s">
        <v>36</v>
      </c>
      <c r="D27" s="231">
        <f t="shared" si="13"/>
        <v>4531</v>
      </c>
      <c r="E27" s="231">
        <f t="shared" si="13"/>
        <v>127</v>
      </c>
      <c r="F27" s="231">
        <f t="shared" si="13"/>
        <v>4658</v>
      </c>
      <c r="G27" s="231">
        <v>2627</v>
      </c>
      <c r="H27" s="231">
        <f>15+44</f>
        <v>59</v>
      </c>
      <c r="I27" s="231">
        <f>+H27+G27</f>
        <v>2686</v>
      </c>
      <c r="J27" s="231">
        <v>1015</v>
      </c>
      <c r="K27" s="231">
        <f>8+26</f>
        <v>34</v>
      </c>
      <c r="L27" s="231">
        <f>+K27+J27</f>
        <v>1049</v>
      </c>
      <c r="M27" s="231">
        <v>423</v>
      </c>
      <c r="N27" s="231">
        <f>14+4</f>
        <v>18</v>
      </c>
      <c r="O27" s="231">
        <f>+N27+M27</f>
        <v>441</v>
      </c>
      <c r="P27" s="231"/>
      <c r="Q27" s="231"/>
      <c r="R27" s="231"/>
      <c r="S27" s="231">
        <v>466</v>
      </c>
      <c r="T27" s="231">
        <f>12+4</f>
        <v>16</v>
      </c>
      <c r="U27" s="231">
        <f>+T27+S27</f>
        <v>482</v>
      </c>
    </row>
    <row r="28" spans="1:21" ht="25.5" customHeight="1" x14ac:dyDescent="0.3">
      <c r="A28" s="174" t="s">
        <v>35</v>
      </c>
      <c r="B28" s="175"/>
      <c r="C28" s="176" t="s">
        <v>37</v>
      </c>
      <c r="D28" s="231">
        <f t="shared" si="13"/>
        <v>0</v>
      </c>
      <c r="E28" s="231">
        <f t="shared" si="13"/>
        <v>0</v>
      </c>
      <c r="F28" s="231">
        <f t="shared" si="13"/>
        <v>0</v>
      </c>
      <c r="G28" s="231"/>
      <c r="H28" s="231"/>
      <c r="I28" s="231">
        <f t="shared" ref="I28:I31" si="15">+H28+G28</f>
        <v>0</v>
      </c>
      <c r="J28" s="231"/>
      <c r="K28" s="231"/>
      <c r="L28" s="231">
        <f t="shared" ref="L28:L31" si="16">+K28+J28</f>
        <v>0</v>
      </c>
      <c r="M28" s="231"/>
      <c r="N28" s="231"/>
      <c r="O28" s="231">
        <f t="shared" ref="O28:O31" si="17">+N28+M28</f>
        <v>0</v>
      </c>
      <c r="P28" s="231"/>
      <c r="Q28" s="231"/>
      <c r="R28" s="231"/>
      <c r="S28" s="231"/>
      <c r="T28" s="231"/>
      <c r="U28" s="231">
        <f t="shared" ref="U28:U31" si="18">+T28+S28</f>
        <v>0</v>
      </c>
    </row>
    <row r="29" spans="1:21" ht="25.5" customHeight="1" x14ac:dyDescent="0.3">
      <c r="A29" s="174" t="s">
        <v>35</v>
      </c>
      <c r="B29" s="175"/>
      <c r="C29" s="176" t="s">
        <v>38</v>
      </c>
      <c r="D29" s="231">
        <f t="shared" si="13"/>
        <v>77</v>
      </c>
      <c r="E29" s="231">
        <f t="shared" si="13"/>
        <v>0</v>
      </c>
      <c r="F29" s="231">
        <f t="shared" si="13"/>
        <v>77</v>
      </c>
      <c r="G29" s="231">
        <v>47</v>
      </c>
      <c r="H29" s="231"/>
      <c r="I29" s="231">
        <f t="shared" si="15"/>
        <v>47</v>
      </c>
      <c r="J29" s="231">
        <v>20</v>
      </c>
      <c r="K29" s="231"/>
      <c r="L29" s="231">
        <f t="shared" si="16"/>
        <v>20</v>
      </c>
      <c r="M29" s="231"/>
      <c r="N29" s="231"/>
      <c r="O29" s="231">
        <f t="shared" si="17"/>
        <v>0</v>
      </c>
      <c r="P29" s="231"/>
      <c r="Q29" s="231"/>
      <c r="R29" s="231"/>
      <c r="S29" s="231">
        <v>10</v>
      </c>
      <c r="T29" s="231"/>
      <c r="U29" s="231">
        <f t="shared" si="18"/>
        <v>10</v>
      </c>
    </row>
    <row r="30" spans="1:21" ht="25.5" customHeight="1" x14ac:dyDescent="0.3">
      <c r="A30" s="174" t="s">
        <v>35</v>
      </c>
      <c r="B30" s="175"/>
      <c r="C30" s="176" t="s">
        <v>430</v>
      </c>
      <c r="D30" s="231">
        <f t="shared" si="13"/>
        <v>0</v>
      </c>
      <c r="E30" s="231">
        <f t="shared" si="13"/>
        <v>0</v>
      </c>
      <c r="F30" s="231">
        <f t="shared" si="13"/>
        <v>0</v>
      </c>
      <c r="G30" s="231"/>
      <c r="H30" s="231"/>
      <c r="I30" s="231">
        <f t="shared" si="15"/>
        <v>0</v>
      </c>
      <c r="J30" s="231"/>
      <c r="K30" s="231"/>
      <c r="L30" s="231">
        <f t="shared" si="16"/>
        <v>0</v>
      </c>
      <c r="M30" s="231"/>
      <c r="N30" s="231"/>
      <c r="O30" s="231">
        <f t="shared" si="17"/>
        <v>0</v>
      </c>
      <c r="P30" s="231"/>
      <c r="Q30" s="231"/>
      <c r="R30" s="231"/>
      <c r="S30" s="231"/>
      <c r="T30" s="231"/>
      <c r="U30" s="231">
        <f t="shared" si="18"/>
        <v>0</v>
      </c>
    </row>
    <row r="31" spans="1:21" ht="26.4" x14ac:dyDescent="0.3">
      <c r="A31" s="174" t="s">
        <v>35</v>
      </c>
      <c r="B31" s="175"/>
      <c r="C31" s="176" t="s">
        <v>40</v>
      </c>
      <c r="D31" s="231">
        <f t="shared" si="13"/>
        <v>80</v>
      </c>
      <c r="E31" s="231">
        <f t="shared" si="13"/>
        <v>0</v>
      </c>
      <c r="F31" s="231">
        <f t="shared" si="13"/>
        <v>80</v>
      </c>
      <c r="G31" s="231">
        <v>48</v>
      </c>
      <c r="H31" s="231"/>
      <c r="I31" s="231">
        <f t="shared" si="15"/>
        <v>48</v>
      </c>
      <c r="J31" s="231">
        <v>21</v>
      </c>
      <c r="K31" s="231"/>
      <c r="L31" s="231">
        <f t="shared" si="16"/>
        <v>21</v>
      </c>
      <c r="M31" s="231"/>
      <c r="N31" s="231"/>
      <c r="O31" s="231">
        <f t="shared" si="17"/>
        <v>0</v>
      </c>
      <c r="P31" s="231"/>
      <c r="Q31" s="231"/>
      <c r="R31" s="231"/>
      <c r="S31" s="231">
        <v>11</v>
      </c>
      <c r="T31" s="231"/>
      <c r="U31" s="231">
        <f t="shared" si="18"/>
        <v>11</v>
      </c>
    </row>
    <row r="32" spans="1:21" ht="9.75" customHeight="1" x14ac:dyDescent="0.3">
      <c r="A32" s="177"/>
      <c r="B32" s="178"/>
      <c r="C32" s="179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</row>
    <row r="33" spans="1:21" ht="9" customHeight="1" x14ac:dyDescent="0.3">
      <c r="A33" s="181"/>
      <c r="B33" s="182"/>
      <c r="C33" s="183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</row>
    <row r="34" spans="1:21" ht="15" customHeight="1" x14ac:dyDescent="0.3">
      <c r="A34" s="169" t="s">
        <v>42</v>
      </c>
      <c r="B34" s="1262" t="s">
        <v>41</v>
      </c>
      <c r="C34" s="1263"/>
      <c r="D34" s="665">
        <f>+G34+J34+M34+S34</f>
        <v>1540</v>
      </c>
      <c r="E34" s="665">
        <v>0</v>
      </c>
      <c r="F34" s="665">
        <f>+I34+R34+L34+O34+U34</f>
        <v>1540</v>
      </c>
      <c r="G34" s="665">
        <v>730</v>
      </c>
      <c r="H34" s="665"/>
      <c r="I34" s="231">
        <f>+H34+G34</f>
        <v>730</v>
      </c>
      <c r="J34" s="231">
        <v>280</v>
      </c>
      <c r="K34" s="231"/>
      <c r="L34" s="231">
        <f>+K34+J34</f>
        <v>280</v>
      </c>
      <c r="M34" s="231"/>
      <c r="N34" s="231"/>
      <c r="O34" s="231">
        <f>+N34+M34</f>
        <v>0</v>
      </c>
      <c r="P34" s="231"/>
      <c r="Q34" s="231">
        <v>530</v>
      </c>
      <c r="R34" s="231">
        <f>+Q34+P34</f>
        <v>530</v>
      </c>
      <c r="S34" s="231">
        <v>530</v>
      </c>
      <c r="T34" s="231">
        <v>-530</v>
      </c>
      <c r="U34" s="231">
        <f>+T34+S34</f>
        <v>0</v>
      </c>
    </row>
    <row r="35" spans="1:21" ht="15" customHeight="1" x14ac:dyDescent="0.3">
      <c r="A35" s="169" t="s">
        <v>44</v>
      </c>
      <c r="B35" s="1262" t="s">
        <v>43</v>
      </c>
      <c r="C35" s="1263"/>
      <c r="D35" s="665">
        <f t="shared" ref="D35:F60" si="19">+G35+J35+M35+S35</f>
        <v>570</v>
      </c>
      <c r="E35" s="665">
        <f>+H35+K35+N35+T35</f>
        <v>0</v>
      </c>
      <c r="F35" s="665">
        <f>+I35+L35+O35+U35</f>
        <v>570</v>
      </c>
      <c r="G35" s="665">
        <v>470</v>
      </c>
      <c r="H35" s="665"/>
      <c r="I35" s="231">
        <f t="shared" ref="I35:I36" si="20">+H35+G35</f>
        <v>470</v>
      </c>
      <c r="J35" s="231">
        <v>100</v>
      </c>
      <c r="K35" s="231"/>
      <c r="L35" s="231">
        <f t="shared" ref="L35:L36" si="21">+K35+J35</f>
        <v>100</v>
      </c>
      <c r="M35" s="231"/>
      <c r="N35" s="231"/>
      <c r="O35" s="231">
        <f t="shared" ref="O35:O36" si="22">+N35+M35</f>
        <v>0</v>
      </c>
      <c r="P35" s="231"/>
      <c r="Q35" s="231"/>
      <c r="R35" s="231"/>
      <c r="S35" s="231">
        <v>0</v>
      </c>
      <c r="T35" s="231"/>
      <c r="U35" s="231">
        <f t="shared" ref="U35:U36" si="23">+T35+S35</f>
        <v>0</v>
      </c>
    </row>
    <row r="36" spans="1:21" ht="15" customHeight="1" x14ac:dyDescent="0.3">
      <c r="A36" s="169" t="s">
        <v>46</v>
      </c>
      <c r="B36" s="1262" t="s">
        <v>45</v>
      </c>
      <c r="C36" s="1263"/>
      <c r="D36" s="665">
        <f t="shared" si="19"/>
        <v>0</v>
      </c>
      <c r="E36" s="665">
        <f>+H36+K36+N36+T36</f>
        <v>0</v>
      </c>
      <c r="F36" s="665">
        <f>+I36+L36+O36+U36</f>
        <v>0</v>
      </c>
      <c r="G36" s="665"/>
      <c r="H36" s="665"/>
      <c r="I36" s="231">
        <f t="shared" si="20"/>
        <v>0</v>
      </c>
      <c r="J36" s="231"/>
      <c r="K36" s="231"/>
      <c r="L36" s="231">
        <f t="shared" si="21"/>
        <v>0</v>
      </c>
      <c r="M36" s="231"/>
      <c r="N36" s="231"/>
      <c r="O36" s="231">
        <f t="shared" si="22"/>
        <v>0</v>
      </c>
      <c r="P36" s="231"/>
      <c r="Q36" s="231"/>
      <c r="R36" s="231"/>
      <c r="S36" s="231"/>
      <c r="T36" s="231"/>
      <c r="U36" s="231">
        <f t="shared" si="23"/>
        <v>0</v>
      </c>
    </row>
    <row r="37" spans="1:21" s="234" customFormat="1" ht="15" customHeight="1" x14ac:dyDescent="0.3">
      <c r="A37" s="232" t="s">
        <v>47</v>
      </c>
      <c r="B37" s="1264" t="s">
        <v>431</v>
      </c>
      <c r="C37" s="1265"/>
      <c r="D37" s="666">
        <f t="shared" si="19"/>
        <v>2110</v>
      </c>
      <c r="E37" s="666">
        <f t="shared" ref="E37:U37" si="24">SUM(E34:E36)</f>
        <v>0</v>
      </c>
      <c r="F37" s="666">
        <f t="shared" si="24"/>
        <v>2110</v>
      </c>
      <c r="G37" s="666">
        <f t="shared" si="24"/>
        <v>1200</v>
      </c>
      <c r="H37" s="666">
        <f t="shared" si="24"/>
        <v>0</v>
      </c>
      <c r="I37" s="233">
        <f t="shared" si="24"/>
        <v>1200</v>
      </c>
      <c r="J37" s="233">
        <f t="shared" si="24"/>
        <v>380</v>
      </c>
      <c r="K37" s="233">
        <f t="shared" si="24"/>
        <v>0</v>
      </c>
      <c r="L37" s="233">
        <f t="shared" si="24"/>
        <v>380</v>
      </c>
      <c r="M37" s="233">
        <f t="shared" si="24"/>
        <v>0</v>
      </c>
      <c r="N37" s="233">
        <f t="shared" si="24"/>
        <v>0</v>
      </c>
      <c r="O37" s="233">
        <f t="shared" si="24"/>
        <v>0</v>
      </c>
      <c r="P37" s="233">
        <f t="shared" si="24"/>
        <v>0</v>
      </c>
      <c r="Q37" s="233">
        <f t="shared" si="24"/>
        <v>530</v>
      </c>
      <c r="R37" s="233">
        <f t="shared" si="24"/>
        <v>530</v>
      </c>
      <c r="S37" s="233">
        <f t="shared" si="24"/>
        <v>530</v>
      </c>
      <c r="T37" s="233">
        <f t="shared" si="24"/>
        <v>-530</v>
      </c>
      <c r="U37" s="233">
        <f t="shared" si="24"/>
        <v>0</v>
      </c>
    </row>
    <row r="38" spans="1:21" ht="15" customHeight="1" x14ac:dyDescent="0.3">
      <c r="A38" s="169" t="s">
        <v>49</v>
      </c>
      <c r="B38" s="1262" t="s">
        <v>48</v>
      </c>
      <c r="C38" s="1263"/>
      <c r="D38" s="665">
        <f t="shared" si="19"/>
        <v>340</v>
      </c>
      <c r="E38" s="665">
        <f t="shared" si="19"/>
        <v>0</v>
      </c>
      <c r="F38" s="665">
        <f t="shared" si="19"/>
        <v>340</v>
      </c>
      <c r="G38" s="665">
        <v>240</v>
      </c>
      <c r="H38" s="665"/>
      <c r="I38" s="231">
        <f>+H38+G38</f>
        <v>240</v>
      </c>
      <c r="J38" s="231"/>
      <c r="K38" s="231"/>
      <c r="L38" s="231">
        <f>+K38+J38</f>
        <v>0</v>
      </c>
      <c r="M38" s="231"/>
      <c r="N38" s="231"/>
      <c r="O38" s="231">
        <f>+N38+M38</f>
        <v>0</v>
      </c>
      <c r="P38" s="231"/>
      <c r="Q38" s="231"/>
      <c r="R38" s="231"/>
      <c r="S38" s="231">
        <v>100</v>
      </c>
      <c r="T38" s="231"/>
      <c r="U38" s="231">
        <f>+T38+S38</f>
        <v>100</v>
      </c>
    </row>
    <row r="39" spans="1:21" ht="15" customHeight="1" x14ac:dyDescent="0.3">
      <c r="A39" s="169" t="s">
        <v>51</v>
      </c>
      <c r="B39" s="1262" t="s">
        <v>50</v>
      </c>
      <c r="C39" s="1263"/>
      <c r="D39" s="665">
        <f t="shared" si="19"/>
        <v>324</v>
      </c>
      <c r="E39" s="665">
        <f t="shared" si="19"/>
        <v>0</v>
      </c>
      <c r="F39" s="665">
        <f t="shared" si="19"/>
        <v>324</v>
      </c>
      <c r="G39" s="665">
        <v>180</v>
      </c>
      <c r="H39" s="665"/>
      <c r="I39" s="231">
        <f>+H39+G39</f>
        <v>180</v>
      </c>
      <c r="J39" s="231">
        <v>62</v>
      </c>
      <c r="K39" s="231"/>
      <c r="L39" s="231">
        <f>+K39+J39</f>
        <v>62</v>
      </c>
      <c r="M39" s="231"/>
      <c r="N39" s="231"/>
      <c r="O39" s="231">
        <f>+N39+M39</f>
        <v>0</v>
      </c>
      <c r="P39" s="231"/>
      <c r="Q39" s="231"/>
      <c r="R39" s="231"/>
      <c r="S39" s="231">
        <v>82</v>
      </c>
      <c r="T39" s="231"/>
      <c r="U39" s="231">
        <f>+T39+S39</f>
        <v>82</v>
      </c>
    </row>
    <row r="40" spans="1:21" s="234" customFormat="1" ht="15" customHeight="1" x14ac:dyDescent="0.3">
      <c r="A40" s="232" t="s">
        <v>52</v>
      </c>
      <c r="B40" s="1264" t="s">
        <v>432</v>
      </c>
      <c r="C40" s="1265"/>
      <c r="D40" s="666">
        <f t="shared" si="19"/>
        <v>664</v>
      </c>
      <c r="E40" s="666">
        <f t="shared" ref="E40:U40" si="25">SUM(E38:E39)</f>
        <v>0</v>
      </c>
      <c r="F40" s="666">
        <f t="shared" si="25"/>
        <v>664</v>
      </c>
      <c r="G40" s="666">
        <f t="shared" si="25"/>
        <v>420</v>
      </c>
      <c r="H40" s="666">
        <f t="shared" si="25"/>
        <v>0</v>
      </c>
      <c r="I40" s="233">
        <f t="shared" si="25"/>
        <v>420</v>
      </c>
      <c r="J40" s="233">
        <f t="shared" si="25"/>
        <v>62</v>
      </c>
      <c r="K40" s="233">
        <f t="shared" si="25"/>
        <v>0</v>
      </c>
      <c r="L40" s="233">
        <f t="shared" si="25"/>
        <v>62</v>
      </c>
      <c r="M40" s="233">
        <f t="shared" si="25"/>
        <v>0</v>
      </c>
      <c r="N40" s="233">
        <f t="shared" si="25"/>
        <v>0</v>
      </c>
      <c r="O40" s="233">
        <f t="shared" si="25"/>
        <v>0</v>
      </c>
      <c r="P40" s="233">
        <f t="shared" si="25"/>
        <v>0</v>
      </c>
      <c r="Q40" s="233">
        <f t="shared" si="25"/>
        <v>0</v>
      </c>
      <c r="R40" s="233">
        <f t="shared" si="25"/>
        <v>0</v>
      </c>
      <c r="S40" s="233">
        <f t="shared" si="25"/>
        <v>182</v>
      </c>
      <c r="T40" s="233">
        <f t="shared" si="25"/>
        <v>0</v>
      </c>
      <c r="U40" s="233">
        <f t="shared" si="25"/>
        <v>182</v>
      </c>
    </row>
    <row r="41" spans="1:21" ht="15" customHeight="1" x14ac:dyDescent="0.3">
      <c r="A41" s="169" t="s">
        <v>54</v>
      </c>
      <c r="B41" s="1262" t="s">
        <v>53</v>
      </c>
      <c r="C41" s="1263"/>
      <c r="D41" s="665">
        <f t="shared" si="19"/>
        <v>0</v>
      </c>
      <c r="E41" s="665">
        <f t="shared" si="19"/>
        <v>0</v>
      </c>
      <c r="F41" s="665">
        <f t="shared" si="19"/>
        <v>0</v>
      </c>
      <c r="G41" s="665"/>
      <c r="H41" s="665"/>
      <c r="I41" s="231">
        <f>+H41+G41</f>
        <v>0</v>
      </c>
      <c r="J41" s="231"/>
      <c r="K41" s="231"/>
      <c r="L41" s="231">
        <f>+K41+J41</f>
        <v>0</v>
      </c>
      <c r="M41" s="231"/>
      <c r="N41" s="231"/>
      <c r="O41" s="231">
        <f>+N41+M41</f>
        <v>0</v>
      </c>
      <c r="P41" s="231"/>
      <c r="Q41" s="231"/>
      <c r="R41" s="231"/>
      <c r="S41" s="231"/>
      <c r="T41" s="231"/>
      <c r="U41" s="231">
        <f>+T41+S41</f>
        <v>0</v>
      </c>
    </row>
    <row r="42" spans="1:21" ht="15" customHeight="1" x14ac:dyDescent="0.3">
      <c r="A42" s="169" t="s">
        <v>56</v>
      </c>
      <c r="B42" s="1262" t="s">
        <v>55</v>
      </c>
      <c r="C42" s="1263"/>
      <c r="D42" s="665">
        <f t="shared" si="19"/>
        <v>0</v>
      </c>
      <c r="E42" s="665">
        <f t="shared" si="19"/>
        <v>0</v>
      </c>
      <c r="F42" s="665">
        <f t="shared" si="19"/>
        <v>0</v>
      </c>
      <c r="G42" s="665"/>
      <c r="H42" s="665"/>
      <c r="I42" s="231">
        <f t="shared" ref="I42:I49" si="26">+H42+G42</f>
        <v>0</v>
      </c>
      <c r="J42" s="231"/>
      <c r="K42" s="231"/>
      <c r="L42" s="231">
        <f t="shared" ref="L42:L49" si="27">+K42+J42</f>
        <v>0</v>
      </c>
      <c r="M42" s="231"/>
      <c r="N42" s="231"/>
      <c r="O42" s="231">
        <f t="shared" ref="O42:O49" si="28">+N42+M42</f>
        <v>0</v>
      </c>
      <c r="P42" s="231"/>
      <c r="Q42" s="231"/>
      <c r="R42" s="231"/>
      <c r="S42" s="231"/>
      <c r="T42" s="231"/>
      <c r="U42" s="231">
        <f t="shared" ref="U42:U49" si="29">+T42+S42</f>
        <v>0</v>
      </c>
    </row>
    <row r="43" spans="1:21" ht="15" customHeight="1" x14ac:dyDescent="0.3">
      <c r="A43" s="169" t="s">
        <v>57</v>
      </c>
      <c r="B43" s="1262" t="s">
        <v>433</v>
      </c>
      <c r="C43" s="1263"/>
      <c r="D43" s="665">
        <f t="shared" si="19"/>
        <v>250</v>
      </c>
      <c r="E43" s="665">
        <f t="shared" si="19"/>
        <v>0</v>
      </c>
      <c r="F43" s="665">
        <f t="shared" si="19"/>
        <v>250</v>
      </c>
      <c r="G43" s="665">
        <v>250</v>
      </c>
      <c r="H43" s="665"/>
      <c r="I43" s="231">
        <f t="shared" si="26"/>
        <v>250</v>
      </c>
      <c r="J43" s="231"/>
      <c r="K43" s="231"/>
      <c r="L43" s="231">
        <f t="shared" si="27"/>
        <v>0</v>
      </c>
      <c r="M43" s="231"/>
      <c r="N43" s="231"/>
      <c r="O43" s="231">
        <f t="shared" si="28"/>
        <v>0</v>
      </c>
      <c r="P43" s="231"/>
      <c r="Q43" s="231"/>
      <c r="R43" s="231"/>
      <c r="S43" s="231"/>
      <c r="T43" s="231"/>
      <c r="U43" s="231">
        <f t="shared" si="29"/>
        <v>0</v>
      </c>
    </row>
    <row r="44" spans="1:21" ht="15" customHeight="1" x14ac:dyDescent="0.3">
      <c r="A44" s="169" t="s">
        <v>59</v>
      </c>
      <c r="B44" s="1262" t="s">
        <v>58</v>
      </c>
      <c r="C44" s="1263"/>
      <c r="D44" s="665">
        <f t="shared" si="19"/>
        <v>50</v>
      </c>
      <c r="E44" s="665">
        <f t="shared" si="19"/>
        <v>0</v>
      </c>
      <c r="F44" s="665">
        <f t="shared" si="19"/>
        <v>50</v>
      </c>
      <c r="G44" s="665">
        <v>50</v>
      </c>
      <c r="H44" s="665"/>
      <c r="I44" s="231">
        <f t="shared" si="26"/>
        <v>50</v>
      </c>
      <c r="J44" s="231"/>
      <c r="K44" s="231"/>
      <c r="L44" s="231">
        <f t="shared" si="27"/>
        <v>0</v>
      </c>
      <c r="M44" s="231"/>
      <c r="N44" s="231"/>
      <c r="O44" s="231">
        <f t="shared" si="28"/>
        <v>0</v>
      </c>
      <c r="P44" s="231"/>
      <c r="Q44" s="231"/>
      <c r="R44" s="231"/>
      <c r="S44" s="231"/>
      <c r="T44" s="231"/>
      <c r="U44" s="231">
        <f t="shared" si="29"/>
        <v>0</v>
      </c>
    </row>
    <row r="45" spans="1:21" ht="15" customHeight="1" x14ac:dyDescent="0.3">
      <c r="A45" s="169" t="s">
        <v>60</v>
      </c>
      <c r="B45" s="1262" t="s">
        <v>166</v>
      </c>
      <c r="C45" s="1263"/>
      <c r="D45" s="231">
        <f t="shared" si="19"/>
        <v>0</v>
      </c>
      <c r="E45" s="231">
        <f t="shared" si="19"/>
        <v>0</v>
      </c>
      <c r="F45" s="231">
        <f t="shared" si="19"/>
        <v>0</v>
      </c>
      <c r="G45" s="231"/>
      <c r="H45" s="231"/>
      <c r="I45" s="231">
        <f t="shared" si="26"/>
        <v>0</v>
      </c>
      <c r="J45" s="231"/>
      <c r="K45" s="231"/>
      <c r="L45" s="231">
        <f t="shared" si="27"/>
        <v>0</v>
      </c>
      <c r="M45" s="231"/>
      <c r="N45" s="231"/>
      <c r="O45" s="231">
        <f t="shared" si="28"/>
        <v>0</v>
      </c>
      <c r="P45" s="231"/>
      <c r="Q45" s="231"/>
      <c r="R45" s="231"/>
      <c r="S45" s="231"/>
      <c r="T45" s="231"/>
      <c r="U45" s="231">
        <f t="shared" si="29"/>
        <v>0</v>
      </c>
    </row>
    <row r="46" spans="1:21" ht="25.5" customHeight="1" x14ac:dyDescent="0.3">
      <c r="A46" s="174" t="s">
        <v>60</v>
      </c>
      <c r="B46" s="175"/>
      <c r="C46" s="176" t="s">
        <v>61</v>
      </c>
      <c r="D46" s="231">
        <f t="shared" si="19"/>
        <v>0</v>
      </c>
      <c r="E46" s="231">
        <f t="shared" si="19"/>
        <v>16</v>
      </c>
      <c r="F46" s="231">
        <f t="shared" si="19"/>
        <v>16</v>
      </c>
      <c r="G46" s="231"/>
      <c r="H46" s="231">
        <v>16</v>
      </c>
      <c r="I46" s="231">
        <f t="shared" si="26"/>
        <v>16</v>
      </c>
      <c r="J46" s="231"/>
      <c r="K46" s="231"/>
      <c r="L46" s="231">
        <f t="shared" si="27"/>
        <v>0</v>
      </c>
      <c r="M46" s="231"/>
      <c r="N46" s="231"/>
      <c r="O46" s="231">
        <f t="shared" si="28"/>
        <v>0</v>
      </c>
      <c r="P46" s="231"/>
      <c r="Q46" s="231"/>
      <c r="R46" s="231"/>
      <c r="S46" s="231"/>
      <c r="T46" s="231"/>
      <c r="U46" s="231">
        <f t="shared" si="29"/>
        <v>0</v>
      </c>
    </row>
    <row r="47" spans="1:21" ht="25.5" customHeight="1" x14ac:dyDescent="0.3">
      <c r="A47" s="174" t="s">
        <v>60</v>
      </c>
      <c r="B47" s="175"/>
      <c r="C47" s="176" t="s">
        <v>168</v>
      </c>
      <c r="D47" s="231">
        <f t="shared" si="19"/>
        <v>0</v>
      </c>
      <c r="E47" s="231">
        <f t="shared" si="19"/>
        <v>0</v>
      </c>
      <c r="F47" s="231">
        <f t="shared" si="19"/>
        <v>0</v>
      </c>
      <c r="G47" s="231"/>
      <c r="H47" s="231"/>
      <c r="I47" s="231">
        <f t="shared" si="26"/>
        <v>0</v>
      </c>
      <c r="J47" s="231"/>
      <c r="K47" s="231"/>
      <c r="L47" s="231">
        <f t="shared" si="27"/>
        <v>0</v>
      </c>
      <c r="M47" s="231"/>
      <c r="N47" s="231"/>
      <c r="O47" s="231">
        <f t="shared" si="28"/>
        <v>0</v>
      </c>
      <c r="P47" s="231"/>
      <c r="Q47" s="231"/>
      <c r="R47" s="231"/>
      <c r="S47" s="231"/>
      <c r="T47" s="231"/>
      <c r="U47" s="231">
        <f t="shared" si="29"/>
        <v>0</v>
      </c>
    </row>
    <row r="48" spans="1:21" ht="22.5" customHeight="1" x14ac:dyDescent="0.3">
      <c r="A48" s="169" t="s">
        <v>63</v>
      </c>
      <c r="B48" s="1262" t="s">
        <v>434</v>
      </c>
      <c r="C48" s="1263"/>
      <c r="D48" s="231">
        <f t="shared" si="19"/>
        <v>250</v>
      </c>
      <c r="E48" s="231">
        <f t="shared" si="19"/>
        <v>0</v>
      </c>
      <c r="F48" s="231">
        <f t="shared" si="19"/>
        <v>250</v>
      </c>
      <c r="G48" s="231">
        <v>250</v>
      </c>
      <c r="H48" s="231"/>
      <c r="I48" s="231">
        <f t="shared" si="26"/>
        <v>250</v>
      </c>
      <c r="J48" s="231"/>
      <c r="K48" s="231"/>
      <c r="L48" s="231">
        <f t="shared" si="27"/>
        <v>0</v>
      </c>
      <c r="M48" s="231"/>
      <c r="N48" s="231"/>
      <c r="O48" s="231">
        <f t="shared" si="28"/>
        <v>0</v>
      </c>
      <c r="P48" s="231"/>
      <c r="Q48" s="231"/>
      <c r="R48" s="231"/>
      <c r="S48" s="231"/>
      <c r="T48" s="231"/>
      <c r="U48" s="231">
        <f t="shared" si="29"/>
        <v>0</v>
      </c>
    </row>
    <row r="49" spans="1:21" ht="15" customHeight="1" x14ac:dyDescent="0.3">
      <c r="A49" s="169" t="s">
        <v>65</v>
      </c>
      <c r="B49" s="1262" t="s">
        <v>435</v>
      </c>
      <c r="C49" s="1263"/>
      <c r="D49" s="231">
        <f t="shared" si="19"/>
        <v>7835</v>
      </c>
      <c r="E49" s="231">
        <f t="shared" si="19"/>
        <v>-12</v>
      </c>
      <c r="F49" s="231">
        <f t="shared" si="19"/>
        <v>7823</v>
      </c>
      <c r="G49" s="231">
        <v>5935</v>
      </c>
      <c r="H49" s="231">
        <v>-12</v>
      </c>
      <c r="I49" s="231">
        <f t="shared" si="26"/>
        <v>5923</v>
      </c>
      <c r="J49" s="231">
        <v>500</v>
      </c>
      <c r="K49" s="231"/>
      <c r="L49" s="231">
        <f t="shared" si="27"/>
        <v>500</v>
      </c>
      <c r="M49" s="231">
        <v>1200</v>
      </c>
      <c r="N49" s="231"/>
      <c r="O49" s="231">
        <f t="shared" si="28"/>
        <v>1200</v>
      </c>
      <c r="P49" s="231"/>
      <c r="Q49" s="231"/>
      <c r="R49" s="231"/>
      <c r="S49" s="231">
        <v>200</v>
      </c>
      <c r="T49" s="231"/>
      <c r="U49" s="231">
        <f t="shared" si="29"/>
        <v>200</v>
      </c>
    </row>
    <row r="50" spans="1:21" s="234" customFormat="1" ht="15" customHeight="1" x14ac:dyDescent="0.3">
      <c r="A50" s="232" t="s">
        <v>66</v>
      </c>
      <c r="B50" s="1264" t="s">
        <v>436</v>
      </c>
      <c r="C50" s="1265"/>
      <c r="D50" s="233">
        <f t="shared" si="19"/>
        <v>8385</v>
      </c>
      <c r="E50" s="233">
        <f t="shared" ref="E50:U50" si="30">SUM(E41:E49)</f>
        <v>4</v>
      </c>
      <c r="F50" s="233">
        <f t="shared" si="30"/>
        <v>8389</v>
      </c>
      <c r="G50" s="667">
        <f>SUM(G41:G49)</f>
        <v>6485</v>
      </c>
      <c r="H50" s="667">
        <f t="shared" si="30"/>
        <v>4</v>
      </c>
      <c r="I50" s="667">
        <f t="shared" si="30"/>
        <v>6489</v>
      </c>
      <c r="J50" s="667">
        <f>SUM(J41:J49)</f>
        <v>500</v>
      </c>
      <c r="K50" s="667">
        <f t="shared" si="30"/>
        <v>0</v>
      </c>
      <c r="L50" s="667">
        <f t="shared" si="30"/>
        <v>500</v>
      </c>
      <c r="M50" s="667">
        <f t="shared" si="30"/>
        <v>1200</v>
      </c>
      <c r="N50" s="667">
        <f t="shared" si="30"/>
        <v>0</v>
      </c>
      <c r="O50" s="667">
        <f t="shared" si="30"/>
        <v>1200</v>
      </c>
      <c r="P50" s="667">
        <f t="shared" si="30"/>
        <v>0</v>
      </c>
      <c r="Q50" s="233">
        <f t="shared" si="30"/>
        <v>0</v>
      </c>
      <c r="R50" s="233">
        <f t="shared" si="30"/>
        <v>0</v>
      </c>
      <c r="S50" s="667">
        <f t="shared" si="30"/>
        <v>200</v>
      </c>
      <c r="T50" s="233">
        <f t="shared" si="30"/>
        <v>0</v>
      </c>
      <c r="U50" s="233">
        <f t="shared" si="30"/>
        <v>200</v>
      </c>
    </row>
    <row r="51" spans="1:21" ht="15" customHeight="1" x14ac:dyDescent="0.3">
      <c r="A51" s="169" t="s">
        <v>68</v>
      </c>
      <c r="B51" s="1262" t="s">
        <v>67</v>
      </c>
      <c r="C51" s="1263"/>
      <c r="D51" s="231">
        <f t="shared" si="19"/>
        <v>215</v>
      </c>
      <c r="E51" s="231">
        <f t="shared" si="19"/>
        <v>0</v>
      </c>
      <c r="F51" s="231">
        <f t="shared" si="19"/>
        <v>215</v>
      </c>
      <c r="G51" s="668">
        <v>200</v>
      </c>
      <c r="H51" s="668"/>
      <c r="I51" s="668">
        <f>+H51+G51</f>
        <v>200</v>
      </c>
      <c r="J51" s="668"/>
      <c r="K51" s="668"/>
      <c r="L51" s="668">
        <f>+K51+J51</f>
        <v>0</v>
      </c>
      <c r="M51" s="668"/>
      <c r="N51" s="668"/>
      <c r="O51" s="668">
        <f>+N51+M51</f>
        <v>0</v>
      </c>
      <c r="P51" s="668"/>
      <c r="Q51" s="668"/>
      <c r="R51" s="668"/>
      <c r="S51" s="668">
        <v>15</v>
      </c>
      <c r="T51" s="231"/>
      <c r="U51" s="231">
        <f>+T51+S51</f>
        <v>15</v>
      </c>
    </row>
    <row r="52" spans="1:21" ht="15" customHeight="1" x14ac:dyDescent="0.3">
      <c r="A52" s="169" t="s">
        <v>70</v>
      </c>
      <c r="B52" s="1262" t="s">
        <v>69</v>
      </c>
      <c r="C52" s="1263"/>
      <c r="D52" s="231">
        <f t="shared" si="19"/>
        <v>550</v>
      </c>
      <c r="E52" s="231">
        <f t="shared" si="19"/>
        <v>1499</v>
      </c>
      <c r="F52" s="231">
        <f t="shared" si="19"/>
        <v>2049</v>
      </c>
      <c r="G52" s="668">
        <v>550</v>
      </c>
      <c r="H52" s="668">
        <v>1499</v>
      </c>
      <c r="I52" s="668">
        <f>+H52+G52</f>
        <v>2049</v>
      </c>
      <c r="J52" s="668"/>
      <c r="K52" s="668"/>
      <c r="L52" s="668">
        <f>+K52+J52</f>
        <v>0</v>
      </c>
      <c r="M52" s="668"/>
      <c r="N52" s="668"/>
      <c r="O52" s="668">
        <f>+N52+M52</f>
        <v>0</v>
      </c>
      <c r="P52" s="668"/>
      <c r="Q52" s="668"/>
      <c r="R52" s="668"/>
      <c r="S52" s="668"/>
      <c r="T52" s="231"/>
      <c r="U52" s="231">
        <f>+T52+S52</f>
        <v>0</v>
      </c>
    </row>
    <row r="53" spans="1:21" s="234" customFormat="1" ht="30.75" customHeight="1" x14ac:dyDescent="0.3">
      <c r="A53" s="232" t="s">
        <v>71</v>
      </c>
      <c r="B53" s="1264" t="s">
        <v>155</v>
      </c>
      <c r="C53" s="1265"/>
      <c r="D53" s="233">
        <f t="shared" si="19"/>
        <v>765</v>
      </c>
      <c r="E53" s="233">
        <f t="shared" ref="E53:U53" si="31">SUM(E51:E52)</f>
        <v>1499</v>
      </c>
      <c r="F53" s="233">
        <f t="shared" si="31"/>
        <v>2264</v>
      </c>
      <c r="G53" s="667">
        <f t="shared" si="31"/>
        <v>750</v>
      </c>
      <c r="H53" s="667">
        <f t="shared" si="31"/>
        <v>1499</v>
      </c>
      <c r="I53" s="667">
        <f t="shared" si="31"/>
        <v>2249</v>
      </c>
      <c r="J53" s="667">
        <f t="shared" si="31"/>
        <v>0</v>
      </c>
      <c r="K53" s="667">
        <f t="shared" si="31"/>
        <v>0</v>
      </c>
      <c r="L53" s="667">
        <f t="shared" si="31"/>
        <v>0</v>
      </c>
      <c r="M53" s="667">
        <f t="shared" si="31"/>
        <v>0</v>
      </c>
      <c r="N53" s="667">
        <f t="shared" si="31"/>
        <v>0</v>
      </c>
      <c r="O53" s="667">
        <f t="shared" si="31"/>
        <v>0</v>
      </c>
      <c r="P53" s="667">
        <f t="shared" si="31"/>
        <v>0</v>
      </c>
      <c r="Q53" s="233">
        <f t="shared" si="31"/>
        <v>0</v>
      </c>
      <c r="R53" s="233">
        <f t="shared" si="31"/>
        <v>0</v>
      </c>
      <c r="S53" s="667">
        <f t="shared" si="31"/>
        <v>15</v>
      </c>
      <c r="T53" s="233">
        <f t="shared" si="31"/>
        <v>0</v>
      </c>
      <c r="U53" s="233">
        <f t="shared" si="31"/>
        <v>15</v>
      </c>
    </row>
    <row r="54" spans="1:21" ht="36.75" customHeight="1" x14ac:dyDescent="0.3">
      <c r="A54" s="169" t="s">
        <v>73</v>
      </c>
      <c r="B54" s="1262" t="s">
        <v>72</v>
      </c>
      <c r="C54" s="1263"/>
      <c r="D54" s="661">
        <f t="shared" si="19"/>
        <v>3044.98</v>
      </c>
      <c r="E54" s="661">
        <f t="shared" si="19"/>
        <v>0</v>
      </c>
      <c r="F54" s="661">
        <f t="shared" si="19"/>
        <v>3044.98</v>
      </c>
      <c r="G54" s="669">
        <v>2337</v>
      </c>
      <c r="H54" s="668"/>
      <c r="I54" s="669">
        <f>+H54+G54</f>
        <v>2337</v>
      </c>
      <c r="J54" s="669">
        <f>(J52+J50+J40+J37)*0.27</f>
        <v>254.34</v>
      </c>
      <c r="K54" s="668"/>
      <c r="L54" s="669">
        <f>+K54+J54</f>
        <v>254.34</v>
      </c>
      <c r="M54" s="669">
        <f>(M52+M50+M40+M37)*0.27</f>
        <v>324</v>
      </c>
      <c r="N54" s="668"/>
      <c r="O54" s="669">
        <f>+N54+M54</f>
        <v>324</v>
      </c>
      <c r="P54" s="669"/>
      <c r="Q54" s="669"/>
      <c r="R54" s="669"/>
      <c r="S54" s="669">
        <f>(S52+S50+S40)*0.27+ (S37*0.05)</f>
        <v>129.63999999999999</v>
      </c>
      <c r="T54" s="231"/>
      <c r="U54" s="661">
        <f>+T54+S54</f>
        <v>129.63999999999999</v>
      </c>
    </row>
    <row r="55" spans="1:21" ht="15" customHeight="1" x14ac:dyDescent="0.3">
      <c r="A55" s="169" t="s">
        <v>75</v>
      </c>
      <c r="B55" s="1262" t="s">
        <v>437</v>
      </c>
      <c r="C55" s="1263"/>
      <c r="D55" s="661">
        <f t="shared" si="19"/>
        <v>473</v>
      </c>
      <c r="E55" s="661">
        <v>0</v>
      </c>
      <c r="F55" s="661">
        <f>+I55+L55+O55+U55+R55</f>
        <v>473</v>
      </c>
      <c r="G55" s="668">
        <v>176</v>
      </c>
      <c r="H55" s="668"/>
      <c r="I55" s="669">
        <f t="shared" ref="I55:I58" si="32">+H55+G55</f>
        <v>176</v>
      </c>
      <c r="J55" s="668">
        <v>270</v>
      </c>
      <c r="K55" s="668"/>
      <c r="L55" s="669">
        <f t="shared" ref="L55:L58" si="33">+K55+J55</f>
        <v>270</v>
      </c>
      <c r="M55" s="668"/>
      <c r="N55" s="668"/>
      <c r="O55" s="669">
        <f t="shared" ref="O55:O58" si="34">+N55+M55</f>
        <v>0</v>
      </c>
      <c r="P55" s="668">
        <v>0</v>
      </c>
      <c r="Q55" s="231">
        <v>27</v>
      </c>
      <c r="R55" s="661">
        <f t="shared" ref="R55" si="35">+Q55+P55</f>
        <v>27</v>
      </c>
      <c r="S55" s="668">
        <v>27</v>
      </c>
      <c r="T55" s="231">
        <v>-27</v>
      </c>
      <c r="U55" s="661">
        <f t="shared" ref="U55:U58" si="36">+T55+S55</f>
        <v>0</v>
      </c>
    </row>
    <row r="56" spans="1:21" ht="15" customHeight="1" x14ac:dyDescent="0.3">
      <c r="A56" s="169" t="s">
        <v>76</v>
      </c>
      <c r="B56" s="1262" t="s">
        <v>438</v>
      </c>
      <c r="C56" s="1263"/>
      <c r="D56" s="661">
        <f t="shared" si="19"/>
        <v>0</v>
      </c>
      <c r="E56" s="661">
        <f t="shared" si="19"/>
        <v>2</v>
      </c>
      <c r="F56" s="661">
        <f t="shared" si="19"/>
        <v>2</v>
      </c>
      <c r="G56" s="668"/>
      <c r="H56" s="668">
        <v>2</v>
      </c>
      <c r="I56" s="669">
        <f t="shared" si="32"/>
        <v>2</v>
      </c>
      <c r="J56" s="668"/>
      <c r="K56" s="668"/>
      <c r="L56" s="669">
        <f t="shared" si="33"/>
        <v>0</v>
      </c>
      <c r="M56" s="668"/>
      <c r="N56" s="668"/>
      <c r="O56" s="669">
        <f t="shared" si="34"/>
        <v>0</v>
      </c>
      <c r="P56" s="669"/>
      <c r="Q56" s="669"/>
      <c r="R56" s="669"/>
      <c r="S56" s="668"/>
      <c r="T56" s="231"/>
      <c r="U56" s="661">
        <f t="shared" si="36"/>
        <v>0</v>
      </c>
    </row>
    <row r="57" spans="1:21" ht="15" customHeight="1" x14ac:dyDescent="0.3">
      <c r="A57" s="169" t="s">
        <v>77</v>
      </c>
      <c r="B57" s="1262" t="s">
        <v>439</v>
      </c>
      <c r="C57" s="1263"/>
      <c r="D57" s="661">
        <f t="shared" si="19"/>
        <v>0</v>
      </c>
      <c r="E57" s="661">
        <f t="shared" si="19"/>
        <v>0</v>
      </c>
      <c r="F57" s="661">
        <f t="shared" si="19"/>
        <v>0</v>
      </c>
      <c r="G57" s="668"/>
      <c r="H57" s="668"/>
      <c r="I57" s="669">
        <f t="shared" si="32"/>
        <v>0</v>
      </c>
      <c r="J57" s="668"/>
      <c r="K57" s="668"/>
      <c r="L57" s="669">
        <f t="shared" si="33"/>
        <v>0</v>
      </c>
      <c r="M57" s="668"/>
      <c r="N57" s="668"/>
      <c r="O57" s="669">
        <f t="shared" si="34"/>
        <v>0</v>
      </c>
      <c r="P57" s="669"/>
      <c r="Q57" s="669"/>
      <c r="R57" s="669"/>
      <c r="S57" s="668"/>
      <c r="T57" s="231"/>
      <c r="U57" s="661">
        <f t="shared" si="36"/>
        <v>0</v>
      </c>
    </row>
    <row r="58" spans="1:21" ht="15" customHeight="1" x14ac:dyDescent="0.3">
      <c r="A58" s="169" t="s">
        <v>79</v>
      </c>
      <c r="B58" s="1262" t="s">
        <v>78</v>
      </c>
      <c r="C58" s="1263"/>
      <c r="D58" s="661">
        <f t="shared" si="19"/>
        <v>275</v>
      </c>
      <c r="E58" s="661">
        <f t="shared" si="19"/>
        <v>10</v>
      </c>
      <c r="F58" s="661">
        <f t="shared" si="19"/>
        <v>285</v>
      </c>
      <c r="G58" s="668">
        <v>250</v>
      </c>
      <c r="H58" s="668">
        <v>10</v>
      </c>
      <c r="I58" s="669">
        <f t="shared" si="32"/>
        <v>260</v>
      </c>
      <c r="J58" s="668"/>
      <c r="K58" s="668"/>
      <c r="L58" s="669">
        <f t="shared" si="33"/>
        <v>0</v>
      </c>
      <c r="M58" s="668"/>
      <c r="N58" s="668"/>
      <c r="O58" s="669">
        <f t="shared" si="34"/>
        <v>0</v>
      </c>
      <c r="P58" s="669"/>
      <c r="Q58" s="669"/>
      <c r="R58" s="669"/>
      <c r="S58" s="668">
        <v>25</v>
      </c>
      <c r="T58" s="231"/>
      <c r="U58" s="661">
        <f t="shared" si="36"/>
        <v>25</v>
      </c>
    </row>
    <row r="59" spans="1:21" ht="28.5" customHeight="1" x14ac:dyDescent="0.3">
      <c r="A59" s="232" t="s">
        <v>80</v>
      </c>
      <c r="B59" s="1264" t="s">
        <v>152</v>
      </c>
      <c r="C59" s="1265"/>
      <c r="D59" s="662">
        <f t="shared" si="19"/>
        <v>3792.98</v>
      </c>
      <c r="E59" s="233">
        <f t="shared" ref="E59:U59" si="37">SUM(E54:E58)</f>
        <v>12</v>
      </c>
      <c r="F59" s="662">
        <f t="shared" si="37"/>
        <v>3804.98</v>
      </c>
      <c r="G59" s="670">
        <f t="shared" si="37"/>
        <v>2763</v>
      </c>
      <c r="H59" s="667">
        <f t="shared" si="37"/>
        <v>12</v>
      </c>
      <c r="I59" s="667">
        <f t="shared" si="37"/>
        <v>2775</v>
      </c>
      <c r="J59" s="670">
        <f t="shared" si="37"/>
        <v>524.34</v>
      </c>
      <c r="K59" s="667">
        <f t="shared" si="37"/>
        <v>0</v>
      </c>
      <c r="L59" s="670">
        <f t="shared" si="37"/>
        <v>524.34</v>
      </c>
      <c r="M59" s="667">
        <f t="shared" si="37"/>
        <v>324</v>
      </c>
      <c r="N59" s="667">
        <f t="shared" si="37"/>
        <v>0</v>
      </c>
      <c r="O59" s="667">
        <f t="shared" si="37"/>
        <v>324</v>
      </c>
      <c r="P59" s="670">
        <f t="shared" ref="P59:R59" si="38">SUM(P54:P58)</f>
        <v>0</v>
      </c>
      <c r="Q59" s="233">
        <f t="shared" si="38"/>
        <v>27</v>
      </c>
      <c r="R59" s="662">
        <f t="shared" si="38"/>
        <v>27</v>
      </c>
      <c r="S59" s="670">
        <f t="shared" si="37"/>
        <v>181.64</v>
      </c>
      <c r="T59" s="233">
        <f t="shared" si="37"/>
        <v>-27</v>
      </c>
      <c r="U59" s="662">
        <f t="shared" si="37"/>
        <v>154.63999999999999</v>
      </c>
    </row>
    <row r="60" spans="1:21" ht="15" customHeight="1" x14ac:dyDescent="0.3">
      <c r="A60" s="232" t="s">
        <v>81</v>
      </c>
      <c r="B60" s="1264" t="s">
        <v>345</v>
      </c>
      <c r="C60" s="1265"/>
      <c r="D60" s="662">
        <f t="shared" si="19"/>
        <v>15716.98</v>
      </c>
      <c r="E60" s="233">
        <f t="shared" ref="E60:U60" si="39">+E59+E53+E50+E40+E37</f>
        <v>1515</v>
      </c>
      <c r="F60" s="233">
        <f t="shared" si="39"/>
        <v>17231.98</v>
      </c>
      <c r="G60" s="670">
        <f>+G59+G53+G50+G40+G37</f>
        <v>11618</v>
      </c>
      <c r="H60" s="667">
        <f t="shared" si="39"/>
        <v>1515</v>
      </c>
      <c r="I60" s="667">
        <f t="shared" si="39"/>
        <v>13133</v>
      </c>
      <c r="J60" s="670">
        <f t="shared" si="39"/>
        <v>1466.3400000000001</v>
      </c>
      <c r="K60" s="667">
        <f t="shared" si="39"/>
        <v>0</v>
      </c>
      <c r="L60" s="670">
        <f t="shared" si="39"/>
        <v>1466.3400000000001</v>
      </c>
      <c r="M60" s="667">
        <f t="shared" si="39"/>
        <v>1524</v>
      </c>
      <c r="N60" s="667">
        <f t="shared" si="39"/>
        <v>0</v>
      </c>
      <c r="O60" s="667">
        <f t="shared" si="39"/>
        <v>1524</v>
      </c>
      <c r="P60" s="670">
        <f t="shared" si="39"/>
        <v>0</v>
      </c>
      <c r="Q60" s="233">
        <f t="shared" si="39"/>
        <v>557</v>
      </c>
      <c r="R60" s="662">
        <f t="shared" si="39"/>
        <v>557</v>
      </c>
      <c r="S60" s="670">
        <f t="shared" si="39"/>
        <v>1108.6399999999999</v>
      </c>
      <c r="T60" s="233">
        <f t="shared" si="39"/>
        <v>-557</v>
      </c>
      <c r="U60" s="662">
        <f t="shared" si="39"/>
        <v>551.64</v>
      </c>
    </row>
    <row r="61" spans="1:21" ht="15" customHeight="1" x14ac:dyDescent="0.3">
      <c r="A61" s="170"/>
      <c r="B61" s="886"/>
      <c r="C61" s="886"/>
      <c r="D61" s="995"/>
      <c r="E61" s="233"/>
      <c r="F61" s="233"/>
      <c r="G61" s="996"/>
      <c r="H61" s="997"/>
      <c r="I61" s="667"/>
      <c r="J61" s="996"/>
      <c r="K61" s="997"/>
      <c r="L61" s="998"/>
      <c r="M61" s="999"/>
      <c r="N61" s="997"/>
      <c r="O61" s="1000"/>
      <c r="P61" s="1001"/>
      <c r="Q61" s="1002"/>
      <c r="R61" s="995"/>
      <c r="S61" s="996"/>
      <c r="T61" s="1002"/>
      <c r="U61" s="1003"/>
    </row>
    <row r="62" spans="1:21" ht="31.5" customHeight="1" x14ac:dyDescent="0.3">
      <c r="A62" s="1004" t="s">
        <v>101</v>
      </c>
      <c r="B62" s="1242" t="s">
        <v>862</v>
      </c>
      <c r="C62" s="1107"/>
      <c r="D62" s="231"/>
      <c r="E62" s="661">
        <v>82</v>
      </c>
      <c r="F62" s="661">
        <f t="shared" ref="F62" si="40">+I62+L62+O62+U62</f>
        <v>82</v>
      </c>
      <c r="G62" s="668"/>
      <c r="H62" s="668">
        <v>82</v>
      </c>
      <c r="I62" s="722">
        <f>+H62+G62</f>
        <v>82</v>
      </c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231"/>
      <c r="U62" s="231"/>
    </row>
    <row r="63" spans="1:21" ht="24" customHeight="1" x14ac:dyDescent="0.3">
      <c r="A63" s="169" t="s">
        <v>107</v>
      </c>
      <c r="B63" s="1262" t="s">
        <v>164</v>
      </c>
      <c r="C63" s="1263"/>
      <c r="D63" s="721">
        <f>+J63+M63+S63+G63</f>
        <v>14353</v>
      </c>
      <c r="E63" s="721">
        <f>+K63+N63+T63+H63</f>
        <v>0</v>
      </c>
      <c r="F63" s="721">
        <f>+L63+O63+U63+I63</f>
        <v>14353</v>
      </c>
      <c r="G63" s="722">
        <v>10978</v>
      </c>
      <c r="H63" s="722"/>
      <c r="I63" s="722">
        <f>+H63+G63</f>
        <v>10978</v>
      </c>
      <c r="J63" s="722"/>
      <c r="K63" s="722"/>
      <c r="L63" s="722">
        <f>+K63+J63</f>
        <v>0</v>
      </c>
      <c r="M63" s="722"/>
      <c r="N63" s="722"/>
      <c r="O63" s="722"/>
      <c r="P63" s="722"/>
      <c r="Q63" s="722"/>
      <c r="R63" s="722"/>
      <c r="S63" s="722">
        <v>3375</v>
      </c>
      <c r="T63" s="765"/>
      <c r="U63" s="765">
        <f>+T63+S63</f>
        <v>3375</v>
      </c>
    </row>
    <row r="64" spans="1:21" ht="38.25" customHeight="1" x14ac:dyDescent="0.3">
      <c r="A64" s="185" t="s">
        <v>107</v>
      </c>
      <c r="B64" s="175"/>
      <c r="C64" s="186" t="s">
        <v>104</v>
      </c>
      <c r="D64" s="721">
        <f>(((+G64+J64)+M64)+S64)</f>
        <v>14353</v>
      </c>
      <c r="E64" s="721">
        <f>(((+H64+K64)+N64)+T64)</f>
        <v>0</v>
      </c>
      <c r="F64" s="721">
        <f>(((+I64+L64)+O64)+U64)</f>
        <v>14353</v>
      </c>
      <c r="G64" s="722">
        <v>10978</v>
      </c>
      <c r="H64" s="722"/>
      <c r="I64" s="722">
        <f>+H64+G64</f>
        <v>10978</v>
      </c>
      <c r="J64" s="722"/>
      <c r="K64" s="722"/>
      <c r="L64" s="722">
        <f>+K64+J64</f>
        <v>0</v>
      </c>
      <c r="M64" s="722"/>
      <c r="N64" s="722"/>
      <c r="O64" s="722"/>
      <c r="P64" s="722"/>
      <c r="Q64" s="722"/>
      <c r="R64" s="722"/>
      <c r="S64" s="722">
        <v>3375</v>
      </c>
      <c r="T64" s="765"/>
      <c r="U64" s="765">
        <f>+T64+S64</f>
        <v>3375</v>
      </c>
    </row>
    <row r="65" spans="1:21" ht="15" customHeight="1" x14ac:dyDescent="0.3">
      <c r="A65" s="232" t="s">
        <v>108</v>
      </c>
      <c r="B65" s="1264" t="s">
        <v>163</v>
      </c>
      <c r="C65" s="1265"/>
      <c r="D65" s="233">
        <f>+G65+S65</f>
        <v>14353</v>
      </c>
      <c r="E65" s="662">
        <f>+E62</f>
        <v>82</v>
      </c>
      <c r="F65" s="662">
        <f>+F63+F62</f>
        <v>14435</v>
      </c>
      <c r="G65" s="667">
        <f>+G63</f>
        <v>10978</v>
      </c>
      <c r="H65" s="667">
        <f t="shared" ref="H65:U65" si="41">+H63</f>
        <v>0</v>
      </c>
      <c r="I65" s="667">
        <f>+I63+I62</f>
        <v>11060</v>
      </c>
      <c r="J65" s="667">
        <f t="shared" si="41"/>
        <v>0</v>
      </c>
      <c r="K65" s="667">
        <f t="shared" si="41"/>
        <v>0</v>
      </c>
      <c r="L65" s="667">
        <f t="shared" si="41"/>
        <v>0</v>
      </c>
      <c r="M65" s="667">
        <f t="shared" si="41"/>
        <v>0</v>
      </c>
      <c r="N65" s="667">
        <f t="shared" si="41"/>
        <v>0</v>
      </c>
      <c r="O65" s="667">
        <f t="shared" si="41"/>
        <v>0</v>
      </c>
      <c r="P65" s="667">
        <f>+P63</f>
        <v>0</v>
      </c>
      <c r="Q65" s="233">
        <f t="shared" si="41"/>
        <v>0</v>
      </c>
      <c r="R65" s="233">
        <f t="shared" si="41"/>
        <v>0</v>
      </c>
      <c r="S65" s="667">
        <f>+S63</f>
        <v>3375</v>
      </c>
      <c r="T65" s="233">
        <f t="shared" si="41"/>
        <v>0</v>
      </c>
      <c r="U65" s="233">
        <f t="shared" si="41"/>
        <v>3375</v>
      </c>
    </row>
    <row r="66" spans="1:21" ht="27.75" customHeight="1" x14ac:dyDescent="0.3">
      <c r="A66" s="187"/>
      <c r="B66" s="188"/>
      <c r="C66" s="188"/>
      <c r="D66" s="189"/>
      <c r="E66" s="189"/>
      <c r="F66" s="189"/>
      <c r="G66" s="663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663"/>
      <c r="T66" s="189"/>
      <c r="U66" s="189"/>
    </row>
    <row r="67" spans="1:21" ht="21.75" customHeight="1" x14ac:dyDescent="0.3">
      <c r="A67" s="190"/>
      <c r="B67" s="191"/>
      <c r="C67" s="191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</row>
    <row r="68" spans="1:21" ht="27.75" customHeight="1" x14ac:dyDescent="0.3">
      <c r="A68" s="169" t="s">
        <v>110</v>
      </c>
      <c r="B68" s="1262" t="s">
        <v>109</v>
      </c>
      <c r="C68" s="1263"/>
      <c r="D68" s="231">
        <f>+G68+J68+M68+S68</f>
        <v>0</v>
      </c>
      <c r="E68" s="231">
        <f>+H68+K68+N68+T68</f>
        <v>0</v>
      </c>
      <c r="F68" s="231">
        <f>+I68+L68+O68+U68</f>
        <v>0</v>
      </c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</row>
    <row r="69" spans="1:21" ht="15" customHeight="1" x14ac:dyDescent="0.3">
      <c r="A69" s="169" t="s">
        <v>111</v>
      </c>
      <c r="B69" s="1262" t="s">
        <v>440</v>
      </c>
      <c r="C69" s="1263"/>
      <c r="D69" s="231">
        <f t="shared" ref="D69:F75" si="42">+G69+J69+M69+S69</f>
        <v>0</v>
      </c>
      <c r="E69" s="231">
        <f t="shared" si="42"/>
        <v>0</v>
      </c>
      <c r="F69" s="231">
        <f t="shared" si="42"/>
        <v>0</v>
      </c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</row>
    <row r="70" spans="1:21" ht="25.5" customHeight="1" x14ac:dyDescent="0.3">
      <c r="A70" s="174" t="s">
        <v>111</v>
      </c>
      <c r="B70" s="175"/>
      <c r="C70" s="186" t="s">
        <v>112</v>
      </c>
      <c r="D70" s="231">
        <f t="shared" si="42"/>
        <v>0</v>
      </c>
      <c r="E70" s="231">
        <f t="shared" si="42"/>
        <v>0</v>
      </c>
      <c r="F70" s="231">
        <f t="shared" si="42"/>
        <v>0</v>
      </c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</row>
    <row r="71" spans="1:21" ht="30.75" customHeight="1" x14ac:dyDescent="0.3">
      <c r="A71" s="169" t="s">
        <v>114</v>
      </c>
      <c r="B71" s="1262" t="s">
        <v>113</v>
      </c>
      <c r="C71" s="1263"/>
      <c r="D71" s="231">
        <f t="shared" si="42"/>
        <v>0</v>
      </c>
      <c r="E71" s="231">
        <f t="shared" si="42"/>
        <v>0</v>
      </c>
      <c r="F71" s="231">
        <f t="shared" si="42"/>
        <v>0</v>
      </c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</row>
    <row r="72" spans="1:21" ht="28.5" customHeight="1" x14ac:dyDescent="0.3">
      <c r="A72" s="169" t="s">
        <v>116</v>
      </c>
      <c r="B72" s="1262" t="s">
        <v>115</v>
      </c>
      <c r="C72" s="1263"/>
      <c r="D72" s="231">
        <f t="shared" si="42"/>
        <v>0</v>
      </c>
      <c r="E72" s="231">
        <f t="shared" si="42"/>
        <v>57</v>
      </c>
      <c r="F72" s="661">
        <f t="shared" si="42"/>
        <v>57</v>
      </c>
      <c r="G72" s="231"/>
      <c r="H72" s="231">
        <v>57</v>
      </c>
      <c r="I72" s="231">
        <v>57</v>
      </c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</row>
    <row r="73" spans="1:21" ht="15" customHeight="1" x14ac:dyDescent="0.3">
      <c r="A73" s="169" t="s">
        <v>118</v>
      </c>
      <c r="B73" s="1262" t="s">
        <v>117</v>
      </c>
      <c r="C73" s="1263"/>
      <c r="D73" s="231">
        <f t="shared" si="42"/>
        <v>0</v>
      </c>
      <c r="E73" s="231">
        <f t="shared" si="42"/>
        <v>0</v>
      </c>
      <c r="F73" s="231">
        <f t="shared" si="42"/>
        <v>0</v>
      </c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</row>
    <row r="74" spans="1:21" ht="27.75" customHeight="1" x14ac:dyDescent="0.3">
      <c r="A74" s="169" t="s">
        <v>120</v>
      </c>
      <c r="B74" s="1262" t="s">
        <v>119</v>
      </c>
      <c r="C74" s="1263"/>
      <c r="D74" s="231">
        <f t="shared" si="42"/>
        <v>0</v>
      </c>
      <c r="E74" s="231">
        <f t="shared" si="42"/>
        <v>0</v>
      </c>
      <c r="F74" s="231">
        <f t="shared" si="42"/>
        <v>0</v>
      </c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</row>
    <row r="75" spans="1:21" ht="36.75" customHeight="1" x14ac:dyDescent="0.3">
      <c r="A75" s="169" t="s">
        <v>122</v>
      </c>
      <c r="B75" s="1262" t="s">
        <v>121</v>
      </c>
      <c r="C75" s="1263"/>
      <c r="D75" s="231">
        <f t="shared" si="42"/>
        <v>0</v>
      </c>
      <c r="E75" s="231">
        <f t="shared" si="42"/>
        <v>15</v>
      </c>
      <c r="F75" s="231">
        <f t="shared" si="42"/>
        <v>15</v>
      </c>
      <c r="G75" s="231"/>
      <c r="H75" s="231">
        <v>15</v>
      </c>
      <c r="I75" s="231">
        <v>15</v>
      </c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</row>
    <row r="76" spans="1:21" ht="15" customHeight="1" x14ac:dyDescent="0.3">
      <c r="A76" s="232" t="s">
        <v>123</v>
      </c>
      <c r="B76" s="1264" t="s">
        <v>161</v>
      </c>
      <c r="C76" s="1265"/>
      <c r="D76" s="233">
        <f>SUM(D68:D75)</f>
        <v>0</v>
      </c>
      <c r="E76" s="233">
        <f t="shared" ref="E76:U76" si="43">SUM(E68:E75)</f>
        <v>72</v>
      </c>
      <c r="F76" s="233">
        <f t="shared" si="43"/>
        <v>72</v>
      </c>
      <c r="G76" s="233">
        <f t="shared" si="43"/>
        <v>0</v>
      </c>
      <c r="H76" s="233">
        <f t="shared" si="43"/>
        <v>72</v>
      </c>
      <c r="I76" s="233">
        <f t="shared" si="43"/>
        <v>72</v>
      </c>
      <c r="J76" s="233">
        <f t="shared" si="43"/>
        <v>0</v>
      </c>
      <c r="K76" s="233">
        <f t="shared" si="43"/>
        <v>0</v>
      </c>
      <c r="L76" s="233">
        <f t="shared" si="43"/>
        <v>0</v>
      </c>
      <c r="M76" s="233">
        <f t="shared" si="43"/>
        <v>0</v>
      </c>
      <c r="N76" s="233">
        <f t="shared" si="43"/>
        <v>0</v>
      </c>
      <c r="O76" s="233">
        <f t="shared" si="43"/>
        <v>0</v>
      </c>
      <c r="P76" s="233">
        <f t="shared" si="43"/>
        <v>0</v>
      </c>
      <c r="Q76" s="233">
        <f t="shared" si="43"/>
        <v>0</v>
      </c>
      <c r="R76" s="233">
        <f t="shared" si="43"/>
        <v>0</v>
      </c>
      <c r="S76" s="233">
        <f t="shared" si="43"/>
        <v>0</v>
      </c>
      <c r="T76" s="233">
        <f t="shared" si="43"/>
        <v>0</v>
      </c>
      <c r="U76" s="233">
        <f t="shared" si="43"/>
        <v>0</v>
      </c>
    </row>
    <row r="77" spans="1:21" s="593" customFormat="1" x14ac:dyDescent="0.3">
      <c r="A77" s="170"/>
      <c r="B77" s="171"/>
      <c r="C77" s="171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</row>
    <row r="78" spans="1:21" ht="15" hidden="1" customHeight="1" x14ac:dyDescent="0.3">
      <c r="A78" s="169" t="s">
        <v>125</v>
      </c>
      <c r="B78" s="1262" t="s">
        <v>124</v>
      </c>
      <c r="C78" s="1263"/>
      <c r="D78" s="231">
        <f>(((+G78+J78)+M78)+S78)</f>
        <v>0</v>
      </c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  <c r="U78" s="231"/>
    </row>
    <row r="79" spans="1:21" ht="15" hidden="1" customHeight="1" x14ac:dyDescent="0.3">
      <c r="A79" s="169" t="s">
        <v>127</v>
      </c>
      <c r="B79" s="1262" t="s">
        <v>126</v>
      </c>
      <c r="C79" s="1263"/>
      <c r="D79" s="231">
        <f t="shared" ref="D79:D81" si="44">(((+G79+J79)+M79)+S79)</f>
        <v>0</v>
      </c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  <c r="U79" s="231"/>
    </row>
    <row r="80" spans="1:21" ht="15" hidden="1" customHeight="1" x14ac:dyDescent="0.3">
      <c r="A80" s="169" t="s">
        <v>129</v>
      </c>
      <c r="B80" s="1262" t="s">
        <v>441</v>
      </c>
      <c r="C80" s="1263"/>
      <c r="D80" s="231">
        <f t="shared" si="44"/>
        <v>0</v>
      </c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</row>
    <row r="81" spans="1:21" ht="23.25" hidden="1" customHeight="1" x14ac:dyDescent="0.3">
      <c r="A81" s="169" t="s">
        <v>131</v>
      </c>
      <c r="B81" s="1262" t="s">
        <v>130</v>
      </c>
      <c r="C81" s="1263"/>
      <c r="D81" s="231">
        <f t="shared" si="44"/>
        <v>0</v>
      </c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</row>
    <row r="82" spans="1:21" ht="15" customHeight="1" x14ac:dyDescent="0.3">
      <c r="A82" s="232" t="s">
        <v>132</v>
      </c>
      <c r="B82" s="1264" t="s">
        <v>316</v>
      </c>
      <c r="C82" s="1265"/>
      <c r="D82" s="233">
        <f t="shared" ref="D82:U82" si="45">SUM(D78:D81)</f>
        <v>0</v>
      </c>
      <c r="E82" s="233">
        <f t="shared" si="45"/>
        <v>0</v>
      </c>
      <c r="F82" s="233">
        <f t="shared" si="45"/>
        <v>0</v>
      </c>
      <c r="G82" s="233">
        <f t="shared" si="45"/>
        <v>0</v>
      </c>
      <c r="H82" s="233">
        <f t="shared" si="45"/>
        <v>0</v>
      </c>
      <c r="I82" s="233">
        <f t="shared" si="45"/>
        <v>0</v>
      </c>
      <c r="J82" s="233">
        <f t="shared" si="45"/>
        <v>0</v>
      </c>
      <c r="K82" s="233">
        <f t="shared" si="45"/>
        <v>0</v>
      </c>
      <c r="L82" s="233">
        <f t="shared" si="45"/>
        <v>0</v>
      </c>
      <c r="M82" s="233">
        <f t="shared" si="45"/>
        <v>0</v>
      </c>
      <c r="N82" s="233">
        <f t="shared" si="45"/>
        <v>0</v>
      </c>
      <c r="O82" s="233">
        <f t="shared" si="45"/>
        <v>0</v>
      </c>
      <c r="P82" s="233">
        <f t="shared" ref="P82:R82" si="46">SUM(P78:P81)</f>
        <v>0</v>
      </c>
      <c r="Q82" s="233">
        <f t="shared" si="46"/>
        <v>0</v>
      </c>
      <c r="R82" s="233">
        <f t="shared" si="46"/>
        <v>0</v>
      </c>
      <c r="S82" s="233">
        <f t="shared" si="45"/>
        <v>0</v>
      </c>
      <c r="T82" s="233">
        <f t="shared" si="45"/>
        <v>0</v>
      </c>
      <c r="U82" s="233">
        <f t="shared" si="45"/>
        <v>0</v>
      </c>
    </row>
    <row r="83" spans="1:21" s="593" customFormat="1" x14ac:dyDescent="0.3">
      <c r="A83" s="170"/>
      <c r="B83" s="171"/>
      <c r="C83" s="171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</row>
    <row r="84" spans="1:21" ht="15" customHeight="1" x14ac:dyDescent="0.3">
      <c r="A84" s="232" t="s">
        <v>134</v>
      </c>
      <c r="B84" s="1264" t="s">
        <v>158</v>
      </c>
      <c r="C84" s="1265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</row>
    <row r="85" spans="1:21" s="593" customFormat="1" ht="15" thickBot="1" x14ac:dyDescent="0.35">
      <c r="A85" s="170"/>
      <c r="B85" s="171"/>
      <c r="C85" s="171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</row>
    <row r="86" spans="1:21" ht="15.75" customHeight="1" thickBot="1" x14ac:dyDescent="0.35">
      <c r="A86" s="192" t="s">
        <v>135</v>
      </c>
      <c r="B86" s="1266" t="s">
        <v>442</v>
      </c>
      <c r="C86" s="1267"/>
      <c r="D86" s="664">
        <f>+D84+D82+D76+D65+D60+D26+D24</f>
        <v>58746.979999999996</v>
      </c>
      <c r="E86" s="193">
        <f t="shared" ref="E86:U86" si="47">+E84+E82+E76+E65+E60+E26+E24</f>
        <v>2424</v>
      </c>
      <c r="F86" s="193">
        <f t="shared" si="47"/>
        <v>61170.979999999996</v>
      </c>
      <c r="G86" s="664">
        <f t="shared" si="47"/>
        <v>38988</v>
      </c>
      <c r="H86" s="193">
        <f t="shared" si="47"/>
        <v>1936</v>
      </c>
      <c r="I86" s="193">
        <f t="shared" si="47"/>
        <v>41006</v>
      </c>
      <c r="J86" s="664">
        <f t="shared" si="47"/>
        <v>7792.34</v>
      </c>
      <c r="K86" s="193">
        <f t="shared" si="47"/>
        <v>207</v>
      </c>
      <c r="L86" s="664">
        <f t="shared" si="47"/>
        <v>7999.34</v>
      </c>
      <c r="M86" s="664">
        <f t="shared" si="47"/>
        <v>4508</v>
      </c>
      <c r="N86" s="193">
        <f t="shared" si="47"/>
        <v>107</v>
      </c>
      <c r="O86" s="193">
        <f t="shared" si="47"/>
        <v>4615</v>
      </c>
      <c r="P86" s="664">
        <f t="shared" si="47"/>
        <v>0</v>
      </c>
      <c r="Q86" s="193">
        <f t="shared" si="47"/>
        <v>557</v>
      </c>
      <c r="R86" s="664">
        <f t="shared" si="47"/>
        <v>557</v>
      </c>
      <c r="S86" s="664">
        <f t="shared" si="47"/>
        <v>7458.6399999999994</v>
      </c>
      <c r="T86" s="193">
        <f t="shared" si="47"/>
        <v>-465</v>
      </c>
      <c r="U86" s="664">
        <f t="shared" si="47"/>
        <v>6993.6399999999994</v>
      </c>
    </row>
  </sheetData>
  <mergeCells count="77">
    <mergeCell ref="B40:C40"/>
    <mergeCell ref="B20:C20"/>
    <mergeCell ref="B16:C16"/>
    <mergeCell ref="B14:C14"/>
    <mergeCell ref="B15:C15"/>
    <mergeCell ref="B24:C24"/>
    <mergeCell ref="J3:L3"/>
    <mergeCell ref="M3:O3"/>
    <mergeCell ref="P3:R3"/>
    <mergeCell ref="A2:A4"/>
    <mergeCell ref="D2:F3"/>
    <mergeCell ref="B2:C4"/>
    <mergeCell ref="G2:I2"/>
    <mergeCell ref="J2:L2"/>
    <mergeCell ref="G3:I3"/>
    <mergeCell ref="B55:C55"/>
    <mergeCell ref="B56:C56"/>
    <mergeCell ref="B45:C45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B74:C74"/>
    <mergeCell ref="B72:C72"/>
    <mergeCell ref="B81:C81"/>
    <mergeCell ref="B63:C63"/>
    <mergeCell ref="B57:C57"/>
    <mergeCell ref="B65:C65"/>
    <mergeCell ref="B68:C68"/>
    <mergeCell ref="B78:C78"/>
    <mergeCell ref="B71:C71"/>
    <mergeCell ref="B54:C54"/>
    <mergeCell ref="B52:C52"/>
    <mergeCell ref="B51:C51"/>
    <mergeCell ref="B86:C86"/>
    <mergeCell ref="B58:C58"/>
    <mergeCell ref="B59:C59"/>
    <mergeCell ref="B76:C76"/>
    <mergeCell ref="B69:C69"/>
    <mergeCell ref="B60:C60"/>
    <mergeCell ref="B62:C62"/>
    <mergeCell ref="B84:C84"/>
    <mergeCell ref="B79:C79"/>
    <mergeCell ref="B80:C80"/>
    <mergeCell ref="B82:C82"/>
    <mergeCell ref="B73:C73"/>
    <mergeCell ref="B75:C75"/>
    <mergeCell ref="B44:C44"/>
    <mergeCell ref="B48:C48"/>
    <mergeCell ref="B49:C49"/>
    <mergeCell ref="B50:C50"/>
    <mergeCell ref="B53:C53"/>
    <mergeCell ref="S2:U2"/>
    <mergeCell ref="S3:U3"/>
    <mergeCell ref="B41:C41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  <mergeCell ref="M2:O2"/>
    <mergeCell ref="P2:R2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2018.
Brunszvik-Beehtoven Kulturális Központ&amp;R&amp;"Times New Roman,Félkövér"&amp;12 6.c melléklet</oddHeader>
  </headerFooter>
  <rowBreaks count="2" manualBreakCount="2">
    <brk id="31" max="16383" man="1"/>
    <brk id="6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26" zoomScaleNormal="100" workbookViewId="0">
      <selection activeCell="B49" sqref="B49"/>
    </sheetView>
  </sheetViews>
  <sheetFormatPr defaultColWidth="9.109375" defaultRowHeight="13.2" x14ac:dyDescent="0.3"/>
  <cols>
    <col min="1" max="1" width="6.88671875" style="155" customWidth="1"/>
    <col min="2" max="2" width="50.109375" style="155" customWidth="1"/>
    <col min="3" max="3" width="10.44140625" style="155" customWidth="1"/>
    <col min="4" max="5" width="9.5546875" style="157" bestFit="1" customWidth="1"/>
    <col min="6" max="16384" width="9.109375" style="155"/>
  </cols>
  <sheetData>
    <row r="1" spans="1:6" ht="14.25" customHeight="1" thickBot="1" x14ac:dyDescent="0.3">
      <c r="B1" s="156"/>
      <c r="D1" s="1283" t="s">
        <v>393</v>
      </c>
      <c r="E1" s="1283"/>
      <c r="F1" s="66"/>
    </row>
    <row r="2" spans="1:6" s="156" customFormat="1" ht="53.4" thickBot="1" x14ac:dyDescent="0.35">
      <c r="A2" s="599" t="s">
        <v>350</v>
      </c>
      <c r="B2" s="600" t="s">
        <v>351</v>
      </c>
      <c r="C2" s="600" t="s">
        <v>282</v>
      </c>
      <c r="D2" s="600" t="s">
        <v>792</v>
      </c>
      <c r="E2" s="600" t="s">
        <v>305</v>
      </c>
    </row>
    <row r="3" spans="1:6" ht="12.75" customHeight="1" x14ac:dyDescent="0.3">
      <c r="A3" s="584">
        <v>1</v>
      </c>
      <c r="B3" s="597"/>
      <c r="C3" s="598"/>
      <c r="D3" s="598"/>
      <c r="E3" s="598"/>
    </row>
    <row r="4" spans="1:6" s="158" customFormat="1" ht="12.75" customHeight="1" x14ac:dyDescent="0.3">
      <c r="A4" s="571">
        <v>2</v>
      </c>
      <c r="B4" s="153" t="s">
        <v>425</v>
      </c>
      <c r="C4" s="154"/>
      <c r="D4" s="154"/>
      <c r="E4" s="154"/>
    </row>
    <row r="5" spans="1:6" s="158" customFormat="1" ht="12.75" customHeight="1" x14ac:dyDescent="0.3">
      <c r="A5" s="571">
        <v>3</v>
      </c>
      <c r="B5" s="153"/>
      <c r="C5" s="154"/>
      <c r="D5" s="154"/>
      <c r="E5" s="154"/>
    </row>
    <row r="6" spans="1:6" s="158" customFormat="1" ht="12.75" customHeight="1" x14ac:dyDescent="0.3">
      <c r="A6" s="571">
        <v>4</v>
      </c>
      <c r="B6" s="111" t="s">
        <v>782</v>
      </c>
      <c r="C6" s="110">
        <v>180902</v>
      </c>
      <c r="D6" s="154"/>
      <c r="E6" s="110">
        <f>+D6+C6</f>
        <v>180902</v>
      </c>
    </row>
    <row r="7" spans="1:6" s="158" customFormat="1" ht="12.75" customHeight="1" x14ac:dyDescent="0.3">
      <c r="A7" s="571">
        <v>5</v>
      </c>
      <c r="B7" s="111" t="s">
        <v>783</v>
      </c>
      <c r="C7" s="110">
        <v>105636</v>
      </c>
      <c r="D7" s="154"/>
      <c r="E7" s="110">
        <f t="shared" ref="E7:E10" si="0">+D7+C7</f>
        <v>105636</v>
      </c>
    </row>
    <row r="8" spans="1:6" s="158" customFormat="1" ht="12.75" customHeight="1" x14ac:dyDescent="0.3">
      <c r="A8" s="571">
        <v>6</v>
      </c>
      <c r="B8" s="111" t="s">
        <v>784</v>
      </c>
      <c r="C8" s="110">
        <v>74631</v>
      </c>
      <c r="D8" s="154"/>
      <c r="E8" s="110">
        <f t="shared" si="0"/>
        <v>74631</v>
      </c>
    </row>
    <row r="9" spans="1:6" s="158" customFormat="1" ht="12.75" customHeight="1" x14ac:dyDescent="0.3">
      <c r="A9" s="571">
        <v>7</v>
      </c>
      <c r="B9" s="111" t="s">
        <v>785</v>
      </c>
      <c r="C9" s="110">
        <v>451823</v>
      </c>
      <c r="D9" s="154"/>
      <c r="E9" s="110">
        <f t="shared" si="0"/>
        <v>451823</v>
      </c>
    </row>
    <row r="10" spans="1:6" ht="12.75" customHeight="1" x14ac:dyDescent="0.3">
      <c r="A10" s="571">
        <v>8</v>
      </c>
      <c r="B10" s="109" t="s">
        <v>786</v>
      </c>
      <c r="C10" s="110">
        <v>122820</v>
      </c>
      <c r="D10" s="114"/>
      <c r="E10" s="110">
        <f t="shared" si="0"/>
        <v>122820</v>
      </c>
    </row>
    <row r="11" spans="1:6" s="158" customFormat="1" ht="12.75" customHeight="1" x14ac:dyDescent="0.3">
      <c r="A11" s="571">
        <v>9</v>
      </c>
      <c r="B11" s="159" t="s">
        <v>352</v>
      </c>
      <c r="C11" s="745">
        <f>SUM(C6:C10)</f>
        <v>935812</v>
      </c>
      <c r="D11" s="745">
        <f t="shared" ref="D11:E11" si="1">SUM(D6:D10)</f>
        <v>0</v>
      </c>
      <c r="E11" s="745">
        <f t="shared" si="1"/>
        <v>935812</v>
      </c>
    </row>
    <row r="12" spans="1:6" s="158" customFormat="1" ht="12.75" customHeight="1" x14ac:dyDescent="0.3">
      <c r="A12" s="571">
        <v>10</v>
      </c>
      <c r="B12" s="589"/>
      <c r="C12" s="154"/>
      <c r="D12" s="154"/>
      <c r="E12" s="154"/>
    </row>
    <row r="13" spans="1:6" ht="12.75" customHeight="1" x14ac:dyDescent="0.3">
      <c r="A13" s="571">
        <v>11</v>
      </c>
      <c r="B13" s="116" t="s">
        <v>424</v>
      </c>
      <c r="C13" s="154">
        <f>+C11+C4</f>
        <v>935812</v>
      </c>
      <c r="D13" s="154">
        <f t="shared" ref="D13:E13" si="2">+D11+D4</f>
        <v>0</v>
      </c>
      <c r="E13" s="154">
        <f t="shared" si="2"/>
        <v>935812</v>
      </c>
    </row>
    <row r="14" spans="1:6" ht="12.75" customHeight="1" x14ac:dyDescent="0.3">
      <c r="A14" s="571">
        <v>12</v>
      </c>
      <c r="B14" s="116"/>
      <c r="C14" s="110"/>
      <c r="D14" s="115"/>
      <c r="E14" s="115"/>
    </row>
    <row r="15" spans="1:6" ht="12.75" customHeight="1" x14ac:dyDescent="0.3">
      <c r="A15" s="571">
        <v>13</v>
      </c>
      <c r="B15" s="153" t="s">
        <v>356</v>
      </c>
      <c r="C15" s="110"/>
      <c r="D15" s="115"/>
      <c r="E15" s="115"/>
    </row>
    <row r="16" spans="1:6" ht="12.75" customHeight="1" x14ac:dyDescent="0.3">
      <c r="A16" s="571">
        <v>14</v>
      </c>
      <c r="B16" s="160"/>
      <c r="C16" s="113"/>
      <c r="D16" s="114"/>
      <c r="E16" s="114"/>
    </row>
    <row r="17" spans="1:5" ht="12.75" customHeight="1" x14ac:dyDescent="0.3">
      <c r="A17" s="571">
        <v>15</v>
      </c>
      <c r="B17" s="116" t="s">
        <v>357</v>
      </c>
      <c r="C17" s="110"/>
      <c r="D17" s="154"/>
      <c r="E17" s="154"/>
    </row>
    <row r="18" spans="1:5" ht="12.75" customHeight="1" thickBot="1" x14ac:dyDescent="0.35">
      <c r="A18" s="583">
        <v>16</v>
      </c>
      <c r="B18" s="594"/>
      <c r="C18" s="601"/>
      <c r="D18" s="602"/>
      <c r="E18" s="602"/>
    </row>
    <row r="19" spans="1:5" ht="25.5" customHeight="1" x14ac:dyDescent="0.3">
      <c r="A19" s="603">
        <v>17</v>
      </c>
      <c r="B19" s="604" t="s">
        <v>680</v>
      </c>
      <c r="C19" s="605"/>
      <c r="D19" s="606"/>
      <c r="E19" s="606"/>
    </row>
    <row r="20" spans="1:5" ht="12" customHeight="1" x14ac:dyDescent="0.3">
      <c r="A20" s="571">
        <v>18</v>
      </c>
      <c r="B20" s="153"/>
      <c r="C20" s="110"/>
      <c r="D20" s="115"/>
      <c r="E20" s="115"/>
    </row>
    <row r="21" spans="1:5" ht="12" customHeight="1" x14ac:dyDescent="0.3">
      <c r="A21" s="571">
        <v>19</v>
      </c>
      <c r="B21" s="153" t="s">
        <v>681</v>
      </c>
      <c r="C21" s="745">
        <f>SUM(C22:C24)</f>
        <v>181983</v>
      </c>
      <c r="D21" s="745">
        <f t="shared" ref="D21:E21" si="3">SUM(D22:D24)</f>
        <v>0</v>
      </c>
      <c r="E21" s="745">
        <f t="shared" si="3"/>
        <v>181983</v>
      </c>
    </row>
    <row r="22" spans="1:5" ht="12" customHeight="1" x14ac:dyDescent="0.3">
      <c r="A22" s="571">
        <v>20</v>
      </c>
      <c r="B22" s="112" t="s">
        <v>682</v>
      </c>
      <c r="C22" s="110">
        <v>178623</v>
      </c>
      <c r="D22" s="115"/>
      <c r="E22" s="1040">
        <f>+D22+C22</f>
        <v>178623</v>
      </c>
    </row>
    <row r="23" spans="1:5" ht="12" customHeight="1" x14ac:dyDescent="0.3">
      <c r="A23" s="571">
        <v>21</v>
      </c>
      <c r="B23" s="112" t="s">
        <v>683</v>
      </c>
      <c r="C23" s="110">
        <v>2362</v>
      </c>
      <c r="D23" s="115"/>
      <c r="E23" s="1040">
        <f t="shared" ref="E23:E41" si="4">+D23+C23</f>
        <v>2362</v>
      </c>
    </row>
    <row r="24" spans="1:5" ht="12" customHeight="1" x14ac:dyDescent="0.3">
      <c r="A24" s="571">
        <v>22</v>
      </c>
      <c r="B24" s="112" t="s">
        <v>684</v>
      </c>
      <c r="C24" s="110">
        <v>998</v>
      </c>
      <c r="D24" s="115"/>
      <c r="E24" s="1040">
        <f t="shared" si="4"/>
        <v>998</v>
      </c>
    </row>
    <row r="25" spans="1:5" ht="12" customHeight="1" x14ac:dyDescent="0.3">
      <c r="A25" s="571">
        <v>23</v>
      </c>
      <c r="B25" s="116"/>
      <c r="C25" s="110"/>
      <c r="D25" s="115"/>
      <c r="E25" s="1040">
        <f t="shared" si="4"/>
        <v>0</v>
      </c>
    </row>
    <row r="26" spans="1:5" ht="12" customHeight="1" x14ac:dyDescent="0.3">
      <c r="A26" s="571">
        <v>24</v>
      </c>
      <c r="B26" s="153" t="s">
        <v>685</v>
      </c>
      <c r="C26" s="745">
        <f>SUM(C27:C29)</f>
        <v>138706</v>
      </c>
      <c r="D26" s="745">
        <f t="shared" ref="D26:E26" si="5">SUM(D27:D29)</f>
        <v>0</v>
      </c>
      <c r="E26" s="745">
        <f t="shared" si="5"/>
        <v>138706</v>
      </c>
    </row>
    <row r="27" spans="1:5" ht="12.75" customHeight="1" x14ac:dyDescent="0.3">
      <c r="A27" s="571">
        <v>25</v>
      </c>
      <c r="B27" s="112" t="s">
        <v>682</v>
      </c>
      <c r="C27" s="110">
        <v>136437</v>
      </c>
      <c r="D27" s="115"/>
      <c r="E27" s="1040">
        <f t="shared" si="4"/>
        <v>136437</v>
      </c>
    </row>
    <row r="28" spans="1:5" ht="12.75" customHeight="1" x14ac:dyDescent="0.3">
      <c r="A28" s="571">
        <v>26</v>
      </c>
      <c r="B28" s="112" t="s">
        <v>683</v>
      </c>
      <c r="C28" s="110"/>
      <c r="D28" s="115"/>
      <c r="E28" s="1040">
        <f t="shared" si="4"/>
        <v>0</v>
      </c>
    </row>
    <row r="29" spans="1:5" ht="12.75" customHeight="1" x14ac:dyDescent="0.3">
      <c r="A29" s="571">
        <v>27</v>
      </c>
      <c r="B29" s="112" t="s">
        <v>684</v>
      </c>
      <c r="C29" s="113">
        <v>2269</v>
      </c>
      <c r="D29" s="114"/>
      <c r="E29" s="114">
        <f t="shared" si="4"/>
        <v>2269</v>
      </c>
    </row>
    <row r="30" spans="1:5" ht="12.75" customHeight="1" x14ac:dyDescent="0.3">
      <c r="A30" s="571">
        <v>28</v>
      </c>
      <c r="B30" s="111"/>
      <c r="C30" s="113"/>
      <c r="D30" s="114"/>
      <c r="E30" s="114">
        <f t="shared" si="4"/>
        <v>0</v>
      </c>
    </row>
    <row r="31" spans="1:5" ht="12.75" customHeight="1" x14ac:dyDescent="0.3">
      <c r="A31" s="571">
        <v>29</v>
      </c>
      <c r="B31" s="153" t="s">
        <v>696</v>
      </c>
      <c r="C31" s="747">
        <f>SUM(C32:C35)</f>
        <v>113202</v>
      </c>
      <c r="D31" s="747">
        <f t="shared" ref="D31:E31" si="6">SUM(D32:D35)</f>
        <v>0</v>
      </c>
      <c r="E31" s="747">
        <f t="shared" si="6"/>
        <v>113202</v>
      </c>
    </row>
    <row r="32" spans="1:5" ht="12.75" customHeight="1" x14ac:dyDescent="0.3">
      <c r="A32" s="571">
        <v>30</v>
      </c>
      <c r="B32" s="112" t="s">
        <v>686</v>
      </c>
      <c r="C32" s="113"/>
      <c r="D32" s="114"/>
      <c r="E32" s="114">
        <f t="shared" si="4"/>
        <v>0</v>
      </c>
    </row>
    <row r="33" spans="1:5" ht="12.75" customHeight="1" x14ac:dyDescent="0.3">
      <c r="A33" s="571">
        <v>31</v>
      </c>
      <c r="B33" s="112" t="s">
        <v>682</v>
      </c>
      <c r="C33" s="113">
        <v>86208</v>
      </c>
      <c r="D33" s="114"/>
      <c r="E33" s="114">
        <f t="shared" si="4"/>
        <v>86208</v>
      </c>
    </row>
    <row r="34" spans="1:5" ht="12.75" customHeight="1" x14ac:dyDescent="0.3">
      <c r="A34" s="571">
        <v>32</v>
      </c>
      <c r="B34" s="112" t="s">
        <v>683</v>
      </c>
      <c r="C34" s="113">
        <v>19799</v>
      </c>
      <c r="D34" s="114"/>
      <c r="E34" s="114">
        <f t="shared" si="4"/>
        <v>19799</v>
      </c>
    </row>
    <row r="35" spans="1:5" ht="12.75" customHeight="1" x14ac:dyDescent="0.3">
      <c r="A35" s="571">
        <v>33</v>
      </c>
      <c r="B35" s="112" t="s">
        <v>684</v>
      </c>
      <c r="C35" s="113">
        <v>7195</v>
      </c>
      <c r="D35" s="114"/>
      <c r="E35" s="114">
        <f t="shared" si="4"/>
        <v>7195</v>
      </c>
    </row>
    <row r="36" spans="1:5" ht="12.75" customHeight="1" x14ac:dyDescent="0.3">
      <c r="A36" s="571">
        <v>34</v>
      </c>
      <c r="B36" s="116"/>
      <c r="C36" s="113"/>
      <c r="D36" s="114"/>
      <c r="E36" s="114">
        <f t="shared" si="4"/>
        <v>0</v>
      </c>
    </row>
    <row r="37" spans="1:5" ht="12.75" customHeight="1" x14ac:dyDescent="0.3">
      <c r="A37" s="571">
        <v>35</v>
      </c>
      <c r="B37" s="153" t="s">
        <v>697</v>
      </c>
      <c r="C37" s="747">
        <f>SUM(C38:C40)</f>
        <v>14500</v>
      </c>
      <c r="D37" s="747">
        <f t="shared" ref="D37:E37" si="7">SUM(D38:D40)</f>
        <v>0</v>
      </c>
      <c r="E37" s="747">
        <f t="shared" si="7"/>
        <v>14500</v>
      </c>
    </row>
    <row r="38" spans="1:5" ht="12.75" customHeight="1" x14ac:dyDescent="0.3">
      <c r="A38" s="571">
        <v>36</v>
      </c>
      <c r="B38" s="112" t="s">
        <v>682</v>
      </c>
      <c r="C38" s="113">
        <v>11417</v>
      </c>
      <c r="D38" s="114"/>
      <c r="E38" s="114">
        <f t="shared" si="4"/>
        <v>11417</v>
      </c>
    </row>
    <row r="39" spans="1:5" ht="12.75" customHeight="1" x14ac:dyDescent="0.3">
      <c r="A39" s="571">
        <v>37</v>
      </c>
      <c r="B39" s="112" t="s">
        <v>683</v>
      </c>
      <c r="C39" s="113"/>
      <c r="D39" s="114"/>
      <c r="E39" s="114">
        <f t="shared" si="4"/>
        <v>0</v>
      </c>
    </row>
    <row r="40" spans="1:5" ht="12.75" customHeight="1" x14ac:dyDescent="0.3">
      <c r="A40" s="571">
        <v>38</v>
      </c>
      <c r="B40" s="112" t="s">
        <v>684</v>
      </c>
      <c r="C40" s="113">
        <v>3083</v>
      </c>
      <c r="D40" s="114"/>
      <c r="E40" s="114">
        <f t="shared" si="4"/>
        <v>3083</v>
      </c>
    </row>
    <row r="41" spans="1:5" ht="12.75" customHeight="1" x14ac:dyDescent="0.3">
      <c r="A41" s="571">
        <v>39</v>
      </c>
      <c r="B41" s="586"/>
      <c r="C41" s="113"/>
      <c r="D41" s="114"/>
      <c r="E41" s="114">
        <f t="shared" si="4"/>
        <v>0</v>
      </c>
    </row>
    <row r="42" spans="1:5" ht="25.5" customHeight="1" thickBot="1" x14ac:dyDescent="0.35">
      <c r="A42" s="607">
        <v>40</v>
      </c>
      <c r="B42" s="608" t="s">
        <v>692</v>
      </c>
      <c r="C42" s="609">
        <f>+C37+C31+C26+C21</f>
        <v>448391</v>
      </c>
      <c r="D42" s="609">
        <f t="shared" ref="D42:E42" si="8">+D37+D31+D26+D21</f>
        <v>0</v>
      </c>
      <c r="E42" s="609">
        <f t="shared" si="8"/>
        <v>448391</v>
      </c>
    </row>
    <row r="43" spans="1:5" ht="12.75" customHeight="1" thickBot="1" x14ac:dyDescent="0.35">
      <c r="A43" s="611">
        <v>41</v>
      </c>
      <c r="B43" s="612"/>
      <c r="C43" s="613"/>
      <c r="D43" s="614"/>
      <c r="E43" s="614"/>
    </row>
    <row r="44" spans="1:5" ht="12.75" customHeight="1" x14ac:dyDescent="0.3">
      <c r="A44" s="603">
        <v>42</v>
      </c>
      <c r="B44" s="615" t="s">
        <v>353</v>
      </c>
      <c r="C44" s="746">
        <f>SUM(C45:C48)</f>
        <v>75461</v>
      </c>
      <c r="D44" s="746">
        <f t="shared" ref="D44:E44" si="9">SUM(D45:D48)</f>
        <v>-3562</v>
      </c>
      <c r="E44" s="746">
        <f t="shared" si="9"/>
        <v>71899</v>
      </c>
    </row>
    <row r="45" spans="1:5" ht="12.75" customHeight="1" x14ac:dyDescent="0.3">
      <c r="A45" s="571">
        <v>43</v>
      </c>
      <c r="B45" s="112" t="s">
        <v>937</v>
      </c>
      <c r="C45" s="113">
        <v>55100</v>
      </c>
      <c r="D45" s="113">
        <v>-3562</v>
      </c>
      <c r="E45" s="113">
        <f>+D45+C45</f>
        <v>51538</v>
      </c>
    </row>
    <row r="46" spans="1:5" ht="12.75" customHeight="1" x14ac:dyDescent="0.3">
      <c r="A46" s="571">
        <v>44</v>
      </c>
      <c r="B46" s="112" t="s">
        <v>938</v>
      </c>
      <c r="C46" s="113">
        <v>6596</v>
      </c>
      <c r="D46" s="113"/>
      <c r="E46" s="113">
        <f t="shared" ref="E46:E48" si="10">+D46+C46</f>
        <v>6596</v>
      </c>
    </row>
    <row r="47" spans="1:5" ht="12.75" customHeight="1" x14ac:dyDescent="0.3">
      <c r="A47" s="571">
        <v>45</v>
      </c>
      <c r="B47" s="112" t="s">
        <v>939</v>
      </c>
      <c r="C47" s="155">
        <v>13605</v>
      </c>
      <c r="D47" s="113"/>
      <c r="E47" s="113">
        <f t="shared" si="10"/>
        <v>13605</v>
      </c>
    </row>
    <row r="48" spans="1:5" ht="12.75" customHeight="1" x14ac:dyDescent="0.3">
      <c r="A48" s="571">
        <v>46</v>
      </c>
      <c r="B48" s="112" t="s">
        <v>699</v>
      </c>
      <c r="C48" s="113">
        <v>160</v>
      </c>
      <c r="D48" s="113"/>
      <c r="E48" s="113">
        <f t="shared" si="10"/>
        <v>160</v>
      </c>
    </row>
    <row r="49" spans="1:5" ht="12.75" customHeight="1" x14ac:dyDescent="0.3">
      <c r="A49" s="571">
        <v>47</v>
      </c>
      <c r="B49" s="159" t="s">
        <v>354</v>
      </c>
      <c r="C49" s="110"/>
      <c r="D49" s="115"/>
      <c r="E49" s="115"/>
    </row>
    <row r="50" spans="1:5" ht="12.75" customHeight="1" x14ac:dyDescent="0.3">
      <c r="A50" s="571">
        <v>48</v>
      </c>
      <c r="B50" s="112"/>
      <c r="C50" s="113"/>
      <c r="D50" s="114"/>
      <c r="E50" s="114"/>
    </row>
    <row r="51" spans="1:5" s="158" customFormat="1" ht="12.75" customHeight="1" thickBot="1" x14ac:dyDescent="0.35">
      <c r="A51" s="607">
        <v>49</v>
      </c>
      <c r="B51" s="608" t="s">
        <v>355</v>
      </c>
      <c r="C51" s="609">
        <f>+C49+C44</f>
        <v>75461</v>
      </c>
      <c r="D51" s="609">
        <f>+D49+D44</f>
        <v>-3562</v>
      </c>
      <c r="E51" s="609">
        <f>+E49+E44</f>
        <v>71899</v>
      </c>
    </row>
    <row r="52" spans="1:5" s="158" customFormat="1" ht="12.75" customHeight="1" thickBot="1" x14ac:dyDescent="0.35">
      <c r="A52" s="611">
        <v>50</v>
      </c>
      <c r="B52" s="587"/>
      <c r="C52" s="588"/>
      <c r="D52" s="588"/>
      <c r="E52" s="588"/>
    </row>
    <row r="53" spans="1:5" ht="12.75" customHeight="1" x14ac:dyDescent="0.3">
      <c r="A53" s="603">
        <v>51</v>
      </c>
      <c r="B53" s="617" t="s">
        <v>578</v>
      </c>
      <c r="C53" s="605"/>
      <c r="D53" s="606"/>
      <c r="E53" s="1041"/>
    </row>
    <row r="54" spans="1:5" ht="12.75" customHeight="1" x14ac:dyDescent="0.3">
      <c r="A54" s="571">
        <v>52</v>
      </c>
      <c r="B54" s="752" t="s">
        <v>769</v>
      </c>
      <c r="C54" s="747"/>
      <c r="D54" s="747">
        <f>+D55</f>
        <v>42</v>
      </c>
      <c r="E54" s="1042">
        <f>+D54+C54</f>
        <v>42</v>
      </c>
    </row>
    <row r="55" spans="1:5" ht="12.75" customHeight="1" x14ac:dyDescent="0.3">
      <c r="A55" s="571"/>
      <c r="B55" s="112" t="s">
        <v>932</v>
      </c>
      <c r="C55" s="113"/>
      <c r="D55" s="114">
        <v>42</v>
      </c>
      <c r="E55" s="1046">
        <f t="shared" ref="E55:E69" si="11">+D55+C55</f>
        <v>42</v>
      </c>
    </row>
    <row r="56" spans="1:5" ht="12.75" customHeight="1" x14ac:dyDescent="0.3">
      <c r="A56" s="571">
        <v>53</v>
      </c>
      <c r="B56" s="752" t="s">
        <v>770</v>
      </c>
      <c r="C56" s="747"/>
      <c r="D56" s="747">
        <f>+D57</f>
        <v>72</v>
      </c>
      <c r="E56" s="1042">
        <f t="shared" si="11"/>
        <v>72</v>
      </c>
    </row>
    <row r="57" spans="1:5" ht="12.75" customHeight="1" x14ac:dyDescent="0.3">
      <c r="A57" s="571"/>
      <c r="B57" s="112" t="s">
        <v>933</v>
      </c>
      <c r="C57" s="113"/>
      <c r="D57" s="114">
        <v>72</v>
      </c>
      <c r="E57" s="1046">
        <f t="shared" si="11"/>
        <v>72</v>
      </c>
    </row>
    <row r="58" spans="1:5" ht="12.75" customHeight="1" x14ac:dyDescent="0.3">
      <c r="A58" s="571">
        <v>54</v>
      </c>
      <c r="B58" s="752" t="s">
        <v>791</v>
      </c>
      <c r="C58" s="747">
        <f>SUM(C59:C69)</f>
        <v>6100</v>
      </c>
      <c r="D58" s="747">
        <f>SUM(D59:D69)</f>
        <v>0</v>
      </c>
      <c r="E58" s="1042">
        <f t="shared" si="11"/>
        <v>6100</v>
      </c>
    </row>
    <row r="59" spans="1:5" ht="12.75" customHeight="1" x14ac:dyDescent="0.3">
      <c r="A59" s="571">
        <v>55</v>
      </c>
      <c r="B59" s="753" t="s">
        <v>771</v>
      </c>
      <c r="C59" s="113">
        <v>100</v>
      </c>
      <c r="D59" s="114"/>
      <c r="E59" s="1046">
        <f t="shared" si="11"/>
        <v>100</v>
      </c>
    </row>
    <row r="60" spans="1:5" ht="12.75" customHeight="1" x14ac:dyDescent="0.3">
      <c r="A60" s="571">
        <v>56</v>
      </c>
      <c r="B60" s="753" t="s">
        <v>772</v>
      </c>
      <c r="C60" s="113">
        <v>300</v>
      </c>
      <c r="D60" s="114"/>
      <c r="E60" s="1046">
        <f t="shared" si="11"/>
        <v>300</v>
      </c>
    </row>
    <row r="61" spans="1:5" ht="12.75" customHeight="1" x14ac:dyDescent="0.3">
      <c r="A61" s="571">
        <v>57</v>
      </c>
      <c r="B61" s="753" t="s">
        <v>773</v>
      </c>
      <c r="C61" s="113">
        <v>1600</v>
      </c>
      <c r="D61" s="114"/>
      <c r="E61" s="1046">
        <f t="shared" si="11"/>
        <v>1600</v>
      </c>
    </row>
    <row r="62" spans="1:5" ht="12.75" customHeight="1" x14ac:dyDescent="0.3">
      <c r="A62" s="571">
        <v>58</v>
      </c>
      <c r="B62" s="753" t="s">
        <v>774</v>
      </c>
      <c r="C62" s="113">
        <v>150</v>
      </c>
      <c r="D62" s="114"/>
      <c r="E62" s="1046">
        <f t="shared" si="11"/>
        <v>150</v>
      </c>
    </row>
    <row r="63" spans="1:5" ht="12.75" customHeight="1" x14ac:dyDescent="0.3">
      <c r="A63" s="571">
        <v>59</v>
      </c>
      <c r="B63" s="753" t="s">
        <v>776</v>
      </c>
      <c r="C63" s="113">
        <v>400</v>
      </c>
      <c r="D63" s="114"/>
      <c r="E63" s="1046">
        <f t="shared" si="11"/>
        <v>400</v>
      </c>
    </row>
    <row r="64" spans="1:5" ht="12.75" customHeight="1" x14ac:dyDescent="0.3">
      <c r="A64" s="571">
        <v>60</v>
      </c>
      <c r="B64" s="753" t="s">
        <v>775</v>
      </c>
      <c r="C64" s="113">
        <v>500</v>
      </c>
      <c r="D64" s="114"/>
      <c r="E64" s="1046">
        <f t="shared" si="11"/>
        <v>500</v>
      </c>
    </row>
    <row r="65" spans="1:5" ht="12.75" customHeight="1" x14ac:dyDescent="0.3">
      <c r="A65" s="571">
        <v>61</v>
      </c>
      <c r="B65" s="753" t="s">
        <v>777</v>
      </c>
      <c r="C65" s="113">
        <v>150</v>
      </c>
      <c r="D65" s="114"/>
      <c r="E65" s="1046">
        <f t="shared" si="11"/>
        <v>150</v>
      </c>
    </row>
    <row r="66" spans="1:5" ht="12.75" customHeight="1" x14ac:dyDescent="0.3">
      <c r="A66" s="571">
        <v>62</v>
      </c>
      <c r="B66" s="753" t="s">
        <v>778</v>
      </c>
      <c r="C66" s="113">
        <v>1500</v>
      </c>
      <c r="D66" s="114"/>
      <c r="E66" s="1046">
        <f t="shared" si="11"/>
        <v>1500</v>
      </c>
    </row>
    <row r="67" spans="1:5" ht="12.75" customHeight="1" x14ac:dyDescent="0.3">
      <c r="A67" s="571">
        <v>63</v>
      </c>
      <c r="B67" s="753" t="s">
        <v>779</v>
      </c>
      <c r="C67" s="113">
        <v>250</v>
      </c>
      <c r="D67" s="114"/>
      <c r="E67" s="1046">
        <f t="shared" si="11"/>
        <v>250</v>
      </c>
    </row>
    <row r="68" spans="1:5" ht="12.75" customHeight="1" x14ac:dyDescent="0.3">
      <c r="A68" s="571">
        <v>64</v>
      </c>
      <c r="B68" s="753" t="s">
        <v>780</v>
      </c>
      <c r="C68" s="113">
        <v>800</v>
      </c>
      <c r="D68" s="114"/>
      <c r="E68" s="1046">
        <f t="shared" si="11"/>
        <v>800</v>
      </c>
    </row>
    <row r="69" spans="1:5" ht="12.75" customHeight="1" x14ac:dyDescent="0.3">
      <c r="A69" s="571">
        <v>65</v>
      </c>
      <c r="B69" s="753" t="s">
        <v>781</v>
      </c>
      <c r="C69" s="113">
        <v>350</v>
      </c>
      <c r="D69" s="114"/>
      <c r="E69" s="1046">
        <f t="shared" si="11"/>
        <v>350</v>
      </c>
    </row>
    <row r="70" spans="1:5" s="158" customFormat="1" ht="12.75" customHeight="1" thickBot="1" x14ac:dyDescent="0.35">
      <c r="A70" s="583">
        <v>66</v>
      </c>
      <c r="B70" s="594" t="s">
        <v>358</v>
      </c>
      <c r="C70" s="1043">
        <f>+C58</f>
        <v>6100</v>
      </c>
      <c r="D70" s="1043">
        <f>+D58+D56+D54</f>
        <v>114</v>
      </c>
      <c r="E70" s="1044">
        <f>+E58+E56+E54</f>
        <v>6214</v>
      </c>
    </row>
    <row r="71" spans="1:5" s="158" customFormat="1" ht="13.5" customHeight="1" thickBot="1" x14ac:dyDescent="0.35">
      <c r="A71" s="585">
        <v>67</v>
      </c>
      <c r="B71" s="595" t="s">
        <v>359</v>
      </c>
      <c r="C71" s="596">
        <f>+C70+C51+C42+C13</f>
        <v>1465764</v>
      </c>
      <c r="D71" s="596">
        <f t="shared" ref="D71:E71" si="12">+D70+D51+D42+D13</f>
        <v>-3448</v>
      </c>
      <c r="E71" s="1045">
        <f t="shared" si="12"/>
        <v>1462316</v>
      </c>
    </row>
    <row r="72" spans="1:5" ht="13.5" customHeight="1" x14ac:dyDescent="0.3">
      <c r="B72" s="117"/>
      <c r="C72" s="161"/>
      <c r="D72" s="162"/>
      <c r="E72" s="162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Normal="100" workbookViewId="0">
      <selection activeCell="C32" sqref="C32:E32"/>
    </sheetView>
  </sheetViews>
  <sheetFormatPr defaultColWidth="53.109375" defaultRowHeight="14.4" x14ac:dyDescent="0.3"/>
  <cols>
    <col min="1" max="1" width="5.5546875" style="98" customWidth="1"/>
    <col min="2" max="2" width="53.109375" style="99" customWidth="1"/>
    <col min="3" max="3" width="13.6640625" style="98" customWidth="1"/>
    <col min="4" max="4" width="13.44140625" style="98" customWidth="1"/>
    <col min="5" max="5" width="13.33203125" style="98" customWidth="1"/>
    <col min="6" max="16384" width="53.109375" style="98"/>
  </cols>
  <sheetData>
    <row r="1" spans="1:5" ht="12.75" customHeight="1" x14ac:dyDescent="0.3"/>
    <row r="2" spans="1:5" ht="12.75" customHeight="1" thickBot="1" x14ac:dyDescent="0.3">
      <c r="D2" s="1284" t="s">
        <v>393</v>
      </c>
      <c r="E2" s="1284"/>
    </row>
    <row r="3" spans="1:5" s="100" customFormat="1" ht="39.75" customHeight="1" thickBot="1" x14ac:dyDescent="0.35">
      <c r="A3" s="620" t="s">
        <v>702</v>
      </c>
      <c r="B3" s="621" t="s">
        <v>687</v>
      </c>
      <c r="C3" s="600" t="s">
        <v>282</v>
      </c>
      <c r="D3" s="600" t="s">
        <v>792</v>
      </c>
      <c r="E3" s="600" t="s">
        <v>305</v>
      </c>
    </row>
    <row r="4" spans="1:5" s="101" customFormat="1" ht="12.75" customHeight="1" x14ac:dyDescent="0.3">
      <c r="A4" s="603">
        <v>1</v>
      </c>
      <c r="B4" s="622"/>
      <c r="C4" s="616"/>
      <c r="D4" s="616"/>
      <c r="E4" s="616"/>
    </row>
    <row r="5" spans="1:5" s="101" customFormat="1" ht="12.75" customHeight="1" x14ac:dyDescent="0.3">
      <c r="A5" s="571">
        <v>2</v>
      </c>
      <c r="B5" s="618" t="s">
        <v>688</v>
      </c>
      <c r="C5" s="154"/>
      <c r="D5" s="154"/>
      <c r="E5" s="154"/>
    </row>
    <row r="6" spans="1:5" ht="13.5" customHeight="1" x14ac:dyDescent="0.3">
      <c r="A6" s="571">
        <v>3</v>
      </c>
      <c r="B6" s="619"/>
      <c r="C6" s="110"/>
      <c r="D6" s="114"/>
      <c r="E6" s="114"/>
    </row>
    <row r="7" spans="1:5" ht="12.75" customHeight="1" x14ac:dyDescent="0.3">
      <c r="A7" s="571">
        <v>4</v>
      </c>
      <c r="B7" s="619" t="s">
        <v>352</v>
      </c>
      <c r="C7" s="154"/>
      <c r="D7" s="154"/>
      <c r="E7" s="154"/>
    </row>
    <row r="8" spans="1:5" ht="12.75" customHeight="1" x14ac:dyDescent="0.3">
      <c r="A8" s="571">
        <v>5</v>
      </c>
      <c r="B8" s="589"/>
      <c r="C8" s="154"/>
      <c r="D8" s="154"/>
      <c r="E8" s="154"/>
    </row>
    <row r="9" spans="1:5" ht="12.75" customHeight="1" thickBot="1" x14ac:dyDescent="0.35">
      <c r="A9" s="607">
        <v>6</v>
      </c>
      <c r="B9" s="608" t="s">
        <v>360</v>
      </c>
      <c r="C9" s="623"/>
      <c r="D9" s="610"/>
      <c r="E9" s="610"/>
    </row>
    <row r="10" spans="1:5" ht="12.75" customHeight="1" x14ac:dyDescent="0.3">
      <c r="A10" s="603">
        <v>7</v>
      </c>
      <c r="B10" s="626" t="s">
        <v>934</v>
      </c>
      <c r="C10" s="605"/>
      <c r="D10" s="1047">
        <v>24745</v>
      </c>
      <c r="E10" s="1047">
        <f>+D10+C10</f>
        <v>24745</v>
      </c>
    </row>
    <row r="11" spans="1:5" ht="12.75" customHeight="1" x14ac:dyDescent="0.3">
      <c r="A11" s="571">
        <v>8</v>
      </c>
      <c r="B11" s="618" t="s">
        <v>356</v>
      </c>
      <c r="C11" s="110"/>
      <c r="D11" s="115">
        <f>+D10</f>
        <v>24745</v>
      </c>
      <c r="E11" s="115">
        <f>+E10</f>
        <v>24745</v>
      </c>
    </row>
    <row r="12" spans="1:5" ht="12.75" customHeight="1" x14ac:dyDescent="0.3">
      <c r="A12" s="571">
        <v>9</v>
      </c>
      <c r="B12" s="160"/>
      <c r="C12" s="113"/>
      <c r="D12" s="114"/>
      <c r="E12" s="114"/>
    </row>
    <row r="13" spans="1:5" ht="12.75" customHeight="1" thickBot="1" x14ac:dyDescent="0.35">
      <c r="A13" s="607">
        <v>10</v>
      </c>
      <c r="B13" s="608" t="s">
        <v>357</v>
      </c>
      <c r="C13" s="623"/>
      <c r="D13" s="609">
        <f>+D11</f>
        <v>24745</v>
      </c>
      <c r="E13" s="609">
        <f>+E11</f>
        <v>24745</v>
      </c>
    </row>
    <row r="14" spans="1:5" ht="12.75" customHeight="1" thickBot="1" x14ac:dyDescent="0.35">
      <c r="A14" s="611">
        <v>11</v>
      </c>
      <c r="B14" s="587"/>
      <c r="C14" s="582"/>
      <c r="D14" s="588"/>
      <c r="E14" s="588"/>
    </row>
    <row r="15" spans="1:5" s="155" customFormat="1" ht="25.5" customHeight="1" x14ac:dyDescent="0.3">
      <c r="A15" s="603">
        <v>12</v>
      </c>
      <c r="B15" s="617" t="s">
        <v>691</v>
      </c>
      <c r="C15" s="605"/>
      <c r="D15" s="606"/>
      <c r="E15" s="606"/>
    </row>
    <row r="16" spans="1:5" ht="12.75" customHeight="1" x14ac:dyDescent="0.3">
      <c r="A16" s="571">
        <v>13</v>
      </c>
      <c r="B16" s="116"/>
      <c r="C16" s="110"/>
      <c r="D16" s="115"/>
      <c r="E16" s="115"/>
    </row>
    <row r="17" spans="1:5" ht="12.75" customHeight="1" x14ac:dyDescent="0.3">
      <c r="A17" s="571">
        <v>14</v>
      </c>
      <c r="B17" s="116" t="s">
        <v>685</v>
      </c>
      <c r="C17" s="110"/>
      <c r="D17" s="115"/>
      <c r="E17" s="115"/>
    </row>
    <row r="18" spans="1:5" ht="12.75" customHeight="1" x14ac:dyDescent="0.3">
      <c r="A18" s="571">
        <v>15</v>
      </c>
      <c r="B18" s="111" t="s">
        <v>689</v>
      </c>
      <c r="C18" s="110">
        <v>19877</v>
      </c>
      <c r="D18" s="115"/>
      <c r="E18" s="1040">
        <f>+D18+C18</f>
        <v>19877</v>
      </c>
    </row>
    <row r="19" spans="1:5" ht="12.75" customHeight="1" x14ac:dyDescent="0.3">
      <c r="A19" s="571">
        <v>16</v>
      </c>
      <c r="B19" s="111" t="s">
        <v>698</v>
      </c>
      <c r="C19" s="110">
        <v>4835</v>
      </c>
      <c r="D19" s="115"/>
      <c r="E19" s="1040">
        <f t="shared" ref="E19:E31" si="0">+D19+C19</f>
        <v>4835</v>
      </c>
    </row>
    <row r="20" spans="1:5" s="155" customFormat="1" ht="25.5" customHeight="1" thickBot="1" x14ac:dyDescent="0.35">
      <c r="A20" s="607">
        <v>17</v>
      </c>
      <c r="B20" s="608" t="s">
        <v>695</v>
      </c>
      <c r="C20" s="609">
        <f>SUM(C18:C19)</f>
        <v>24712</v>
      </c>
      <c r="D20" s="610"/>
      <c r="E20" s="610">
        <f t="shared" si="0"/>
        <v>24712</v>
      </c>
    </row>
    <row r="21" spans="1:5" s="102" customFormat="1" ht="12.75" customHeight="1" x14ac:dyDescent="0.3">
      <c r="A21" s="603">
        <v>18</v>
      </c>
      <c r="B21" s="626"/>
      <c r="C21" s="616"/>
      <c r="D21" s="627"/>
      <c r="E21" s="627">
        <f t="shared" si="0"/>
        <v>0</v>
      </c>
    </row>
    <row r="22" spans="1:5" s="102" customFormat="1" ht="12.75" customHeight="1" x14ac:dyDescent="0.3">
      <c r="A22" s="584">
        <v>19</v>
      </c>
      <c r="B22" s="748" t="s">
        <v>787</v>
      </c>
      <c r="C22" s="598">
        <v>59870</v>
      </c>
      <c r="D22" s="749"/>
      <c r="E22" s="749">
        <f t="shared" si="0"/>
        <v>59870</v>
      </c>
    </row>
    <row r="23" spans="1:5" s="102" customFormat="1" ht="12.75" customHeight="1" x14ac:dyDescent="0.3">
      <c r="A23" s="571">
        <v>20</v>
      </c>
      <c r="B23" s="159" t="s">
        <v>361</v>
      </c>
      <c r="C23" s="747">
        <f>SUM(C22)</f>
        <v>59870</v>
      </c>
      <c r="D23" s="113"/>
      <c r="E23" s="113">
        <f t="shared" si="0"/>
        <v>59870</v>
      </c>
    </row>
    <row r="24" spans="1:5" x14ac:dyDescent="0.3">
      <c r="A24" s="571">
        <v>21</v>
      </c>
      <c r="B24" s="112"/>
      <c r="C24" s="113"/>
      <c r="D24" s="114"/>
      <c r="E24" s="114">
        <f t="shared" si="0"/>
        <v>0</v>
      </c>
    </row>
    <row r="25" spans="1:5" x14ac:dyDescent="0.3">
      <c r="A25" s="571">
        <v>22</v>
      </c>
      <c r="B25" s="619" t="s">
        <v>690</v>
      </c>
      <c r="C25" s="110"/>
      <c r="D25" s="115"/>
      <c r="E25" s="115">
        <f t="shared" si="0"/>
        <v>0</v>
      </c>
    </row>
    <row r="26" spans="1:5" x14ac:dyDescent="0.3">
      <c r="A26" s="571">
        <v>23</v>
      </c>
      <c r="B26" s="112"/>
      <c r="C26" s="113"/>
      <c r="D26" s="114"/>
      <c r="E26" s="114">
        <f t="shared" si="0"/>
        <v>0</v>
      </c>
    </row>
    <row r="27" spans="1:5" ht="12.75" customHeight="1" thickBot="1" x14ac:dyDescent="0.35">
      <c r="A27" s="607">
        <v>24</v>
      </c>
      <c r="B27" s="608" t="s">
        <v>362</v>
      </c>
      <c r="C27" s="609">
        <f>+C23+C25</f>
        <v>59870</v>
      </c>
      <c r="D27" s="609"/>
      <c r="E27" s="609">
        <f t="shared" si="0"/>
        <v>59870</v>
      </c>
    </row>
    <row r="28" spans="1:5" x14ac:dyDescent="0.3">
      <c r="A28" s="584">
        <v>25</v>
      </c>
      <c r="B28" s="624"/>
      <c r="C28" s="624"/>
      <c r="D28" s="625"/>
      <c r="E28" s="625">
        <f t="shared" si="0"/>
        <v>0</v>
      </c>
    </row>
    <row r="29" spans="1:5" x14ac:dyDescent="0.3">
      <c r="A29" s="571">
        <v>26</v>
      </c>
      <c r="B29" s="116" t="s">
        <v>693</v>
      </c>
      <c r="C29" s="110"/>
      <c r="D29" s="115"/>
      <c r="E29" s="115">
        <f t="shared" si="0"/>
        <v>0</v>
      </c>
    </row>
    <row r="30" spans="1:5" x14ac:dyDescent="0.3">
      <c r="A30" s="571">
        <v>27</v>
      </c>
      <c r="B30" s="112"/>
      <c r="C30" s="113"/>
      <c r="D30" s="114"/>
      <c r="E30" s="114">
        <f t="shared" si="0"/>
        <v>0</v>
      </c>
    </row>
    <row r="31" spans="1:5" x14ac:dyDescent="0.3">
      <c r="A31" s="571">
        <v>28</v>
      </c>
      <c r="B31" s="116" t="s">
        <v>363</v>
      </c>
      <c r="C31" s="154">
        <f t="shared" ref="C31" si="1">SUM(C30:C30)</f>
        <v>0</v>
      </c>
      <c r="D31" s="154"/>
      <c r="E31" s="154">
        <f t="shared" si="0"/>
        <v>0</v>
      </c>
    </row>
    <row r="32" spans="1:5" ht="15" thickBot="1" x14ac:dyDescent="0.35">
      <c r="A32" s="607">
        <v>29</v>
      </c>
      <c r="B32" s="423" t="s">
        <v>694</v>
      </c>
      <c r="C32" s="424">
        <f>+C20+C27+C13</f>
        <v>84582</v>
      </c>
      <c r="D32" s="424">
        <f t="shared" ref="D32:E32" si="2">+D20+D27+D13</f>
        <v>24745</v>
      </c>
      <c r="E32" s="424">
        <f t="shared" si="2"/>
        <v>109327</v>
      </c>
    </row>
  </sheetData>
  <mergeCells count="1">
    <mergeCell ref="D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activeCell="E2" sqref="E2:E5"/>
    </sheetView>
  </sheetViews>
  <sheetFormatPr defaultColWidth="9.109375" defaultRowHeight="13.8" x14ac:dyDescent="0.25"/>
  <cols>
    <col min="1" max="1" width="7.88671875" style="734" bestFit="1" customWidth="1"/>
    <col min="2" max="2" width="29.5546875" style="734" customWidth="1"/>
    <col min="3" max="3" width="13" style="734" customWidth="1"/>
    <col min="4" max="4" width="13.5546875" style="734" customWidth="1"/>
    <col min="5" max="5" width="13.6640625" style="734" customWidth="1"/>
    <col min="6" max="16384" width="9.109375" style="734"/>
  </cols>
  <sheetData>
    <row r="1" spans="1:5" ht="14.4" thickBot="1" x14ac:dyDescent="0.3"/>
    <row r="2" spans="1:5" ht="15" customHeight="1" x14ac:dyDescent="0.25">
      <c r="A2" s="1285" t="s">
        <v>364</v>
      </c>
      <c r="B2" s="1287" t="s">
        <v>283</v>
      </c>
      <c r="C2" s="1289" t="s">
        <v>706</v>
      </c>
      <c r="D2" s="1291" t="s">
        <v>797</v>
      </c>
      <c r="E2" s="1291" t="s">
        <v>798</v>
      </c>
    </row>
    <row r="3" spans="1:5" x14ac:dyDescent="0.25">
      <c r="A3" s="1286"/>
      <c r="B3" s="1288"/>
      <c r="C3" s="1290"/>
      <c r="D3" s="1292"/>
      <c r="E3" s="1292"/>
    </row>
    <row r="4" spans="1:5" x14ac:dyDescent="0.25">
      <c r="A4" s="1286"/>
      <c r="B4" s="1288"/>
      <c r="C4" s="1290"/>
      <c r="D4" s="1292"/>
      <c r="E4" s="1292"/>
    </row>
    <row r="5" spans="1:5" x14ac:dyDescent="0.25">
      <c r="A5" s="1286"/>
      <c r="B5" s="1288"/>
      <c r="C5" s="1290"/>
      <c r="D5" s="1292"/>
      <c r="E5" s="1292"/>
    </row>
    <row r="6" spans="1:5" x14ac:dyDescent="0.25">
      <c r="A6" s="735" t="s">
        <v>306</v>
      </c>
      <c r="B6" s="736" t="s">
        <v>313</v>
      </c>
      <c r="C6" s="754" t="s">
        <v>307</v>
      </c>
      <c r="D6" s="759" t="s">
        <v>308</v>
      </c>
      <c r="E6" s="759" t="s">
        <v>309</v>
      </c>
    </row>
    <row r="7" spans="1:5" x14ac:dyDescent="0.25">
      <c r="A7" s="737">
        <v>1</v>
      </c>
      <c r="B7" s="124" t="s">
        <v>264</v>
      </c>
      <c r="C7" s="755">
        <v>1</v>
      </c>
      <c r="D7" s="760">
        <v>1</v>
      </c>
      <c r="E7" s="760">
        <v>1</v>
      </c>
    </row>
    <row r="8" spans="1:5" x14ac:dyDescent="0.25">
      <c r="A8" s="737">
        <v>2</v>
      </c>
      <c r="B8" s="124" t="s">
        <v>365</v>
      </c>
      <c r="C8" s="755"/>
      <c r="D8" s="760"/>
      <c r="E8" s="760"/>
    </row>
    <row r="9" spans="1:5" x14ac:dyDescent="0.25">
      <c r="A9" s="737">
        <v>3</v>
      </c>
      <c r="B9" s="738" t="s">
        <v>293</v>
      </c>
      <c r="C9" s="756">
        <v>35</v>
      </c>
      <c r="D9" s="761">
        <v>35</v>
      </c>
      <c r="E9" s="761">
        <v>35</v>
      </c>
    </row>
    <row r="10" spans="1:5" x14ac:dyDescent="0.25">
      <c r="A10" s="737">
        <v>4</v>
      </c>
      <c r="B10" s="738" t="s">
        <v>366</v>
      </c>
      <c r="C10" s="756">
        <v>8</v>
      </c>
      <c r="D10" s="761">
        <v>8</v>
      </c>
      <c r="E10" s="761">
        <v>8</v>
      </c>
    </row>
    <row r="11" spans="1:5" x14ac:dyDescent="0.25">
      <c r="A11" s="737">
        <v>5</v>
      </c>
      <c r="B11" s="124" t="s">
        <v>367</v>
      </c>
      <c r="C11" s="757">
        <f t="shared" ref="C11:E11" si="0">SUM(C9:C10)</f>
        <v>43</v>
      </c>
      <c r="D11" s="762">
        <f t="shared" ref="D11" si="1">SUM(D9:D10)</f>
        <v>43</v>
      </c>
      <c r="E11" s="762">
        <f t="shared" si="0"/>
        <v>43</v>
      </c>
    </row>
    <row r="12" spans="1:5" x14ac:dyDescent="0.25">
      <c r="A12" s="737">
        <v>6</v>
      </c>
      <c r="B12" s="124" t="s">
        <v>389</v>
      </c>
      <c r="C12" s="744" t="s">
        <v>662</v>
      </c>
      <c r="D12" s="763" t="s">
        <v>662</v>
      </c>
      <c r="E12" s="763" t="s">
        <v>662</v>
      </c>
    </row>
    <row r="13" spans="1:5" x14ac:dyDescent="0.25">
      <c r="A13" s="737"/>
      <c r="B13" s="124" t="s">
        <v>611</v>
      </c>
      <c r="C13" s="755"/>
      <c r="D13" s="760"/>
      <c r="E13" s="760"/>
    </row>
    <row r="14" spans="1:5" x14ac:dyDescent="0.25">
      <c r="A14" s="737">
        <v>7</v>
      </c>
      <c r="B14" s="124" t="s">
        <v>368</v>
      </c>
      <c r="C14" s="755">
        <v>3</v>
      </c>
      <c r="D14" s="760">
        <v>3</v>
      </c>
      <c r="E14" s="760">
        <v>3</v>
      </c>
    </row>
    <row r="15" spans="1:5" x14ac:dyDescent="0.25">
      <c r="A15" s="737">
        <v>8</v>
      </c>
      <c r="B15" s="124" t="s">
        <v>369</v>
      </c>
      <c r="C15" s="755">
        <v>1</v>
      </c>
      <c r="D15" s="760">
        <v>1</v>
      </c>
      <c r="E15" s="760">
        <v>1</v>
      </c>
    </row>
    <row r="16" spans="1:5" ht="14.4" thickBot="1" x14ac:dyDescent="0.3">
      <c r="A16" s="739">
        <v>9</v>
      </c>
      <c r="B16" s="740" t="s">
        <v>370</v>
      </c>
      <c r="C16" s="758">
        <f>SUM(C11:C15)+C7</f>
        <v>48</v>
      </c>
      <c r="D16" s="764">
        <f>SUM(D11:D15)+D7</f>
        <v>48</v>
      </c>
      <c r="E16" s="764">
        <f>SUM(E11:E15)+E7</f>
        <v>48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2018.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Layout" workbookViewId="0">
      <selection activeCell="E23" sqref="E23"/>
    </sheetView>
  </sheetViews>
  <sheetFormatPr defaultColWidth="9.109375" defaultRowHeight="14.4" x14ac:dyDescent="0.3"/>
  <cols>
    <col min="1" max="1" width="5.88671875" style="250" customWidth="1"/>
    <col min="2" max="2" width="42.5546875" style="251" customWidth="1"/>
    <col min="3" max="8" width="11" style="251" customWidth="1"/>
    <col min="9" max="9" width="12.109375" style="251" customWidth="1"/>
    <col min="10" max="10" width="13.33203125" style="251" customWidth="1"/>
    <col min="11" max="16384" width="9.109375" style="251"/>
  </cols>
  <sheetData>
    <row r="1" spans="1:11" s="286" customFormat="1" ht="26.25" customHeight="1" thickBot="1" x14ac:dyDescent="0.35">
      <c r="A1" s="250"/>
      <c r="B1" s="251"/>
      <c r="C1" s="251"/>
      <c r="D1" s="251"/>
      <c r="E1" s="251"/>
      <c r="F1" s="251"/>
      <c r="G1" s="251"/>
      <c r="H1" s="251"/>
      <c r="I1" s="251"/>
      <c r="J1" s="285" t="s">
        <v>458</v>
      </c>
    </row>
    <row r="2" spans="1:11" s="287" customFormat="1" ht="32.25" customHeight="1" thickBot="1" x14ac:dyDescent="0.35">
      <c r="A2" s="1300" t="s">
        <v>473</v>
      </c>
      <c r="B2" s="1302" t="s">
        <v>474</v>
      </c>
      <c r="C2" s="1300" t="s">
        <v>475</v>
      </c>
      <c r="D2" s="1300" t="s">
        <v>476</v>
      </c>
      <c r="E2" s="1293" t="s">
        <v>477</v>
      </c>
      <c r="F2" s="1294"/>
      <c r="G2" s="1294"/>
      <c r="H2" s="1294"/>
      <c r="I2" s="1295"/>
      <c r="J2" s="1296" t="s">
        <v>180</v>
      </c>
    </row>
    <row r="3" spans="1:11" s="291" customFormat="1" ht="37.5" customHeight="1" thickBot="1" x14ac:dyDescent="0.35">
      <c r="A3" s="1301"/>
      <c r="B3" s="1303"/>
      <c r="C3" s="1297"/>
      <c r="D3" s="1301"/>
      <c r="E3" s="288" t="s">
        <v>478</v>
      </c>
      <c r="F3" s="289" t="s">
        <v>479</v>
      </c>
      <c r="G3" s="289" t="s">
        <v>480</v>
      </c>
      <c r="H3" s="289" t="s">
        <v>481</v>
      </c>
      <c r="I3" s="290" t="s">
        <v>581</v>
      </c>
      <c r="J3" s="1297"/>
    </row>
    <row r="4" spans="1:11" ht="20.100000000000001" customHeight="1" x14ac:dyDescent="0.3">
      <c r="A4" s="292">
        <v>1</v>
      </c>
      <c r="B4" s="293">
        <v>2</v>
      </c>
      <c r="C4" s="292">
        <v>3</v>
      </c>
      <c r="D4" s="292">
        <v>4</v>
      </c>
      <c r="E4" s="294">
        <v>5</v>
      </c>
      <c r="F4" s="295">
        <v>6</v>
      </c>
      <c r="G4" s="295">
        <v>7</v>
      </c>
      <c r="H4" s="295">
        <v>8</v>
      </c>
      <c r="I4" s="296">
        <v>9</v>
      </c>
      <c r="J4" s="292" t="s">
        <v>482</v>
      </c>
    </row>
    <row r="5" spans="1:11" s="305" customFormat="1" ht="20.100000000000001" customHeight="1" x14ac:dyDescent="0.3">
      <c r="A5" s="297" t="s">
        <v>310</v>
      </c>
      <c r="B5" s="298" t="s">
        <v>483</v>
      </c>
      <c r="C5" s="299"/>
      <c r="D5" s="300"/>
      <c r="E5" s="301">
        <f>SUM(E6:E6)</f>
        <v>0</v>
      </c>
      <c r="F5" s="302"/>
      <c r="G5" s="302"/>
      <c r="H5" s="302"/>
      <c r="I5" s="303"/>
      <c r="J5" s="304"/>
    </row>
    <row r="6" spans="1:11" ht="20.100000000000001" customHeight="1" x14ac:dyDescent="0.3">
      <c r="A6" s="297" t="s">
        <v>403</v>
      </c>
      <c r="B6" s="306"/>
      <c r="C6" s="307"/>
      <c r="D6" s="308"/>
      <c r="E6" s="309"/>
      <c r="F6" s="310"/>
      <c r="G6" s="310"/>
      <c r="H6" s="310"/>
      <c r="I6" s="311"/>
      <c r="J6" s="304"/>
    </row>
    <row r="7" spans="1:11" ht="20.100000000000001" customHeight="1" x14ac:dyDescent="0.3">
      <c r="A7" s="297" t="s">
        <v>459</v>
      </c>
      <c r="B7" s="312"/>
      <c r="C7" s="313"/>
      <c r="D7" s="308"/>
      <c r="E7" s="309"/>
      <c r="F7" s="310"/>
      <c r="G7" s="310"/>
      <c r="H7" s="310"/>
      <c r="I7" s="311"/>
      <c r="J7" s="304"/>
    </row>
    <row r="8" spans="1:11" ht="20.100000000000001" customHeight="1" x14ac:dyDescent="0.3">
      <c r="A8" s="297" t="s">
        <v>460</v>
      </c>
      <c r="B8" s="312"/>
      <c r="C8" s="313"/>
      <c r="D8" s="308"/>
      <c r="E8" s="309"/>
      <c r="F8" s="310"/>
      <c r="G8" s="310"/>
      <c r="H8" s="310"/>
      <c r="I8" s="311"/>
      <c r="J8" s="304"/>
    </row>
    <row r="9" spans="1:11" s="305" customFormat="1" ht="20.100000000000001" customHeight="1" x14ac:dyDescent="0.3">
      <c r="A9" s="297" t="s">
        <v>461</v>
      </c>
      <c r="B9" s="314" t="s">
        <v>484</v>
      </c>
      <c r="C9" s="315"/>
      <c r="D9" s="300">
        <f t="shared" ref="D9:J9" si="0">SUM(D10:D11)</f>
        <v>0</v>
      </c>
      <c r="E9" s="301">
        <f t="shared" si="0"/>
        <v>0</v>
      </c>
      <c r="F9" s="302">
        <f t="shared" si="0"/>
        <v>0</v>
      </c>
      <c r="G9" s="302">
        <f t="shared" si="0"/>
        <v>0</v>
      </c>
      <c r="H9" s="302">
        <f t="shared" si="0"/>
        <v>0</v>
      </c>
      <c r="I9" s="303">
        <f t="shared" si="0"/>
        <v>0</v>
      </c>
      <c r="J9" s="300">
        <f t="shared" si="0"/>
        <v>0</v>
      </c>
    </row>
    <row r="10" spans="1:11" ht="20.100000000000001" customHeight="1" x14ac:dyDescent="0.3">
      <c r="A10" s="297" t="s">
        <v>462</v>
      </c>
      <c r="B10" s="306"/>
      <c r="C10" s="307"/>
      <c r="D10" s="308">
        <v>0</v>
      </c>
      <c r="E10" s="309">
        <v>0</v>
      </c>
      <c r="F10" s="310">
        <v>0</v>
      </c>
      <c r="G10" s="310">
        <v>0</v>
      </c>
      <c r="H10" s="310">
        <v>0</v>
      </c>
      <c r="I10" s="311">
        <v>0</v>
      </c>
      <c r="J10" s="304">
        <f>SUM(D10:I10)</f>
        <v>0</v>
      </c>
    </row>
    <row r="11" spans="1:11" ht="20.100000000000001" customHeight="1" x14ac:dyDescent="0.3">
      <c r="A11" s="297" t="s">
        <v>463</v>
      </c>
      <c r="B11" s="306"/>
      <c r="C11" s="307"/>
      <c r="D11" s="308"/>
      <c r="E11" s="309"/>
      <c r="F11" s="310"/>
      <c r="G11" s="310"/>
      <c r="H11" s="310"/>
      <c r="I11" s="311"/>
      <c r="J11" s="304">
        <f>SUM(D11:I11)</f>
        <v>0</v>
      </c>
      <c r="K11" s="316"/>
    </row>
    <row r="12" spans="1:11" ht="19.5" customHeight="1" x14ac:dyDescent="0.3">
      <c r="A12" s="297" t="s">
        <v>464</v>
      </c>
      <c r="B12" s="306"/>
      <c r="C12" s="307"/>
      <c r="D12" s="308"/>
      <c r="E12" s="309"/>
      <c r="F12" s="310"/>
      <c r="G12" s="310"/>
      <c r="H12" s="310"/>
      <c r="I12" s="311"/>
      <c r="J12" s="304"/>
    </row>
    <row r="13" spans="1:11" ht="20.100000000000001" customHeight="1" x14ac:dyDescent="0.3">
      <c r="A13" s="297" t="s">
        <v>465</v>
      </c>
      <c r="B13" s="317"/>
      <c r="C13" s="318"/>
      <c r="D13" s="319"/>
      <c r="E13" s="320"/>
      <c r="F13" s="321"/>
      <c r="G13" s="321"/>
      <c r="H13" s="321"/>
      <c r="I13" s="322"/>
      <c r="J13" s="304"/>
    </row>
    <row r="14" spans="1:11" s="305" customFormat="1" ht="13.2" x14ac:dyDescent="0.3">
      <c r="A14" s="297" t="s">
        <v>466</v>
      </c>
      <c r="B14" s="323" t="s">
        <v>485</v>
      </c>
      <c r="C14" s="315"/>
      <c r="D14" s="324">
        <f>+D15+D16</f>
        <v>0</v>
      </c>
      <c r="E14" s="324">
        <f t="shared" ref="E14:J14" si="1">+E15+E16</f>
        <v>0</v>
      </c>
      <c r="F14" s="324">
        <f t="shared" si="1"/>
        <v>0</v>
      </c>
      <c r="G14" s="324">
        <f t="shared" si="1"/>
        <v>0</v>
      </c>
      <c r="H14" s="324">
        <f t="shared" si="1"/>
        <v>0</v>
      </c>
      <c r="I14" s="324">
        <f t="shared" si="1"/>
        <v>0</v>
      </c>
      <c r="J14" s="324">
        <f t="shared" si="1"/>
        <v>0</v>
      </c>
    </row>
    <row r="15" spans="1:11" s="329" customFormat="1" x14ac:dyDescent="0.3">
      <c r="A15" s="297"/>
      <c r="B15" s="548"/>
      <c r="C15" s="325"/>
      <c r="D15" s="326"/>
      <c r="E15" s="327"/>
      <c r="F15" s="252"/>
      <c r="G15" s="252"/>
      <c r="H15" s="252"/>
      <c r="I15" s="328"/>
      <c r="J15" s="304"/>
    </row>
    <row r="16" spans="1:11" ht="15" thickBot="1" x14ac:dyDescent="0.35">
      <c r="A16" s="330"/>
      <c r="B16" s="548"/>
      <c r="C16" s="325"/>
      <c r="D16" s="331"/>
      <c r="E16" s="332"/>
      <c r="F16" s="333"/>
      <c r="G16" s="333"/>
      <c r="H16" s="333"/>
      <c r="I16" s="334"/>
      <c r="J16" s="304"/>
    </row>
    <row r="17" spans="1:10" s="305" customFormat="1" ht="13.8" thickBot="1" x14ac:dyDescent="0.35">
      <c r="A17" s="1298" t="s">
        <v>486</v>
      </c>
      <c r="B17" s="1299"/>
      <c r="C17" s="335"/>
      <c r="D17" s="336">
        <f>+D14+D9</f>
        <v>0</v>
      </c>
      <c r="E17" s="337">
        <f t="shared" ref="E17:J17" si="2">+E14+E9</f>
        <v>0</v>
      </c>
      <c r="F17" s="338">
        <f t="shared" si="2"/>
        <v>0</v>
      </c>
      <c r="G17" s="338">
        <f t="shared" si="2"/>
        <v>0</v>
      </c>
      <c r="H17" s="338">
        <f t="shared" si="2"/>
        <v>0</v>
      </c>
      <c r="I17" s="339">
        <f t="shared" si="2"/>
        <v>0</v>
      </c>
      <c r="J17" s="336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N34" sqref="N34"/>
    </sheetView>
  </sheetViews>
  <sheetFormatPr defaultColWidth="9.109375" defaultRowHeight="13.2" x14ac:dyDescent="0.25"/>
  <cols>
    <col min="1" max="1" width="31.44140625" style="254" customWidth="1"/>
    <col min="2" max="2" width="8.88671875" style="254" bestFit="1" customWidth="1"/>
    <col min="3" max="3" width="9.33203125" style="254" customWidth="1"/>
    <col min="4" max="4" width="8.88671875" style="254" bestFit="1" customWidth="1"/>
    <col min="5" max="5" width="9.88671875" style="254" customWidth="1"/>
    <col min="6" max="6" width="7.5546875" style="254" customWidth="1"/>
    <col min="7" max="7" width="7.44140625" style="254" customWidth="1"/>
    <col min="8" max="8" width="7.5546875" style="254" customWidth="1"/>
    <col min="9" max="9" width="8.5546875" style="254" customWidth="1"/>
    <col min="10" max="10" width="8.109375" style="254" customWidth="1"/>
    <col min="11" max="11" width="10.44140625" style="254" customWidth="1"/>
    <col min="12" max="12" width="8.109375" style="254" customWidth="1"/>
    <col min="13" max="13" width="8.5546875" style="254" customWidth="1"/>
    <col min="14" max="14" width="9.109375" style="254" customWidth="1"/>
    <col min="15" max="15" width="10.88671875" style="253" customWidth="1"/>
    <col min="16" max="16384" width="9.109375" style="254"/>
  </cols>
  <sheetData>
    <row r="1" spans="1:16" ht="13.8" thickBot="1" x14ac:dyDescent="0.3">
      <c r="O1" s="255" t="s">
        <v>468</v>
      </c>
    </row>
    <row r="2" spans="1:16" s="253" customFormat="1" ht="26.4" x14ac:dyDescent="0.25">
      <c r="A2" s="256" t="s">
        <v>283</v>
      </c>
      <c r="B2" s="257" t="s">
        <v>469</v>
      </c>
      <c r="C2" s="256" t="s">
        <v>445</v>
      </c>
      <c r="D2" s="256" t="s">
        <v>446</v>
      </c>
      <c r="E2" s="256" t="s">
        <v>447</v>
      </c>
      <c r="F2" s="256" t="s">
        <v>448</v>
      </c>
      <c r="G2" s="256" t="s">
        <v>449</v>
      </c>
      <c r="H2" s="256" t="s">
        <v>450</v>
      </c>
      <c r="I2" s="256" t="s">
        <v>451</v>
      </c>
      <c r="J2" s="256" t="s">
        <v>470</v>
      </c>
      <c r="K2" s="256" t="s">
        <v>452</v>
      </c>
      <c r="L2" s="256" t="s">
        <v>453</v>
      </c>
      <c r="M2" s="256" t="s">
        <v>454</v>
      </c>
      <c r="N2" s="256" t="s">
        <v>455</v>
      </c>
      <c r="O2" s="258" t="s">
        <v>467</v>
      </c>
    </row>
    <row r="3" spans="1:16" s="259" customFormat="1" x14ac:dyDescent="0.3">
      <c r="A3" s="750" t="s">
        <v>789</v>
      </c>
      <c r="B3" s="750"/>
      <c r="C3" s="750"/>
      <c r="D3" s="750">
        <f t="shared" ref="D3:N3" si="0">+C40</f>
        <v>1336521.7575000001</v>
      </c>
      <c r="E3" s="750">
        <f t="shared" si="0"/>
        <v>1276429.5150000001</v>
      </c>
      <c r="F3" s="750">
        <f t="shared" si="0"/>
        <v>366337.2725000002</v>
      </c>
      <c r="G3" s="750">
        <f t="shared" si="0"/>
        <v>306245.03000000014</v>
      </c>
      <c r="H3" s="750">
        <f t="shared" si="0"/>
        <v>246152.78750000009</v>
      </c>
      <c r="I3" s="750">
        <f t="shared" si="0"/>
        <v>485429.54500000004</v>
      </c>
      <c r="J3" s="750">
        <f t="shared" si="0"/>
        <v>425337.30249999999</v>
      </c>
      <c r="K3" s="750">
        <f t="shared" si="0"/>
        <v>215245.05999999994</v>
      </c>
      <c r="L3" s="750">
        <f t="shared" si="0"/>
        <v>155152.81749999989</v>
      </c>
      <c r="M3" s="750">
        <f t="shared" si="0"/>
        <v>95060.574999999866</v>
      </c>
      <c r="N3" s="750">
        <f t="shared" si="0"/>
        <v>34968.332499999844</v>
      </c>
      <c r="O3" s="261"/>
    </row>
    <row r="4" spans="1:16" s="262" customFormat="1" ht="15" customHeight="1" x14ac:dyDescent="0.3">
      <c r="A4" s="59" t="s">
        <v>333</v>
      </c>
      <c r="B4" s="77">
        <f>+'1.mell. Mérleg'!E5</f>
        <v>454373</v>
      </c>
      <c r="C4" s="260">
        <f>+$B$4/12</f>
        <v>37864.416666666664</v>
      </c>
      <c r="D4" s="260">
        <f t="shared" ref="D4:N4" si="1">+$B$4/12</f>
        <v>37864.416666666664</v>
      </c>
      <c r="E4" s="260">
        <f t="shared" si="1"/>
        <v>37864.416666666664</v>
      </c>
      <c r="F4" s="260">
        <f t="shared" si="1"/>
        <v>37864.416666666664</v>
      </c>
      <c r="G4" s="260">
        <f t="shared" si="1"/>
        <v>37864.416666666664</v>
      </c>
      <c r="H4" s="260">
        <f t="shared" si="1"/>
        <v>37864.416666666664</v>
      </c>
      <c r="I4" s="260">
        <f t="shared" si="1"/>
        <v>37864.416666666664</v>
      </c>
      <c r="J4" s="260">
        <f t="shared" si="1"/>
        <v>37864.416666666664</v>
      </c>
      <c r="K4" s="260">
        <f t="shared" si="1"/>
        <v>37864.416666666664</v>
      </c>
      <c r="L4" s="260">
        <f t="shared" si="1"/>
        <v>37864.416666666664</v>
      </c>
      <c r="M4" s="260">
        <f t="shared" si="1"/>
        <v>37864.416666666664</v>
      </c>
      <c r="N4" s="260">
        <f t="shared" si="1"/>
        <v>37864.416666666664</v>
      </c>
      <c r="O4" s="261">
        <f>SUM(C4:N4)</f>
        <v>454373.00000000006</v>
      </c>
    </row>
    <row r="5" spans="1:16" s="262" customFormat="1" ht="26.4" x14ac:dyDescent="0.3">
      <c r="A5" s="59" t="s">
        <v>205</v>
      </c>
      <c r="B5" s="77">
        <f>+'1.mell. Mérleg'!E6</f>
        <v>32261</v>
      </c>
      <c r="C5" s="260">
        <f>+$B$5/12</f>
        <v>2688.4166666666665</v>
      </c>
      <c r="D5" s="260">
        <f t="shared" ref="D5:N5" si="2">+$B$5/12</f>
        <v>2688.4166666666665</v>
      </c>
      <c r="E5" s="260">
        <f t="shared" si="2"/>
        <v>2688.4166666666665</v>
      </c>
      <c r="F5" s="260">
        <f t="shared" si="2"/>
        <v>2688.4166666666665</v>
      </c>
      <c r="G5" s="260">
        <f t="shared" si="2"/>
        <v>2688.4166666666665</v>
      </c>
      <c r="H5" s="260">
        <f t="shared" si="2"/>
        <v>2688.4166666666665</v>
      </c>
      <c r="I5" s="260">
        <f t="shared" si="2"/>
        <v>2688.4166666666665</v>
      </c>
      <c r="J5" s="260">
        <f t="shared" si="2"/>
        <v>2688.4166666666665</v>
      </c>
      <c r="K5" s="260">
        <f t="shared" si="2"/>
        <v>2688.4166666666665</v>
      </c>
      <c r="L5" s="260">
        <f t="shared" si="2"/>
        <v>2688.4166666666665</v>
      </c>
      <c r="M5" s="260">
        <f t="shared" si="2"/>
        <v>2688.4166666666665</v>
      </c>
      <c r="N5" s="260">
        <f t="shared" si="2"/>
        <v>2688.4166666666665</v>
      </c>
      <c r="O5" s="261">
        <f>SUM(C5:N5)</f>
        <v>32261.000000000004</v>
      </c>
    </row>
    <row r="6" spans="1:16" s="265" customFormat="1" ht="26.4" x14ac:dyDescent="0.3">
      <c r="A6" s="60" t="s">
        <v>331</v>
      </c>
      <c r="B6" s="81">
        <f>+B4+B5</f>
        <v>486634</v>
      </c>
      <c r="C6" s="263">
        <f>SUM(C4:C5)</f>
        <v>40552.833333333328</v>
      </c>
      <c r="D6" s="263">
        <f t="shared" ref="D6:O6" si="3">SUM(D4:D5)</f>
        <v>40552.833333333328</v>
      </c>
      <c r="E6" s="263">
        <f t="shared" si="3"/>
        <v>40552.833333333328</v>
      </c>
      <c r="F6" s="263">
        <f t="shared" si="3"/>
        <v>40552.833333333328</v>
      </c>
      <c r="G6" s="263">
        <f t="shared" si="3"/>
        <v>40552.833333333328</v>
      </c>
      <c r="H6" s="263">
        <f t="shared" si="3"/>
        <v>40552.833333333328</v>
      </c>
      <c r="I6" s="263">
        <f t="shared" si="3"/>
        <v>40552.833333333328</v>
      </c>
      <c r="J6" s="263">
        <f t="shared" si="3"/>
        <v>40552.833333333328</v>
      </c>
      <c r="K6" s="263">
        <f t="shared" si="3"/>
        <v>40552.833333333328</v>
      </c>
      <c r="L6" s="263">
        <f t="shared" si="3"/>
        <v>40552.833333333328</v>
      </c>
      <c r="M6" s="263">
        <f t="shared" si="3"/>
        <v>40552.833333333328</v>
      </c>
      <c r="N6" s="263">
        <f t="shared" si="3"/>
        <v>40552.833333333328</v>
      </c>
      <c r="O6" s="264">
        <f t="shared" si="3"/>
        <v>486634.00000000006</v>
      </c>
      <c r="P6" s="262"/>
    </row>
    <row r="7" spans="1:16" s="262" customFormat="1" x14ac:dyDescent="0.3">
      <c r="A7" s="59" t="s">
        <v>220</v>
      </c>
      <c r="B7" s="77">
        <f>+'1.mell. Mérleg'!E10</f>
        <v>129000</v>
      </c>
      <c r="C7" s="260">
        <f>+$B$7/12</f>
        <v>10750</v>
      </c>
      <c r="D7" s="260">
        <f t="shared" ref="D7:N7" si="4">+$B$7/12</f>
        <v>10750</v>
      </c>
      <c r="E7" s="260">
        <f t="shared" si="4"/>
        <v>10750</v>
      </c>
      <c r="F7" s="260">
        <f t="shared" si="4"/>
        <v>10750</v>
      </c>
      <c r="G7" s="260">
        <f t="shared" si="4"/>
        <v>10750</v>
      </c>
      <c r="H7" s="260">
        <f t="shared" si="4"/>
        <v>10750</v>
      </c>
      <c r="I7" s="260">
        <f t="shared" si="4"/>
        <v>10750</v>
      </c>
      <c r="J7" s="260">
        <f t="shared" si="4"/>
        <v>10750</v>
      </c>
      <c r="K7" s="260">
        <f t="shared" si="4"/>
        <v>10750</v>
      </c>
      <c r="L7" s="260">
        <f t="shared" si="4"/>
        <v>10750</v>
      </c>
      <c r="M7" s="260">
        <f t="shared" si="4"/>
        <v>10750</v>
      </c>
      <c r="N7" s="260">
        <f t="shared" si="4"/>
        <v>10750</v>
      </c>
      <c r="O7" s="261">
        <f t="shared" ref="O7:O12" si="5">SUM(C7:N7)</f>
        <v>129000</v>
      </c>
    </row>
    <row r="8" spans="1:16" s="262" customFormat="1" x14ac:dyDescent="0.3">
      <c r="A8" s="59" t="s">
        <v>336</v>
      </c>
      <c r="B8" s="77">
        <f>+'1.mell. Mérleg'!E11</f>
        <v>154000</v>
      </c>
      <c r="C8" s="260">
        <f>+$B$8/12</f>
        <v>12833.333333333334</v>
      </c>
      <c r="D8" s="260">
        <f t="shared" ref="D8:N8" si="6">+$B$8/12</f>
        <v>12833.333333333334</v>
      </c>
      <c r="E8" s="260">
        <f t="shared" si="6"/>
        <v>12833.333333333334</v>
      </c>
      <c r="F8" s="260">
        <f t="shared" si="6"/>
        <v>12833.333333333334</v>
      </c>
      <c r="G8" s="260">
        <f t="shared" si="6"/>
        <v>12833.333333333334</v>
      </c>
      <c r="H8" s="260">
        <f t="shared" si="6"/>
        <v>12833.333333333334</v>
      </c>
      <c r="I8" s="260">
        <f t="shared" si="6"/>
        <v>12833.333333333334</v>
      </c>
      <c r="J8" s="260">
        <f t="shared" si="6"/>
        <v>12833.333333333334</v>
      </c>
      <c r="K8" s="260">
        <f t="shared" si="6"/>
        <v>12833.333333333334</v>
      </c>
      <c r="L8" s="260">
        <f t="shared" si="6"/>
        <v>12833.333333333334</v>
      </c>
      <c r="M8" s="260">
        <f t="shared" si="6"/>
        <v>12833.333333333334</v>
      </c>
      <c r="N8" s="260">
        <f t="shared" si="6"/>
        <v>12833.333333333334</v>
      </c>
      <c r="O8" s="261">
        <f t="shared" si="5"/>
        <v>154000</v>
      </c>
    </row>
    <row r="9" spans="1:16" s="262" customFormat="1" x14ac:dyDescent="0.3">
      <c r="A9" s="59" t="s">
        <v>233</v>
      </c>
      <c r="B9" s="77">
        <f>+'1.mell. Mérleg'!E12</f>
        <v>5500</v>
      </c>
      <c r="C9" s="260">
        <f>+$B$9/12</f>
        <v>458.33333333333331</v>
      </c>
      <c r="D9" s="260">
        <f t="shared" ref="D9:N9" si="7">+$B$9/12</f>
        <v>458.33333333333331</v>
      </c>
      <c r="E9" s="260">
        <f t="shared" si="7"/>
        <v>458.33333333333331</v>
      </c>
      <c r="F9" s="260">
        <f t="shared" si="7"/>
        <v>458.33333333333331</v>
      </c>
      <c r="G9" s="260">
        <f t="shared" si="7"/>
        <v>458.33333333333331</v>
      </c>
      <c r="H9" s="260">
        <f t="shared" si="7"/>
        <v>458.33333333333331</v>
      </c>
      <c r="I9" s="260">
        <f t="shared" si="7"/>
        <v>458.33333333333331</v>
      </c>
      <c r="J9" s="260">
        <f t="shared" si="7"/>
        <v>458.33333333333331</v>
      </c>
      <c r="K9" s="260">
        <f t="shared" si="7"/>
        <v>458.33333333333331</v>
      </c>
      <c r="L9" s="260">
        <f t="shared" si="7"/>
        <v>458.33333333333331</v>
      </c>
      <c r="M9" s="260">
        <f t="shared" si="7"/>
        <v>458.33333333333331</v>
      </c>
      <c r="N9" s="260">
        <f t="shared" si="7"/>
        <v>458.33333333333331</v>
      </c>
      <c r="O9" s="261">
        <f t="shared" si="5"/>
        <v>5499.9999999999991</v>
      </c>
    </row>
    <row r="10" spans="1:16" s="265" customFormat="1" x14ac:dyDescent="0.3">
      <c r="A10" s="60" t="s">
        <v>337</v>
      </c>
      <c r="B10" s="81">
        <f>SUM(B7:B9)</f>
        <v>288500</v>
      </c>
      <c r="C10" s="263">
        <f>SUM(C7:C9)</f>
        <v>24041.666666666668</v>
      </c>
      <c r="D10" s="263">
        <f t="shared" ref="D10:O10" si="8">SUM(D7:D9)</f>
        <v>24041.666666666668</v>
      </c>
      <c r="E10" s="263">
        <f t="shared" si="8"/>
        <v>24041.666666666668</v>
      </c>
      <c r="F10" s="263">
        <f t="shared" si="8"/>
        <v>24041.666666666668</v>
      </c>
      <c r="G10" s="263">
        <f t="shared" si="8"/>
        <v>24041.666666666668</v>
      </c>
      <c r="H10" s="263">
        <f t="shared" si="8"/>
        <v>24041.666666666668</v>
      </c>
      <c r="I10" s="263">
        <f t="shared" si="8"/>
        <v>24041.666666666668</v>
      </c>
      <c r="J10" s="263">
        <f t="shared" si="8"/>
        <v>24041.666666666668</v>
      </c>
      <c r="K10" s="263">
        <f t="shared" si="8"/>
        <v>24041.666666666668</v>
      </c>
      <c r="L10" s="263">
        <f t="shared" si="8"/>
        <v>24041.666666666668</v>
      </c>
      <c r="M10" s="263">
        <f t="shared" si="8"/>
        <v>24041.666666666668</v>
      </c>
      <c r="N10" s="263">
        <f t="shared" si="8"/>
        <v>24041.666666666668</v>
      </c>
      <c r="O10" s="264">
        <f t="shared" si="8"/>
        <v>288500</v>
      </c>
      <c r="P10" s="262"/>
    </row>
    <row r="11" spans="1:16" s="262" customFormat="1" x14ac:dyDescent="0.3">
      <c r="A11" s="59" t="s">
        <v>280</v>
      </c>
      <c r="B11" s="77">
        <f>+'1.mell. Mérleg'!E13</f>
        <v>226324</v>
      </c>
      <c r="C11" s="260">
        <f>+$B$11/12</f>
        <v>18860.333333333332</v>
      </c>
      <c r="D11" s="260">
        <f t="shared" ref="D11:N11" si="9">+$B$11/12</f>
        <v>18860.333333333332</v>
      </c>
      <c r="E11" s="260">
        <f t="shared" si="9"/>
        <v>18860.333333333332</v>
      </c>
      <c r="F11" s="260">
        <f t="shared" si="9"/>
        <v>18860.333333333332</v>
      </c>
      <c r="G11" s="260">
        <f t="shared" si="9"/>
        <v>18860.333333333332</v>
      </c>
      <c r="H11" s="260">
        <f t="shared" si="9"/>
        <v>18860.333333333332</v>
      </c>
      <c r="I11" s="260">
        <f t="shared" si="9"/>
        <v>18860.333333333332</v>
      </c>
      <c r="J11" s="260">
        <f t="shared" si="9"/>
        <v>18860.333333333332</v>
      </c>
      <c r="K11" s="260">
        <f t="shared" si="9"/>
        <v>18860.333333333332</v>
      </c>
      <c r="L11" s="260">
        <f t="shared" si="9"/>
        <v>18860.333333333332</v>
      </c>
      <c r="M11" s="260">
        <f t="shared" si="9"/>
        <v>18860.333333333332</v>
      </c>
      <c r="N11" s="260">
        <f t="shared" si="9"/>
        <v>18860.333333333332</v>
      </c>
      <c r="O11" s="261">
        <f t="shared" si="5"/>
        <v>226324.00000000003</v>
      </c>
    </row>
    <row r="12" spans="1:16" s="262" customFormat="1" x14ac:dyDescent="0.3">
      <c r="A12" s="59" t="s">
        <v>278</v>
      </c>
      <c r="B12" s="77">
        <f>+'1.mell. Mérleg'!E14</f>
        <v>1693</v>
      </c>
      <c r="C12" s="260">
        <f>+$B$12/12</f>
        <v>141.08333333333334</v>
      </c>
      <c r="D12" s="260">
        <f t="shared" ref="D12:N12" si="10">+$B$12/12</f>
        <v>141.08333333333334</v>
      </c>
      <c r="E12" s="260">
        <f t="shared" si="10"/>
        <v>141.08333333333334</v>
      </c>
      <c r="F12" s="260">
        <f t="shared" si="10"/>
        <v>141.08333333333334</v>
      </c>
      <c r="G12" s="260">
        <f t="shared" si="10"/>
        <v>141.08333333333334</v>
      </c>
      <c r="H12" s="260">
        <f t="shared" si="10"/>
        <v>141.08333333333334</v>
      </c>
      <c r="I12" s="260">
        <f t="shared" si="10"/>
        <v>141.08333333333334</v>
      </c>
      <c r="J12" s="260">
        <f t="shared" si="10"/>
        <v>141.08333333333334</v>
      </c>
      <c r="K12" s="260">
        <f t="shared" si="10"/>
        <v>141.08333333333334</v>
      </c>
      <c r="L12" s="260">
        <f t="shared" si="10"/>
        <v>141.08333333333334</v>
      </c>
      <c r="M12" s="260">
        <f t="shared" si="10"/>
        <v>141.08333333333334</v>
      </c>
      <c r="N12" s="260">
        <f t="shared" si="10"/>
        <v>141.08333333333334</v>
      </c>
      <c r="O12" s="261">
        <f t="shared" si="5"/>
        <v>1692.9999999999998</v>
      </c>
    </row>
    <row r="13" spans="1:16" s="265" customFormat="1" x14ac:dyDescent="0.3">
      <c r="A13" s="266" t="s">
        <v>401</v>
      </c>
      <c r="B13" s="267">
        <f>+B12+B11+B10+B6</f>
        <v>1003151</v>
      </c>
      <c r="C13" s="267">
        <f t="shared" ref="C13:O13" si="11">+C12+C11+C10+C6</f>
        <v>83595.916666666657</v>
      </c>
      <c r="D13" s="267">
        <f t="shared" si="11"/>
        <v>83595.916666666657</v>
      </c>
      <c r="E13" s="267">
        <f t="shared" si="11"/>
        <v>83595.916666666657</v>
      </c>
      <c r="F13" s="267">
        <f t="shared" si="11"/>
        <v>83595.916666666657</v>
      </c>
      <c r="G13" s="267">
        <f t="shared" si="11"/>
        <v>83595.916666666657</v>
      </c>
      <c r="H13" s="267">
        <f t="shared" si="11"/>
        <v>83595.916666666657</v>
      </c>
      <c r="I13" s="267">
        <f t="shared" si="11"/>
        <v>83595.916666666657</v>
      </c>
      <c r="J13" s="267">
        <f t="shared" si="11"/>
        <v>83595.916666666657</v>
      </c>
      <c r="K13" s="267">
        <f t="shared" si="11"/>
        <v>83595.916666666657</v>
      </c>
      <c r="L13" s="267">
        <f t="shared" si="11"/>
        <v>83595.916666666657</v>
      </c>
      <c r="M13" s="267">
        <f t="shared" si="11"/>
        <v>83595.916666666657</v>
      </c>
      <c r="N13" s="267">
        <f t="shared" si="11"/>
        <v>83595.916666666657</v>
      </c>
      <c r="O13" s="268">
        <f t="shared" si="11"/>
        <v>1003151</v>
      </c>
      <c r="P13" s="262"/>
    </row>
    <row r="14" spans="1:16" s="262" customFormat="1" ht="26.4" x14ac:dyDescent="0.3">
      <c r="A14" s="59" t="s">
        <v>332</v>
      </c>
      <c r="B14" s="77">
        <f>+'1.mell. Mérleg'!E16</f>
        <v>664949</v>
      </c>
      <c r="C14" s="260"/>
      <c r="D14" s="260"/>
      <c r="E14" s="260"/>
      <c r="F14" s="260"/>
      <c r="G14" s="260"/>
      <c r="H14" s="260">
        <v>664949</v>
      </c>
      <c r="I14" s="260"/>
      <c r="J14" s="260"/>
      <c r="K14" s="260"/>
      <c r="L14" s="260"/>
      <c r="M14" s="260"/>
      <c r="N14" s="260"/>
      <c r="O14" s="264">
        <f>SUM(C14:N14)</f>
        <v>664949</v>
      </c>
    </row>
    <row r="15" spans="1:16" s="262" customFormat="1" ht="14.1" customHeight="1" x14ac:dyDescent="0.3">
      <c r="A15" s="59" t="s">
        <v>279</v>
      </c>
      <c r="B15" s="77">
        <v>0</v>
      </c>
      <c r="C15" s="260"/>
      <c r="D15" s="260">
        <v>0</v>
      </c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4">
        <f>SUM(C15:N15)</f>
        <v>0</v>
      </c>
    </row>
    <row r="16" spans="1:16" s="262" customFormat="1" ht="14.1" customHeight="1" x14ac:dyDescent="0.3">
      <c r="A16" s="59" t="s">
        <v>284</v>
      </c>
      <c r="B16" s="77">
        <f>+'1.mell. Mérleg'!C18</f>
        <v>0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4">
        <f>SUM(C16:N16)</f>
        <v>0</v>
      </c>
    </row>
    <row r="17" spans="1:16" s="262" customFormat="1" ht="14.1" customHeight="1" x14ac:dyDescent="0.3">
      <c r="A17" s="266" t="s">
        <v>279</v>
      </c>
      <c r="B17" s="267">
        <f>+B16+B15+B14</f>
        <v>664949</v>
      </c>
      <c r="C17" s="267">
        <f t="shared" ref="C17:O17" si="12">+C16+C15+C14</f>
        <v>0</v>
      </c>
      <c r="D17" s="267">
        <f t="shared" si="12"/>
        <v>0</v>
      </c>
      <c r="E17" s="267">
        <f t="shared" si="12"/>
        <v>0</v>
      </c>
      <c r="F17" s="267">
        <f t="shared" si="12"/>
        <v>0</v>
      </c>
      <c r="G17" s="267">
        <f t="shared" si="12"/>
        <v>0</v>
      </c>
      <c r="H17" s="267">
        <f t="shared" si="12"/>
        <v>664949</v>
      </c>
      <c r="I17" s="267">
        <f t="shared" si="12"/>
        <v>0</v>
      </c>
      <c r="J17" s="267">
        <f t="shared" si="12"/>
        <v>0</v>
      </c>
      <c r="K17" s="267">
        <f t="shared" si="12"/>
        <v>0</v>
      </c>
      <c r="L17" s="267">
        <f t="shared" si="12"/>
        <v>0</v>
      </c>
      <c r="M17" s="267">
        <f t="shared" si="12"/>
        <v>0</v>
      </c>
      <c r="N17" s="267">
        <f t="shared" si="12"/>
        <v>0</v>
      </c>
      <c r="O17" s="268">
        <f t="shared" si="12"/>
        <v>664949</v>
      </c>
    </row>
    <row r="18" spans="1:16" s="262" customFormat="1" ht="26.25" customHeight="1" x14ac:dyDescent="0.3">
      <c r="A18" s="59" t="s">
        <v>788</v>
      </c>
      <c r="B18" s="77">
        <f>+'1.mell. Mérleg'!E21</f>
        <v>1230000</v>
      </c>
      <c r="C18" s="260">
        <v>380000</v>
      </c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>
        <v>850000</v>
      </c>
      <c r="O18" s="264">
        <f>SUM(C18:N18)</f>
        <v>1230000</v>
      </c>
    </row>
    <row r="19" spans="1:16" s="262" customFormat="1" ht="14.1" customHeight="1" x14ac:dyDescent="0.3">
      <c r="A19" s="59" t="s">
        <v>385</v>
      </c>
      <c r="B19" s="77">
        <f>+'1.mell. Mérleg'!E23</f>
        <v>531720</v>
      </c>
      <c r="C19" s="260">
        <v>531720</v>
      </c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4">
        <f>SUM(C19:N19)</f>
        <v>531720</v>
      </c>
    </row>
    <row r="20" spans="1:16" s="262" customFormat="1" ht="14.1" customHeight="1" x14ac:dyDescent="0.3">
      <c r="A20" s="59" t="s">
        <v>386</v>
      </c>
      <c r="B20" s="77">
        <f>+'1.mell. Mérleg'!E24</f>
        <v>622908</v>
      </c>
      <c r="C20" s="260">
        <v>622908</v>
      </c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4">
        <f>SUM(C20:N20)</f>
        <v>622908</v>
      </c>
    </row>
    <row r="21" spans="1:16" s="265" customFormat="1" ht="14.1" customHeight="1" x14ac:dyDescent="0.3">
      <c r="A21" s="60"/>
      <c r="B21" s="81">
        <f>+B20+B19</f>
        <v>1154628</v>
      </c>
      <c r="C21" s="81">
        <f t="shared" ref="C21:O21" si="13">+C20+C19</f>
        <v>1154628</v>
      </c>
      <c r="D21" s="81">
        <f t="shared" si="13"/>
        <v>0</v>
      </c>
      <c r="E21" s="81">
        <f t="shared" si="13"/>
        <v>0</v>
      </c>
      <c r="F21" s="81">
        <f t="shared" si="13"/>
        <v>0</v>
      </c>
      <c r="G21" s="81">
        <f t="shared" si="13"/>
        <v>0</v>
      </c>
      <c r="H21" s="81">
        <f t="shared" si="13"/>
        <v>0</v>
      </c>
      <c r="I21" s="81">
        <f t="shared" si="13"/>
        <v>0</v>
      </c>
      <c r="J21" s="81">
        <f t="shared" si="13"/>
        <v>0</v>
      </c>
      <c r="K21" s="81">
        <f t="shared" si="13"/>
        <v>0</v>
      </c>
      <c r="L21" s="81">
        <f t="shared" si="13"/>
        <v>0</v>
      </c>
      <c r="M21" s="81">
        <f t="shared" si="13"/>
        <v>0</v>
      </c>
      <c r="N21" s="81">
        <f t="shared" si="13"/>
        <v>0</v>
      </c>
      <c r="O21" s="269">
        <f t="shared" si="13"/>
        <v>1154628</v>
      </c>
      <c r="P21" s="262"/>
    </row>
    <row r="22" spans="1:16" s="262" customFormat="1" ht="14.1" customHeight="1" x14ac:dyDescent="0.3">
      <c r="A22" s="270" t="s">
        <v>287</v>
      </c>
      <c r="B22" s="267">
        <f>+B21+B18</f>
        <v>2384628</v>
      </c>
      <c r="C22" s="267">
        <f t="shared" ref="C22:O22" si="14">+C21+C18</f>
        <v>1534628</v>
      </c>
      <c r="D22" s="267">
        <f t="shared" si="14"/>
        <v>0</v>
      </c>
      <c r="E22" s="267">
        <f t="shared" si="14"/>
        <v>0</v>
      </c>
      <c r="F22" s="267">
        <f t="shared" si="14"/>
        <v>0</v>
      </c>
      <c r="G22" s="267">
        <f t="shared" si="14"/>
        <v>0</v>
      </c>
      <c r="H22" s="267">
        <f t="shared" si="14"/>
        <v>0</v>
      </c>
      <c r="I22" s="267">
        <f t="shared" si="14"/>
        <v>0</v>
      </c>
      <c r="J22" s="267">
        <f t="shared" si="14"/>
        <v>0</v>
      </c>
      <c r="K22" s="267">
        <f t="shared" si="14"/>
        <v>0</v>
      </c>
      <c r="L22" s="267">
        <f t="shared" si="14"/>
        <v>0</v>
      </c>
      <c r="M22" s="267">
        <f t="shared" si="14"/>
        <v>0</v>
      </c>
      <c r="N22" s="267">
        <f t="shared" si="14"/>
        <v>850000</v>
      </c>
      <c r="O22" s="267">
        <f t="shared" si="14"/>
        <v>2384628</v>
      </c>
    </row>
    <row r="23" spans="1:16" s="259" customFormat="1" ht="15.9" customHeight="1" thickBot="1" x14ac:dyDescent="0.35">
      <c r="A23" s="271" t="s">
        <v>388</v>
      </c>
      <c r="B23" s="272">
        <f>+B22+B17+B13</f>
        <v>4052728</v>
      </c>
      <c r="C23" s="272">
        <f t="shared" ref="C23:O23" si="15">+C22+C17+C13</f>
        <v>1618223.9166666667</v>
      </c>
      <c r="D23" s="272">
        <f t="shared" si="15"/>
        <v>83595.916666666657</v>
      </c>
      <c r="E23" s="272">
        <f t="shared" si="15"/>
        <v>83595.916666666657</v>
      </c>
      <c r="F23" s="272">
        <f t="shared" si="15"/>
        <v>83595.916666666657</v>
      </c>
      <c r="G23" s="272">
        <f t="shared" si="15"/>
        <v>83595.916666666657</v>
      </c>
      <c r="H23" s="272">
        <f t="shared" si="15"/>
        <v>748544.91666666663</v>
      </c>
      <c r="I23" s="272">
        <f t="shared" si="15"/>
        <v>83595.916666666657</v>
      </c>
      <c r="J23" s="272">
        <f t="shared" si="15"/>
        <v>83595.916666666657</v>
      </c>
      <c r="K23" s="272">
        <f t="shared" si="15"/>
        <v>83595.916666666657</v>
      </c>
      <c r="L23" s="272">
        <f t="shared" si="15"/>
        <v>83595.916666666657</v>
      </c>
      <c r="M23" s="272">
        <f t="shared" si="15"/>
        <v>83595.916666666657</v>
      </c>
      <c r="N23" s="272">
        <f t="shared" si="15"/>
        <v>933595.91666666663</v>
      </c>
      <c r="O23" s="273">
        <f t="shared" si="15"/>
        <v>4052728</v>
      </c>
      <c r="P23" s="262"/>
    </row>
    <row r="24" spans="1:16" s="259" customFormat="1" ht="15" customHeight="1" thickBot="1" x14ac:dyDescent="0.35">
      <c r="A24" s="1304"/>
      <c r="B24" s="1304"/>
      <c r="C24" s="1304"/>
      <c r="D24" s="1304"/>
      <c r="E24" s="1304"/>
      <c r="F24" s="1304"/>
      <c r="G24" s="1304"/>
      <c r="H24" s="1304"/>
      <c r="I24" s="1304"/>
      <c r="J24" s="1304"/>
      <c r="K24" s="1304"/>
      <c r="L24" s="1304"/>
      <c r="M24" s="1304"/>
      <c r="N24" s="1304"/>
      <c r="O24" s="1304"/>
      <c r="P24" s="262"/>
    </row>
    <row r="25" spans="1:16" s="253" customFormat="1" ht="26.1" customHeight="1" x14ac:dyDescent="0.25">
      <c r="A25" s="256" t="s">
        <v>283</v>
      </c>
      <c r="B25" s="257" t="s">
        <v>469</v>
      </c>
      <c r="C25" s="256" t="s">
        <v>445</v>
      </c>
      <c r="D25" s="256" t="s">
        <v>446</v>
      </c>
      <c r="E25" s="256" t="s">
        <v>447</v>
      </c>
      <c r="F25" s="256" t="s">
        <v>448</v>
      </c>
      <c r="G25" s="256" t="s">
        <v>449</v>
      </c>
      <c r="H25" s="256" t="s">
        <v>450</v>
      </c>
      <c r="I25" s="256" t="s">
        <v>451</v>
      </c>
      <c r="J25" s="256" t="s">
        <v>470</v>
      </c>
      <c r="K25" s="256" t="s">
        <v>452</v>
      </c>
      <c r="L25" s="256" t="s">
        <v>453</v>
      </c>
      <c r="M25" s="256" t="s">
        <v>454</v>
      </c>
      <c r="N25" s="256" t="s">
        <v>455</v>
      </c>
      <c r="O25" s="258" t="s">
        <v>467</v>
      </c>
      <c r="P25" s="262"/>
    </row>
    <row r="26" spans="1:16" s="262" customFormat="1" ht="14.1" customHeight="1" x14ac:dyDescent="0.25">
      <c r="A26" s="118" t="s">
        <v>172</v>
      </c>
      <c r="B26" s="138">
        <f>+'1.mell. Mérleg'!E31</f>
        <v>341268</v>
      </c>
      <c r="C26" s="260">
        <f>+$B$26/12</f>
        <v>28439</v>
      </c>
      <c r="D26" s="260">
        <f t="shared" ref="D26:N26" si="16">+$B$26/12</f>
        <v>28439</v>
      </c>
      <c r="E26" s="260">
        <f t="shared" si="16"/>
        <v>28439</v>
      </c>
      <c r="F26" s="260">
        <f t="shared" si="16"/>
        <v>28439</v>
      </c>
      <c r="G26" s="260">
        <f t="shared" si="16"/>
        <v>28439</v>
      </c>
      <c r="H26" s="260">
        <f t="shared" si="16"/>
        <v>28439</v>
      </c>
      <c r="I26" s="260">
        <f t="shared" si="16"/>
        <v>28439</v>
      </c>
      <c r="J26" s="260">
        <f t="shared" si="16"/>
        <v>28439</v>
      </c>
      <c r="K26" s="260">
        <f t="shared" si="16"/>
        <v>28439</v>
      </c>
      <c r="L26" s="260">
        <f t="shared" si="16"/>
        <v>28439</v>
      </c>
      <c r="M26" s="260">
        <f t="shared" si="16"/>
        <v>28439</v>
      </c>
      <c r="N26" s="260">
        <f t="shared" si="16"/>
        <v>28439</v>
      </c>
      <c r="O26" s="261">
        <f t="shared" ref="O26:O31" si="17">SUM(C26:N26)</f>
        <v>341268</v>
      </c>
    </row>
    <row r="27" spans="1:16" s="262" customFormat="1" ht="22.5" customHeight="1" x14ac:dyDescent="0.25">
      <c r="A27" s="118" t="s">
        <v>171</v>
      </c>
      <c r="B27" s="138">
        <f>+'1.mell. Mérleg'!E32</f>
        <v>73142</v>
      </c>
      <c r="C27" s="260">
        <f>+$B$27/12</f>
        <v>6095.166666666667</v>
      </c>
      <c r="D27" s="260">
        <f t="shared" ref="D27:N27" si="18">+$B$27/12</f>
        <v>6095.166666666667</v>
      </c>
      <c r="E27" s="260">
        <f t="shared" si="18"/>
        <v>6095.166666666667</v>
      </c>
      <c r="F27" s="260">
        <f t="shared" si="18"/>
        <v>6095.166666666667</v>
      </c>
      <c r="G27" s="260">
        <f t="shared" si="18"/>
        <v>6095.166666666667</v>
      </c>
      <c r="H27" s="260">
        <f t="shared" si="18"/>
        <v>6095.166666666667</v>
      </c>
      <c r="I27" s="260">
        <f t="shared" si="18"/>
        <v>6095.166666666667</v>
      </c>
      <c r="J27" s="260">
        <f t="shared" si="18"/>
        <v>6095.166666666667</v>
      </c>
      <c r="K27" s="260">
        <f t="shared" si="18"/>
        <v>6095.166666666667</v>
      </c>
      <c r="L27" s="260">
        <f t="shared" si="18"/>
        <v>6095.166666666667</v>
      </c>
      <c r="M27" s="260">
        <f t="shared" si="18"/>
        <v>6095.166666666667</v>
      </c>
      <c r="N27" s="260">
        <f t="shared" si="18"/>
        <v>6095.166666666667</v>
      </c>
      <c r="O27" s="261">
        <f t="shared" si="17"/>
        <v>73142</v>
      </c>
    </row>
    <row r="28" spans="1:16" s="262" customFormat="1" ht="14.1" customHeight="1" x14ac:dyDescent="0.25">
      <c r="A28" s="118" t="s">
        <v>151</v>
      </c>
      <c r="B28" s="138">
        <f>+'1.mell. Mérleg'!E33</f>
        <v>573975.91</v>
      </c>
      <c r="C28" s="260">
        <f>+$B$28/12</f>
        <v>47831.325833333336</v>
      </c>
      <c r="D28" s="260">
        <f t="shared" ref="D28:N28" si="19">+$B$28/12</f>
        <v>47831.325833333336</v>
      </c>
      <c r="E28" s="260">
        <f t="shared" si="19"/>
        <v>47831.325833333336</v>
      </c>
      <c r="F28" s="260">
        <f t="shared" si="19"/>
        <v>47831.325833333336</v>
      </c>
      <c r="G28" s="260">
        <f t="shared" si="19"/>
        <v>47831.325833333336</v>
      </c>
      <c r="H28" s="260">
        <f t="shared" si="19"/>
        <v>47831.325833333336</v>
      </c>
      <c r="I28" s="260">
        <f t="shared" si="19"/>
        <v>47831.325833333336</v>
      </c>
      <c r="J28" s="260">
        <f t="shared" si="19"/>
        <v>47831.325833333336</v>
      </c>
      <c r="K28" s="260">
        <f t="shared" si="19"/>
        <v>47831.325833333336</v>
      </c>
      <c r="L28" s="260">
        <f t="shared" si="19"/>
        <v>47831.325833333336</v>
      </c>
      <c r="M28" s="260">
        <f t="shared" si="19"/>
        <v>47831.325833333336</v>
      </c>
      <c r="N28" s="260">
        <f t="shared" si="19"/>
        <v>47831.325833333336</v>
      </c>
      <c r="O28" s="261">
        <f t="shared" si="17"/>
        <v>573975.90999999992</v>
      </c>
    </row>
    <row r="29" spans="1:16" s="262" customFormat="1" ht="14.1" customHeight="1" x14ac:dyDescent="0.25">
      <c r="A29" s="119" t="s">
        <v>150</v>
      </c>
      <c r="B29" s="138">
        <f>+'1.mell. Mérleg'!E34</f>
        <v>23333</v>
      </c>
      <c r="C29" s="260">
        <f>+$B$29/12</f>
        <v>1944.4166666666667</v>
      </c>
      <c r="D29" s="260">
        <f t="shared" ref="D29:N29" si="20">+$B$29/12</f>
        <v>1944.4166666666667</v>
      </c>
      <c r="E29" s="260">
        <f t="shared" si="20"/>
        <v>1944.4166666666667</v>
      </c>
      <c r="F29" s="260">
        <f t="shared" si="20"/>
        <v>1944.4166666666667</v>
      </c>
      <c r="G29" s="260">
        <f t="shared" si="20"/>
        <v>1944.4166666666667</v>
      </c>
      <c r="H29" s="260">
        <f t="shared" si="20"/>
        <v>1944.4166666666667</v>
      </c>
      <c r="I29" s="260">
        <f t="shared" si="20"/>
        <v>1944.4166666666667</v>
      </c>
      <c r="J29" s="260">
        <f t="shared" si="20"/>
        <v>1944.4166666666667</v>
      </c>
      <c r="K29" s="260">
        <f t="shared" si="20"/>
        <v>1944.4166666666667</v>
      </c>
      <c r="L29" s="260">
        <f t="shared" si="20"/>
        <v>1944.4166666666667</v>
      </c>
      <c r="M29" s="260">
        <f t="shared" si="20"/>
        <v>1944.4166666666667</v>
      </c>
      <c r="N29" s="260">
        <f t="shared" si="20"/>
        <v>1944.4166666666667</v>
      </c>
      <c r="O29" s="261">
        <f t="shared" si="17"/>
        <v>23333.000000000004</v>
      </c>
    </row>
    <row r="30" spans="1:16" s="262" customFormat="1" ht="14.1" customHeight="1" x14ac:dyDescent="0.25">
      <c r="A30" s="118" t="s">
        <v>163</v>
      </c>
      <c r="B30" s="138">
        <f>+'1.mell. Mérleg'!E35</f>
        <v>238527</v>
      </c>
      <c r="C30" s="260">
        <f>+$B$30/12</f>
        <v>19877.25</v>
      </c>
      <c r="D30" s="260">
        <f t="shared" ref="D30:N30" si="21">+$B$30/12</f>
        <v>19877.25</v>
      </c>
      <c r="E30" s="260">
        <f t="shared" si="21"/>
        <v>19877.25</v>
      </c>
      <c r="F30" s="260">
        <f t="shared" si="21"/>
        <v>19877.25</v>
      </c>
      <c r="G30" s="260">
        <f t="shared" si="21"/>
        <v>19877.25</v>
      </c>
      <c r="H30" s="260">
        <f t="shared" si="21"/>
        <v>19877.25</v>
      </c>
      <c r="I30" s="260">
        <f t="shared" si="21"/>
        <v>19877.25</v>
      </c>
      <c r="J30" s="260">
        <f t="shared" si="21"/>
        <v>19877.25</v>
      </c>
      <c r="K30" s="260">
        <f t="shared" si="21"/>
        <v>19877.25</v>
      </c>
      <c r="L30" s="260">
        <f t="shared" si="21"/>
        <v>19877.25</v>
      </c>
      <c r="M30" s="260">
        <f t="shared" si="21"/>
        <v>19877.25</v>
      </c>
      <c r="N30" s="260">
        <f t="shared" si="21"/>
        <v>19877.25</v>
      </c>
      <c r="O30" s="261">
        <f t="shared" si="17"/>
        <v>238527</v>
      </c>
    </row>
    <row r="31" spans="1:16" s="262" customFormat="1" ht="14.1" customHeight="1" x14ac:dyDescent="0.25">
      <c r="A31" s="118" t="s">
        <v>423</v>
      </c>
      <c r="B31" s="138">
        <f>+'1.mell. Mérleg'!E36</f>
        <v>364685</v>
      </c>
      <c r="C31" s="260">
        <f>+$B$31/12</f>
        <v>30390.416666666668</v>
      </c>
      <c r="D31" s="260">
        <f t="shared" ref="D31:N31" si="22">+$B$31/12</f>
        <v>30390.416666666668</v>
      </c>
      <c r="E31" s="260">
        <f t="shared" si="22"/>
        <v>30390.416666666668</v>
      </c>
      <c r="F31" s="260">
        <f t="shared" si="22"/>
        <v>30390.416666666668</v>
      </c>
      <c r="G31" s="260">
        <f t="shared" si="22"/>
        <v>30390.416666666668</v>
      </c>
      <c r="H31" s="260">
        <f t="shared" si="22"/>
        <v>30390.416666666668</v>
      </c>
      <c r="I31" s="260">
        <f t="shared" si="22"/>
        <v>30390.416666666668</v>
      </c>
      <c r="J31" s="260">
        <f t="shared" si="22"/>
        <v>30390.416666666668</v>
      </c>
      <c r="K31" s="260">
        <f t="shared" si="22"/>
        <v>30390.416666666668</v>
      </c>
      <c r="L31" s="260">
        <f t="shared" si="22"/>
        <v>30390.416666666668</v>
      </c>
      <c r="M31" s="260">
        <f t="shared" si="22"/>
        <v>30390.416666666668</v>
      </c>
      <c r="N31" s="260">
        <f t="shared" si="22"/>
        <v>30390.416666666668</v>
      </c>
      <c r="O31" s="261">
        <f t="shared" si="17"/>
        <v>364685.00000000006</v>
      </c>
    </row>
    <row r="32" spans="1:16" s="262" customFormat="1" ht="14.1" customHeight="1" x14ac:dyDescent="0.3">
      <c r="A32" s="266" t="s">
        <v>413</v>
      </c>
      <c r="B32" s="274">
        <f>SUM(B26:B31)</f>
        <v>1614930.9100000001</v>
      </c>
      <c r="C32" s="274">
        <f t="shared" ref="C32:O32" si="23">SUM(C26:C31)</f>
        <v>134577.57583333334</v>
      </c>
      <c r="D32" s="274">
        <f t="shared" si="23"/>
        <v>134577.57583333334</v>
      </c>
      <c r="E32" s="274">
        <f t="shared" si="23"/>
        <v>134577.57583333334</v>
      </c>
      <c r="F32" s="274">
        <f t="shared" si="23"/>
        <v>134577.57583333334</v>
      </c>
      <c r="G32" s="274">
        <f t="shared" si="23"/>
        <v>134577.57583333334</v>
      </c>
      <c r="H32" s="274">
        <f t="shared" si="23"/>
        <v>134577.57583333334</v>
      </c>
      <c r="I32" s="274">
        <f t="shared" si="23"/>
        <v>134577.57583333334</v>
      </c>
      <c r="J32" s="274">
        <f t="shared" si="23"/>
        <v>134577.57583333334</v>
      </c>
      <c r="K32" s="274">
        <f t="shared" si="23"/>
        <v>134577.57583333334</v>
      </c>
      <c r="L32" s="274">
        <f t="shared" si="23"/>
        <v>134577.57583333334</v>
      </c>
      <c r="M32" s="274">
        <f t="shared" si="23"/>
        <v>134577.57583333334</v>
      </c>
      <c r="N32" s="274">
        <f t="shared" si="23"/>
        <v>134577.57583333334</v>
      </c>
      <c r="O32" s="275">
        <f t="shared" si="23"/>
        <v>1614930.91</v>
      </c>
    </row>
    <row r="33" spans="1:16" s="262" customFormat="1" ht="14.1" customHeight="1" x14ac:dyDescent="0.25">
      <c r="A33" s="118" t="s">
        <v>161</v>
      </c>
      <c r="B33" s="138">
        <f>+'1.mell. Mérleg'!E38</f>
        <v>1462316</v>
      </c>
      <c r="C33" s="260">
        <v>121860</v>
      </c>
      <c r="D33" s="260"/>
      <c r="E33" s="260"/>
      <c r="F33" s="260"/>
      <c r="G33" s="260"/>
      <c r="H33" s="260">
        <v>365580</v>
      </c>
      <c r="I33" s="260"/>
      <c r="J33" s="260">
        <v>150000</v>
      </c>
      <c r="K33" s="260"/>
      <c r="L33" s="260"/>
      <c r="M33" s="260"/>
      <c r="N33" s="260">
        <v>824876</v>
      </c>
      <c r="O33" s="261">
        <f>SUM(C33:N33)</f>
        <v>1462316</v>
      </c>
    </row>
    <row r="34" spans="1:16" s="262" customFormat="1" ht="14.1" customHeight="1" x14ac:dyDescent="0.25">
      <c r="A34" s="118" t="s">
        <v>160</v>
      </c>
      <c r="B34" s="138">
        <f>+'1.mell. Mérleg'!E39</f>
        <v>109327</v>
      </c>
      <c r="C34" s="260">
        <f>+$B$34/12</f>
        <v>9110.5833333333339</v>
      </c>
      <c r="D34" s="260">
        <f t="shared" ref="D34:N34" si="24">+$B$34/12</f>
        <v>9110.5833333333339</v>
      </c>
      <c r="E34" s="260">
        <f t="shared" si="24"/>
        <v>9110.5833333333339</v>
      </c>
      <c r="F34" s="260">
        <f t="shared" si="24"/>
        <v>9110.5833333333339</v>
      </c>
      <c r="G34" s="260">
        <f t="shared" si="24"/>
        <v>9110.5833333333339</v>
      </c>
      <c r="H34" s="260">
        <f t="shared" si="24"/>
        <v>9110.5833333333339</v>
      </c>
      <c r="I34" s="260">
        <f t="shared" si="24"/>
        <v>9110.5833333333339</v>
      </c>
      <c r="J34" s="260">
        <f t="shared" si="24"/>
        <v>9110.5833333333339</v>
      </c>
      <c r="K34" s="260">
        <f t="shared" si="24"/>
        <v>9110.5833333333339</v>
      </c>
      <c r="L34" s="260">
        <f t="shared" si="24"/>
        <v>9110.5833333333339</v>
      </c>
      <c r="M34" s="260">
        <f t="shared" si="24"/>
        <v>9110.5833333333339</v>
      </c>
      <c r="N34" s="260">
        <f t="shared" si="24"/>
        <v>9110.5833333333339</v>
      </c>
      <c r="O34" s="261">
        <f>SUM(C34:N34)</f>
        <v>109326.99999999999</v>
      </c>
    </row>
    <row r="35" spans="1:16" s="262" customFormat="1" ht="14.1" customHeight="1" x14ac:dyDescent="0.25">
      <c r="A35" s="118" t="s">
        <v>158</v>
      </c>
      <c r="B35" s="138">
        <f>+'1.mell. Mérleg'!C40</f>
        <v>0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1">
        <f>SUM(C35:N35)</f>
        <v>0</v>
      </c>
    </row>
    <row r="36" spans="1:16" s="262" customFormat="1" ht="14.1" customHeight="1" x14ac:dyDescent="0.25">
      <c r="A36" s="266" t="s">
        <v>415</v>
      </c>
      <c r="B36" s="276">
        <f>SUM(B33:B35)</f>
        <v>1571643</v>
      </c>
      <c r="C36" s="276">
        <f t="shared" ref="C36:O36" si="25">SUM(C33:C35)</f>
        <v>130970.58333333333</v>
      </c>
      <c r="D36" s="276">
        <f t="shared" si="25"/>
        <v>9110.5833333333339</v>
      </c>
      <c r="E36" s="276">
        <f t="shared" si="25"/>
        <v>9110.5833333333339</v>
      </c>
      <c r="F36" s="276">
        <f t="shared" si="25"/>
        <v>9110.5833333333339</v>
      </c>
      <c r="G36" s="276">
        <f t="shared" si="25"/>
        <v>9110.5833333333339</v>
      </c>
      <c r="H36" s="276">
        <f t="shared" si="25"/>
        <v>374690.58333333331</v>
      </c>
      <c r="I36" s="276">
        <f t="shared" si="25"/>
        <v>9110.5833333333339</v>
      </c>
      <c r="J36" s="276">
        <f t="shared" si="25"/>
        <v>159110.58333333334</v>
      </c>
      <c r="K36" s="276">
        <f t="shared" si="25"/>
        <v>9110.5833333333339</v>
      </c>
      <c r="L36" s="276">
        <f t="shared" si="25"/>
        <v>9110.5833333333339</v>
      </c>
      <c r="M36" s="276">
        <f t="shared" si="25"/>
        <v>9110.5833333333339</v>
      </c>
      <c r="N36" s="276">
        <f t="shared" si="25"/>
        <v>833986.58333333337</v>
      </c>
      <c r="O36" s="277">
        <f t="shared" si="25"/>
        <v>1571643</v>
      </c>
    </row>
    <row r="37" spans="1:16" s="262" customFormat="1" ht="14.1" customHeight="1" x14ac:dyDescent="0.25">
      <c r="A37" s="278" t="s">
        <v>277</v>
      </c>
      <c r="B37" s="276">
        <f>+'1.mell. Mérleg'!E42</f>
        <v>866154</v>
      </c>
      <c r="C37" s="279">
        <v>16154</v>
      </c>
      <c r="D37" s="279"/>
      <c r="E37" s="279">
        <v>850000</v>
      </c>
      <c r="F37" s="279"/>
      <c r="G37" s="279"/>
      <c r="H37" s="279"/>
      <c r="I37" s="279"/>
      <c r="J37" s="279"/>
      <c r="K37" s="279"/>
      <c r="L37" s="279"/>
      <c r="M37" s="279"/>
      <c r="N37" s="279"/>
      <c r="O37" s="280">
        <f>SUM(C37:N37)</f>
        <v>866154</v>
      </c>
    </row>
    <row r="38" spans="1:16" s="259" customFormat="1" ht="15.9" customHeight="1" thickBot="1" x14ac:dyDescent="0.35">
      <c r="A38" s="272" t="s">
        <v>412</v>
      </c>
      <c r="B38" s="272">
        <f>+B37+B36+B32</f>
        <v>4052727.91</v>
      </c>
      <c r="C38" s="272">
        <f>+C37+C36+C32</f>
        <v>281702.15916666668</v>
      </c>
      <c r="D38" s="272">
        <f t="shared" ref="D38:O38" si="26">+D37+D36+D32</f>
        <v>143688.15916666668</v>
      </c>
      <c r="E38" s="272">
        <f t="shared" si="26"/>
        <v>993688.15916666668</v>
      </c>
      <c r="F38" s="272">
        <f t="shared" si="26"/>
        <v>143688.15916666668</v>
      </c>
      <c r="G38" s="272">
        <f t="shared" si="26"/>
        <v>143688.15916666668</v>
      </c>
      <c r="H38" s="272">
        <f t="shared" si="26"/>
        <v>509268.15916666668</v>
      </c>
      <c r="I38" s="272">
        <f t="shared" si="26"/>
        <v>143688.15916666668</v>
      </c>
      <c r="J38" s="272">
        <f t="shared" si="26"/>
        <v>293688.15916666668</v>
      </c>
      <c r="K38" s="272">
        <f t="shared" si="26"/>
        <v>143688.15916666668</v>
      </c>
      <c r="L38" s="272">
        <f t="shared" si="26"/>
        <v>143688.15916666668</v>
      </c>
      <c r="M38" s="272">
        <f t="shared" si="26"/>
        <v>143688.15916666668</v>
      </c>
      <c r="N38" s="272">
        <f t="shared" si="26"/>
        <v>968564.15916666668</v>
      </c>
      <c r="O38" s="273">
        <f t="shared" si="26"/>
        <v>4052727.91</v>
      </c>
      <c r="P38" s="262"/>
    </row>
    <row r="39" spans="1:16" s="282" customFormat="1" ht="15.9" customHeight="1" thickBot="1" x14ac:dyDescent="0.35">
      <c r="A39" s="281"/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62"/>
    </row>
    <row r="40" spans="1:16" ht="13.8" thickBot="1" x14ac:dyDescent="0.3">
      <c r="A40" s="283" t="s">
        <v>471</v>
      </c>
      <c r="B40" s="284">
        <f>+B23-B38</f>
        <v>8.9999999850988388E-2</v>
      </c>
      <c r="C40" s="284">
        <f t="shared" ref="C40" si="27">+C23-C38</f>
        <v>1336521.7575000001</v>
      </c>
      <c r="D40" s="284">
        <f>+D3+D23-D38</f>
        <v>1276429.5150000001</v>
      </c>
      <c r="E40" s="284">
        <f t="shared" ref="E40:O40" si="28">+E3+E23-E38</f>
        <v>366337.2725000002</v>
      </c>
      <c r="F40" s="284">
        <f t="shared" si="28"/>
        <v>306245.03000000014</v>
      </c>
      <c r="G40" s="284">
        <f t="shared" si="28"/>
        <v>246152.78750000009</v>
      </c>
      <c r="H40" s="284">
        <f t="shared" si="28"/>
        <v>485429.54500000004</v>
      </c>
      <c r="I40" s="284">
        <f t="shared" si="28"/>
        <v>425337.30249999999</v>
      </c>
      <c r="J40" s="284">
        <f t="shared" si="28"/>
        <v>215245.05999999994</v>
      </c>
      <c r="K40" s="284">
        <f t="shared" si="28"/>
        <v>155152.81749999989</v>
      </c>
      <c r="L40" s="284">
        <f t="shared" si="28"/>
        <v>95060.574999999866</v>
      </c>
      <c r="M40" s="284">
        <f t="shared" si="28"/>
        <v>34968.332499999844</v>
      </c>
      <c r="N40" s="284">
        <f t="shared" si="28"/>
        <v>8.9999999850988388E-2</v>
      </c>
      <c r="O40" s="284">
        <f t="shared" si="28"/>
        <v>8.9999999850988388E-2</v>
      </c>
      <c r="P40" s="262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&amp;C&amp;"Times New Roman,Félkövér"&amp;12Előirányzat-felhasználási ütemterv 2018. évre 
&amp;"Times New Roman,Normál"(tervezett adatok alapján)  &amp;"Times New Roman,Félkövér"             &amp;R&amp;"Times New Roman,Félkövér"&amp;10&amp;K000000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"/>
  <sheetViews>
    <sheetView view="pageLayout" topLeftCell="A7" zoomScaleNormal="100" zoomScaleSheetLayoutView="90" workbookViewId="0">
      <selection activeCell="C20" sqref="C20"/>
    </sheetView>
  </sheetViews>
  <sheetFormatPr defaultColWidth="9.109375" defaultRowHeight="13.2" x14ac:dyDescent="0.25"/>
  <cols>
    <col min="1" max="1" width="4.44140625" style="798" customWidth="1"/>
    <col min="2" max="2" width="6.88671875" style="857" customWidth="1"/>
    <col min="3" max="3" width="45.5546875" style="798" customWidth="1"/>
    <col min="4" max="4" width="7.6640625" style="798" customWidth="1"/>
    <col min="5" max="5" width="7.5546875" style="798" customWidth="1"/>
    <col min="6" max="6" width="8.33203125" style="797" customWidth="1"/>
    <col min="7" max="7" width="7.44140625" style="798" customWidth="1"/>
    <col min="8" max="8" width="7.88671875" style="798" customWidth="1"/>
    <col min="9" max="9" width="6.5546875" style="798" customWidth="1"/>
    <col min="10" max="10" width="9.44140625" style="798" customWidth="1"/>
    <col min="11" max="11" width="10" style="832" customWidth="1"/>
    <col min="12" max="12" width="9.109375" style="798" customWidth="1"/>
    <col min="13" max="13" width="7.33203125" style="798" customWidth="1"/>
    <col min="14" max="14" width="8.109375" style="798" customWidth="1"/>
    <col min="15" max="15" width="7.33203125" style="798" customWidth="1"/>
    <col min="16" max="16" width="9.33203125" style="797" customWidth="1"/>
    <col min="17" max="17" width="8.44140625" style="797" customWidth="1"/>
    <col min="18" max="19" width="9.88671875" style="797" customWidth="1"/>
    <col min="20" max="20" width="9.88671875" style="798" customWidth="1"/>
    <col min="21" max="22" width="8" style="798" customWidth="1"/>
    <col min="23" max="23" width="10.109375" style="798" customWidth="1"/>
    <col min="24" max="24" width="9" style="797" customWidth="1"/>
    <col min="25" max="25" width="7.88671875" style="798" customWidth="1"/>
    <col min="26" max="26" width="10.5546875" style="798" customWidth="1"/>
    <col min="27" max="27" width="8.6640625" style="798" customWidth="1"/>
    <col min="28" max="28" width="9.109375" style="798" customWidth="1"/>
    <col min="29" max="29" width="9.6640625" style="798" customWidth="1"/>
    <col min="30" max="30" width="11.44140625" style="798" customWidth="1"/>
    <col min="31" max="31" width="9.5546875" style="798" customWidth="1"/>
    <col min="32" max="33" width="9.33203125" style="798" customWidth="1"/>
    <col min="34" max="34" width="10.88671875" style="798" customWidth="1"/>
    <col min="35" max="35" width="11.109375" style="798" customWidth="1"/>
    <col min="36" max="40" width="9.109375" style="798" customWidth="1"/>
    <col min="41" max="16384" width="9.109375" style="798"/>
  </cols>
  <sheetData>
    <row r="1" spans="1:40" ht="13.8" thickBot="1" x14ac:dyDescent="0.3">
      <c r="A1" s="1313"/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3"/>
      <c r="V1" s="1313"/>
      <c r="W1" s="1313"/>
      <c r="AG1" s="1314" t="s">
        <v>393</v>
      </c>
      <c r="AH1" s="1314"/>
      <c r="AI1" s="1314"/>
    </row>
    <row r="2" spans="1:40" ht="16.5" customHeight="1" x14ac:dyDescent="0.25">
      <c r="A2" s="1315" t="s">
        <v>702</v>
      </c>
      <c r="B2" s="1317"/>
      <c r="C2" s="1320" t="s">
        <v>799</v>
      </c>
      <c r="D2" s="1321" t="s">
        <v>311</v>
      </c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1"/>
      <c r="S2" s="1321"/>
      <c r="T2" s="1321"/>
      <c r="U2" s="1322"/>
      <c r="V2" s="799"/>
      <c r="W2" s="1323" t="s">
        <v>289</v>
      </c>
      <c r="X2" s="1321" t="s">
        <v>303</v>
      </c>
      <c r="Y2" s="1321"/>
      <c r="Z2" s="1321"/>
      <c r="AA2" s="1321"/>
      <c r="AB2" s="1321"/>
      <c r="AC2" s="1321"/>
      <c r="AD2" s="1321"/>
      <c r="AE2" s="1321"/>
      <c r="AF2" s="1321"/>
      <c r="AG2" s="1321"/>
      <c r="AH2" s="1321"/>
      <c r="AI2" s="1325" t="s">
        <v>800</v>
      </c>
      <c r="AN2" s="800"/>
    </row>
    <row r="3" spans="1:40" ht="25.5" customHeight="1" x14ac:dyDescent="0.25">
      <c r="A3" s="1316"/>
      <c r="B3" s="1318"/>
      <c r="C3" s="1305"/>
      <c r="D3" s="1305" t="s">
        <v>801</v>
      </c>
      <c r="E3" s="1305" t="s">
        <v>802</v>
      </c>
      <c r="F3" s="1308" t="s">
        <v>151</v>
      </c>
      <c r="G3" s="1305" t="s">
        <v>803</v>
      </c>
      <c r="H3" s="1305" t="s">
        <v>163</v>
      </c>
      <c r="I3" s="1306"/>
      <c r="J3" s="1305" t="s">
        <v>804</v>
      </c>
      <c r="K3" s="1312" t="s">
        <v>805</v>
      </c>
      <c r="L3" s="1305" t="s">
        <v>806</v>
      </c>
      <c r="M3" s="1305" t="s">
        <v>807</v>
      </c>
      <c r="N3" s="1305" t="s">
        <v>808</v>
      </c>
      <c r="O3" s="1305" t="s">
        <v>809</v>
      </c>
      <c r="P3" s="1308" t="s">
        <v>632</v>
      </c>
      <c r="Q3" s="1308" t="s">
        <v>810</v>
      </c>
      <c r="R3" s="1308" t="s">
        <v>936</v>
      </c>
      <c r="S3" s="1308" t="s">
        <v>812</v>
      </c>
      <c r="T3" s="1310" t="s">
        <v>813</v>
      </c>
      <c r="U3" s="1305" t="s">
        <v>814</v>
      </c>
      <c r="V3" s="1305" t="s">
        <v>815</v>
      </c>
      <c r="W3" s="1324"/>
      <c r="X3" s="1305" t="s">
        <v>816</v>
      </c>
      <c r="Y3" s="1305" t="s">
        <v>817</v>
      </c>
      <c r="Z3" s="1305" t="s">
        <v>818</v>
      </c>
      <c r="AA3" s="1305" t="s">
        <v>819</v>
      </c>
      <c r="AB3" s="1305" t="s">
        <v>820</v>
      </c>
      <c r="AC3" s="1305" t="s">
        <v>661</v>
      </c>
      <c r="AD3" s="1305" t="s">
        <v>821</v>
      </c>
      <c r="AE3" s="1305" t="s">
        <v>822</v>
      </c>
      <c r="AF3" s="1305" t="s">
        <v>823</v>
      </c>
      <c r="AG3" s="1305" t="s">
        <v>824</v>
      </c>
      <c r="AH3" s="1305" t="s">
        <v>875</v>
      </c>
      <c r="AI3" s="1326"/>
    </row>
    <row r="4" spans="1:40" ht="35.25" customHeight="1" x14ac:dyDescent="0.25">
      <c r="A4" s="1316"/>
      <c r="B4" s="1319"/>
      <c r="C4" s="1305"/>
      <c r="D4" s="1305"/>
      <c r="E4" s="1305"/>
      <c r="F4" s="1308"/>
      <c r="G4" s="1305"/>
      <c r="H4" s="802" t="s">
        <v>825</v>
      </c>
      <c r="I4" s="802" t="s">
        <v>826</v>
      </c>
      <c r="J4" s="1305"/>
      <c r="K4" s="1312"/>
      <c r="L4" s="1305"/>
      <c r="M4" s="1307"/>
      <c r="N4" s="1305"/>
      <c r="O4" s="1305"/>
      <c r="P4" s="1308"/>
      <c r="Q4" s="1308"/>
      <c r="R4" s="1308"/>
      <c r="S4" s="1309"/>
      <c r="T4" s="1311"/>
      <c r="U4" s="1307"/>
      <c r="V4" s="1305"/>
      <c r="W4" s="1324"/>
      <c r="X4" s="1305"/>
      <c r="Y4" s="1305"/>
      <c r="Z4" s="1306"/>
      <c r="AA4" s="1306"/>
      <c r="AB4" s="1305"/>
      <c r="AC4" s="1306"/>
      <c r="AD4" s="1306"/>
      <c r="AE4" s="1306"/>
      <c r="AF4" s="1305"/>
      <c r="AG4" s="1305"/>
      <c r="AH4" s="1305"/>
      <c r="AI4" s="1326"/>
    </row>
    <row r="5" spans="1:40" s="797" customFormat="1" ht="12.75" customHeight="1" x14ac:dyDescent="0.25">
      <c r="A5" s="803">
        <v>1</v>
      </c>
      <c r="B5" s="870" t="s">
        <v>852</v>
      </c>
      <c r="C5" s="888" t="s">
        <v>863</v>
      </c>
      <c r="D5" s="804"/>
      <c r="E5" s="804"/>
      <c r="F5" s="804"/>
      <c r="G5" s="805"/>
      <c r="H5" s="805"/>
      <c r="I5" s="805"/>
      <c r="J5" s="805"/>
      <c r="K5" s="806"/>
      <c r="L5" s="807"/>
      <c r="M5" s="807"/>
      <c r="N5" s="805">
        <f>564+192</f>
        <v>756</v>
      </c>
      <c r="O5" s="807"/>
      <c r="P5" s="805"/>
      <c r="Q5" s="807"/>
      <c r="R5" s="805"/>
      <c r="S5" s="805"/>
      <c r="T5" s="805"/>
      <c r="U5" s="807"/>
      <c r="V5" s="807"/>
      <c r="W5" s="808">
        <f>SUM(D5:V5)</f>
        <v>756</v>
      </c>
      <c r="X5" s="809"/>
      <c r="Y5" s="810"/>
      <c r="Z5" s="810">
        <v>756</v>
      </c>
      <c r="AA5" s="811"/>
      <c r="AB5" s="811"/>
      <c r="AC5" s="811"/>
      <c r="AD5" s="811"/>
      <c r="AE5" s="811"/>
      <c r="AF5" s="811"/>
      <c r="AG5" s="811"/>
      <c r="AH5" s="810"/>
      <c r="AI5" s="812">
        <f>SUM(X5:AH5)</f>
        <v>756</v>
      </c>
    </row>
    <row r="6" spans="1:40" s="797" customFormat="1" ht="15" customHeight="1" x14ac:dyDescent="0.25">
      <c r="A6" s="803">
        <v>2</v>
      </c>
      <c r="B6" s="870" t="s">
        <v>852</v>
      </c>
      <c r="C6" s="814" t="s">
        <v>864</v>
      </c>
      <c r="D6" s="805"/>
      <c r="E6" s="805"/>
      <c r="F6" s="805"/>
      <c r="G6" s="805"/>
      <c r="H6" s="805"/>
      <c r="I6" s="805"/>
      <c r="J6" s="805"/>
      <c r="K6" s="806"/>
      <c r="L6" s="807"/>
      <c r="M6" s="807"/>
      <c r="N6" s="805">
        <v>309</v>
      </c>
      <c r="O6" s="807"/>
      <c r="P6" s="805">
        <v>-309</v>
      </c>
      <c r="Q6" s="807"/>
      <c r="R6" s="805"/>
      <c r="S6" s="805"/>
      <c r="T6" s="805"/>
      <c r="U6" s="807"/>
      <c r="V6" s="807"/>
      <c r="W6" s="808">
        <f t="shared" ref="W6:W49" si="0">SUM(D6:V6)</f>
        <v>0</v>
      </c>
      <c r="X6" s="809"/>
      <c r="Y6" s="810"/>
      <c r="Z6" s="810"/>
      <c r="AA6" s="811"/>
      <c r="AB6" s="811"/>
      <c r="AC6" s="811"/>
      <c r="AD6" s="811"/>
      <c r="AE6" s="811"/>
      <c r="AF6" s="811"/>
      <c r="AG6" s="811"/>
      <c r="AH6" s="811"/>
      <c r="AI6" s="812">
        <f t="shared" ref="AI6:AI49" si="1">SUM(X6:AH6)</f>
        <v>0</v>
      </c>
    </row>
    <row r="7" spans="1:40" s="797" customFormat="1" x14ac:dyDescent="0.25">
      <c r="A7" s="803">
        <v>3</v>
      </c>
      <c r="B7" s="870" t="s">
        <v>852</v>
      </c>
      <c r="C7" s="814" t="s">
        <v>885</v>
      </c>
      <c r="D7" s="805"/>
      <c r="E7" s="805"/>
      <c r="F7" s="805"/>
      <c r="G7" s="805"/>
      <c r="H7" s="805">
        <f>373+118</f>
        <v>491</v>
      </c>
      <c r="I7" s="805"/>
      <c r="J7" s="805"/>
      <c r="K7" s="806"/>
      <c r="L7" s="807"/>
      <c r="M7" s="807"/>
      <c r="N7" s="805">
        <f>142+25+15</f>
        <v>182</v>
      </c>
      <c r="O7" s="807"/>
      <c r="P7" s="805"/>
      <c r="Q7" s="807"/>
      <c r="R7" s="805"/>
      <c r="S7" s="805"/>
      <c r="T7" s="805"/>
      <c r="U7" s="807"/>
      <c r="V7" s="807"/>
      <c r="W7" s="808">
        <f t="shared" si="0"/>
        <v>673</v>
      </c>
      <c r="X7" s="809"/>
      <c r="Y7" s="810"/>
      <c r="Z7" s="810">
        <v>673</v>
      </c>
      <c r="AA7" s="811"/>
      <c r="AB7" s="811"/>
      <c r="AC7" s="811"/>
      <c r="AD7" s="811"/>
      <c r="AE7" s="811"/>
      <c r="AF7" s="811"/>
      <c r="AG7" s="811"/>
      <c r="AH7" s="811"/>
      <c r="AI7" s="812">
        <f t="shared" si="1"/>
        <v>673</v>
      </c>
    </row>
    <row r="8" spans="1:40" s="797" customFormat="1" x14ac:dyDescent="0.25">
      <c r="A8" s="803">
        <v>4</v>
      </c>
      <c r="B8" s="870" t="s">
        <v>858</v>
      </c>
      <c r="C8" s="814" t="s">
        <v>865</v>
      </c>
      <c r="D8" s="805"/>
      <c r="E8" s="805"/>
      <c r="F8" s="805">
        <v>65561</v>
      </c>
      <c r="G8" s="805"/>
      <c r="H8" s="805"/>
      <c r="I8" s="805"/>
      <c r="J8" s="805"/>
      <c r="K8" s="806"/>
      <c r="L8" s="807"/>
      <c r="M8" s="807"/>
      <c r="N8" s="805"/>
      <c r="O8" s="807"/>
      <c r="P8" s="805"/>
      <c r="Q8" s="807"/>
      <c r="R8" s="805"/>
      <c r="S8" s="805"/>
      <c r="T8" s="805"/>
      <c r="U8" s="807"/>
      <c r="V8" s="807"/>
      <c r="W8" s="808">
        <f t="shared" si="0"/>
        <v>65561</v>
      </c>
      <c r="X8" s="809"/>
      <c r="Y8" s="810"/>
      <c r="Z8" s="810"/>
      <c r="AA8" s="810"/>
      <c r="AB8" s="811"/>
      <c r="AC8" s="810"/>
      <c r="AD8" s="811"/>
      <c r="AE8" s="810">
        <v>65561</v>
      </c>
      <c r="AF8" s="811"/>
      <c r="AG8" s="811"/>
      <c r="AH8" s="811"/>
      <c r="AI8" s="812">
        <f t="shared" si="1"/>
        <v>65561</v>
      </c>
    </row>
    <row r="9" spans="1:40" s="797" customFormat="1" ht="26.4" x14ac:dyDescent="0.25">
      <c r="A9" s="803">
        <v>5</v>
      </c>
      <c r="B9" s="870" t="s">
        <v>866</v>
      </c>
      <c r="C9" s="814" t="s">
        <v>940</v>
      </c>
      <c r="D9" s="805"/>
      <c r="E9" s="805"/>
      <c r="F9" s="805">
        <v>635</v>
      </c>
      <c r="G9" s="805"/>
      <c r="H9" s="805"/>
      <c r="I9" s="805"/>
      <c r="J9" s="805">
        <v>-635</v>
      </c>
      <c r="K9" s="806"/>
      <c r="L9" s="807"/>
      <c r="M9" s="807"/>
      <c r="N9" s="805"/>
      <c r="O9" s="807"/>
      <c r="P9" s="805"/>
      <c r="Q9" s="807"/>
      <c r="R9" s="805"/>
      <c r="S9" s="805"/>
      <c r="T9" s="805"/>
      <c r="U9" s="807"/>
      <c r="V9" s="807"/>
      <c r="W9" s="808">
        <f t="shared" si="0"/>
        <v>0</v>
      </c>
      <c r="X9" s="809"/>
      <c r="Y9" s="810"/>
      <c r="Z9" s="810"/>
      <c r="AA9" s="810"/>
      <c r="AB9" s="811"/>
      <c r="AC9" s="811"/>
      <c r="AD9" s="811"/>
      <c r="AE9" s="810"/>
      <c r="AF9" s="811"/>
      <c r="AG9" s="811"/>
      <c r="AH9" s="811"/>
      <c r="AI9" s="812">
        <f t="shared" si="1"/>
        <v>0</v>
      </c>
    </row>
    <row r="10" spans="1:40" s="797" customFormat="1" x14ac:dyDescent="0.25">
      <c r="A10" s="803">
        <v>6</v>
      </c>
      <c r="B10" s="870" t="s">
        <v>866</v>
      </c>
      <c r="C10" s="814" t="s">
        <v>867</v>
      </c>
      <c r="D10" s="805"/>
      <c r="E10" s="805"/>
      <c r="F10" s="805">
        <v>158</v>
      </c>
      <c r="G10" s="805"/>
      <c r="H10" s="805"/>
      <c r="I10" s="805"/>
      <c r="J10" s="805"/>
      <c r="K10" s="806"/>
      <c r="L10" s="807"/>
      <c r="M10" s="807"/>
      <c r="N10" s="805"/>
      <c r="O10" s="807"/>
      <c r="P10" s="805">
        <v>-158</v>
      </c>
      <c r="Q10" s="807"/>
      <c r="R10" s="805"/>
      <c r="S10" s="805"/>
      <c r="T10" s="805"/>
      <c r="U10" s="807"/>
      <c r="V10" s="807"/>
      <c r="W10" s="808">
        <f t="shared" si="0"/>
        <v>0</v>
      </c>
      <c r="X10" s="809"/>
      <c r="Y10" s="810"/>
      <c r="Z10" s="810"/>
      <c r="AA10" s="811"/>
      <c r="AB10" s="811"/>
      <c r="AC10" s="811"/>
      <c r="AD10" s="811"/>
      <c r="AE10" s="810"/>
      <c r="AF10" s="811"/>
      <c r="AG10" s="811"/>
      <c r="AH10" s="811"/>
      <c r="AI10" s="812">
        <f t="shared" si="1"/>
        <v>0</v>
      </c>
    </row>
    <row r="11" spans="1:40" s="797" customFormat="1" x14ac:dyDescent="0.25">
      <c r="A11" s="803">
        <v>8</v>
      </c>
      <c r="B11" s="870" t="s">
        <v>860</v>
      </c>
      <c r="C11" s="814" t="s">
        <v>868</v>
      </c>
      <c r="D11" s="805">
        <v>-330</v>
      </c>
      <c r="E11" s="805"/>
      <c r="F11" s="805">
        <v>330</v>
      </c>
      <c r="G11" s="805"/>
      <c r="H11" s="805"/>
      <c r="I11" s="805"/>
      <c r="J11" s="805"/>
      <c r="K11" s="806"/>
      <c r="L11" s="807"/>
      <c r="M11" s="807"/>
      <c r="N11" s="805"/>
      <c r="O11" s="807"/>
      <c r="P11" s="805"/>
      <c r="Q11" s="807"/>
      <c r="R11" s="805"/>
      <c r="S11" s="805"/>
      <c r="T11" s="805"/>
      <c r="U11" s="807"/>
      <c r="V11" s="807"/>
      <c r="W11" s="808">
        <f t="shared" si="0"/>
        <v>0</v>
      </c>
      <c r="X11" s="809"/>
      <c r="Y11" s="810"/>
      <c r="Z11" s="810"/>
      <c r="AA11" s="811"/>
      <c r="AB11" s="810"/>
      <c r="AC11" s="811"/>
      <c r="AD11" s="811"/>
      <c r="AE11" s="810"/>
      <c r="AF11" s="811"/>
      <c r="AG11" s="811"/>
      <c r="AH11" s="811"/>
      <c r="AI11" s="812">
        <f t="shared" si="1"/>
        <v>0</v>
      </c>
    </row>
    <row r="12" spans="1:40" s="797" customFormat="1" ht="12.75" customHeight="1" x14ac:dyDescent="0.25">
      <c r="A12" s="803">
        <v>9</v>
      </c>
      <c r="B12" s="870" t="s">
        <v>872</v>
      </c>
      <c r="C12" s="814" t="s">
        <v>869</v>
      </c>
      <c r="D12" s="805">
        <f>78+15</f>
        <v>93</v>
      </c>
      <c r="E12" s="805">
        <v>-93</v>
      </c>
      <c r="F12" s="805"/>
      <c r="G12" s="805"/>
      <c r="H12" s="805"/>
      <c r="I12" s="805"/>
      <c r="J12" s="805"/>
      <c r="K12" s="806"/>
      <c r="L12" s="807"/>
      <c r="M12" s="807"/>
      <c r="N12" s="805"/>
      <c r="O12" s="807"/>
      <c r="P12" s="805"/>
      <c r="Q12" s="807"/>
      <c r="R12" s="805"/>
      <c r="S12" s="805"/>
      <c r="T12" s="805"/>
      <c r="U12" s="807"/>
      <c r="V12" s="807"/>
      <c r="W12" s="808">
        <f t="shared" si="0"/>
        <v>0</v>
      </c>
      <c r="X12" s="809"/>
      <c r="Y12" s="810"/>
      <c r="Z12" s="810"/>
      <c r="AA12" s="810"/>
      <c r="AB12" s="811"/>
      <c r="AC12" s="811"/>
      <c r="AD12" s="811"/>
      <c r="AE12" s="810"/>
      <c r="AF12" s="811"/>
      <c r="AG12" s="811"/>
      <c r="AH12" s="811"/>
      <c r="AI12" s="812">
        <f t="shared" si="1"/>
        <v>0</v>
      </c>
    </row>
    <row r="13" spans="1:40" s="797" customFormat="1" ht="12.75" customHeight="1" x14ac:dyDescent="0.25">
      <c r="A13" s="803">
        <v>11</v>
      </c>
      <c r="B13" s="870" t="s">
        <v>854</v>
      </c>
      <c r="C13" s="814" t="s">
        <v>870</v>
      </c>
      <c r="D13" s="805">
        <v>257</v>
      </c>
      <c r="E13" s="805">
        <v>23</v>
      </c>
      <c r="F13" s="805">
        <v>-280</v>
      </c>
      <c r="G13" s="805"/>
      <c r="H13" s="805"/>
      <c r="I13" s="805"/>
      <c r="J13" s="805"/>
      <c r="K13" s="806"/>
      <c r="L13" s="807"/>
      <c r="M13" s="807"/>
      <c r="N13" s="805"/>
      <c r="O13" s="807"/>
      <c r="P13" s="805"/>
      <c r="Q13" s="807"/>
      <c r="R13" s="805"/>
      <c r="S13" s="805"/>
      <c r="T13" s="805"/>
      <c r="U13" s="807"/>
      <c r="V13" s="807"/>
      <c r="W13" s="808">
        <f t="shared" si="0"/>
        <v>0</v>
      </c>
      <c r="X13" s="809"/>
      <c r="Y13" s="810"/>
      <c r="Z13" s="810"/>
      <c r="AA13" s="810"/>
      <c r="AB13" s="811"/>
      <c r="AC13" s="811"/>
      <c r="AD13" s="811"/>
      <c r="AE13" s="810"/>
      <c r="AF13" s="811"/>
      <c r="AG13" s="811"/>
      <c r="AH13" s="811"/>
      <c r="AI13" s="812">
        <f t="shared" si="1"/>
        <v>0</v>
      </c>
    </row>
    <row r="14" spans="1:40" s="797" customFormat="1" x14ac:dyDescent="0.25">
      <c r="A14" s="803">
        <v>16</v>
      </c>
      <c r="B14" s="870" t="s">
        <v>854</v>
      </c>
      <c r="C14" s="814" t="s">
        <v>871</v>
      </c>
      <c r="D14" s="805"/>
      <c r="E14" s="810"/>
      <c r="F14" s="810"/>
      <c r="G14" s="810"/>
      <c r="H14" s="810"/>
      <c r="I14" s="810"/>
      <c r="J14" s="810"/>
      <c r="K14" s="806"/>
      <c r="L14" s="811"/>
      <c r="M14" s="811"/>
      <c r="N14" s="811"/>
      <c r="O14" s="811"/>
      <c r="P14" s="810"/>
      <c r="Q14" s="810"/>
      <c r="R14" s="810"/>
      <c r="S14" s="810"/>
      <c r="T14" s="810"/>
      <c r="U14" s="811"/>
      <c r="V14" s="810">
        <v>850000</v>
      </c>
      <c r="W14" s="808">
        <f t="shared" si="0"/>
        <v>850000</v>
      </c>
      <c r="X14" s="809"/>
      <c r="Y14" s="810"/>
      <c r="Z14" s="810"/>
      <c r="AA14" s="811"/>
      <c r="AB14" s="811"/>
      <c r="AC14" s="811"/>
      <c r="AD14" s="811"/>
      <c r="AE14" s="810"/>
      <c r="AF14" s="811"/>
      <c r="AG14" s="810">
        <v>850000</v>
      </c>
      <c r="AH14" s="811"/>
      <c r="AI14" s="812">
        <f t="shared" si="1"/>
        <v>850000</v>
      </c>
    </row>
    <row r="15" spans="1:40" s="797" customFormat="1" x14ac:dyDescent="0.25">
      <c r="A15" s="803">
        <v>17</v>
      </c>
      <c r="B15" s="870" t="s">
        <v>873</v>
      </c>
      <c r="C15" s="814" t="s">
        <v>874</v>
      </c>
      <c r="D15" s="805"/>
      <c r="E15" s="810"/>
      <c r="F15" s="810"/>
      <c r="G15" s="810"/>
      <c r="H15" s="810">
        <v>1033</v>
      </c>
      <c r="I15" s="810"/>
      <c r="J15" s="810"/>
      <c r="K15" s="806"/>
      <c r="L15" s="811"/>
      <c r="M15" s="810">
        <v>16154</v>
      </c>
      <c r="N15" s="810"/>
      <c r="O15" s="811"/>
      <c r="P15" s="810">
        <v>4756</v>
      </c>
      <c r="Q15" s="810"/>
      <c r="R15" s="810">
        <v>20000</v>
      </c>
      <c r="S15" s="810"/>
      <c r="T15" s="810"/>
      <c r="U15" s="810"/>
      <c r="V15" s="810"/>
      <c r="W15" s="808">
        <f t="shared" si="0"/>
        <v>41943</v>
      </c>
      <c r="X15" s="809"/>
      <c r="Y15" s="810"/>
      <c r="Z15" s="810"/>
      <c r="AA15" s="811"/>
      <c r="AB15" s="811"/>
      <c r="AC15" s="811"/>
      <c r="AD15" s="811"/>
      <c r="AE15" s="810"/>
      <c r="AF15" s="811"/>
      <c r="AG15" s="811"/>
      <c r="AH15" s="810">
        <v>41943</v>
      </c>
      <c r="AI15" s="812">
        <f t="shared" si="1"/>
        <v>41943</v>
      </c>
    </row>
    <row r="16" spans="1:40" x14ac:dyDescent="0.25">
      <c r="A16" s="803">
        <v>18</v>
      </c>
      <c r="B16" s="870" t="s">
        <v>876</v>
      </c>
      <c r="C16" s="814" t="s">
        <v>877</v>
      </c>
      <c r="D16" s="817"/>
      <c r="E16" s="818"/>
      <c r="F16" s="810">
        <v>297</v>
      </c>
      <c r="G16" s="818"/>
      <c r="H16" s="818"/>
      <c r="I16" s="818"/>
      <c r="J16" s="818"/>
      <c r="K16" s="819"/>
      <c r="L16" s="818"/>
      <c r="M16" s="818"/>
      <c r="N16" s="818"/>
      <c r="O16" s="818"/>
      <c r="P16" s="810"/>
      <c r="Q16" s="810"/>
      <c r="R16" s="810"/>
      <c r="S16" s="810">
        <v>-297</v>
      </c>
      <c r="T16" s="818"/>
      <c r="U16" s="818"/>
      <c r="V16" s="818"/>
      <c r="W16" s="808">
        <f t="shared" si="0"/>
        <v>0</v>
      </c>
      <c r="X16" s="809"/>
      <c r="Y16" s="818"/>
      <c r="Z16" s="818"/>
      <c r="AA16" s="818"/>
      <c r="AB16" s="818"/>
      <c r="AC16" s="818"/>
      <c r="AD16" s="818"/>
      <c r="AE16" s="818"/>
      <c r="AF16" s="818"/>
      <c r="AG16" s="822"/>
      <c r="AH16" s="822"/>
      <c r="AI16" s="812">
        <f t="shared" si="1"/>
        <v>0</v>
      </c>
    </row>
    <row r="17" spans="1:35" s="866" customFormat="1" ht="37.5" customHeight="1" x14ac:dyDescent="0.3">
      <c r="A17" s="803">
        <v>19</v>
      </c>
      <c r="B17" s="870" t="s">
        <v>878</v>
      </c>
      <c r="C17" s="860" t="s">
        <v>941</v>
      </c>
      <c r="D17" s="872"/>
      <c r="E17" s="873"/>
      <c r="F17" s="874">
        <v>1524</v>
      </c>
      <c r="G17" s="873"/>
      <c r="H17" s="873"/>
      <c r="I17" s="873"/>
      <c r="J17" s="873">
        <v>-1524</v>
      </c>
      <c r="K17" s="875"/>
      <c r="L17" s="873"/>
      <c r="M17" s="873"/>
      <c r="N17" s="873"/>
      <c r="O17" s="873"/>
      <c r="P17" s="874"/>
      <c r="Q17" s="874"/>
      <c r="R17" s="874"/>
      <c r="S17" s="874"/>
      <c r="T17" s="873"/>
      <c r="U17" s="873"/>
      <c r="V17" s="873"/>
      <c r="W17" s="876">
        <f t="shared" si="0"/>
        <v>0</v>
      </c>
      <c r="X17" s="869"/>
      <c r="Y17" s="873"/>
      <c r="Z17" s="873"/>
      <c r="AA17" s="873"/>
      <c r="AB17" s="873"/>
      <c r="AC17" s="873"/>
      <c r="AD17" s="873"/>
      <c r="AE17" s="873"/>
      <c r="AF17" s="873"/>
      <c r="AG17" s="1036"/>
      <c r="AH17" s="1036"/>
      <c r="AI17" s="877">
        <f t="shared" si="1"/>
        <v>0</v>
      </c>
    </row>
    <row r="18" spans="1:35" s="797" customFormat="1" ht="39.6" x14ac:dyDescent="0.25">
      <c r="A18" s="803">
        <v>20</v>
      </c>
      <c r="B18" s="870" t="s">
        <v>878</v>
      </c>
      <c r="C18" s="814" t="s">
        <v>944</v>
      </c>
      <c r="D18" s="805"/>
      <c r="E18" s="810"/>
      <c r="F18" s="810">
        <v>98</v>
      </c>
      <c r="G18" s="810"/>
      <c r="H18" s="810"/>
      <c r="I18" s="810"/>
      <c r="J18" s="810">
        <v>-98</v>
      </c>
      <c r="K18" s="806"/>
      <c r="L18" s="810"/>
      <c r="M18" s="811"/>
      <c r="N18" s="810"/>
      <c r="O18" s="811"/>
      <c r="P18" s="810"/>
      <c r="Q18" s="810"/>
      <c r="R18" s="810"/>
      <c r="S18" s="810"/>
      <c r="T18" s="810"/>
      <c r="U18" s="811"/>
      <c r="V18" s="811"/>
      <c r="W18" s="808">
        <f t="shared" si="0"/>
        <v>0</v>
      </c>
      <c r="X18" s="809"/>
      <c r="Y18" s="810"/>
      <c r="Z18" s="810"/>
      <c r="AA18" s="811"/>
      <c r="AB18" s="811"/>
      <c r="AC18" s="811"/>
      <c r="AD18" s="811"/>
      <c r="AE18" s="810"/>
      <c r="AF18" s="811"/>
      <c r="AG18" s="811"/>
      <c r="AH18" s="811"/>
      <c r="AI18" s="812">
        <f t="shared" si="1"/>
        <v>0</v>
      </c>
    </row>
    <row r="19" spans="1:35" s="797" customFormat="1" ht="39.6" x14ac:dyDescent="0.25">
      <c r="A19" s="803">
        <v>21</v>
      </c>
      <c r="B19" s="870" t="s">
        <v>878</v>
      </c>
      <c r="C19" s="814" t="s">
        <v>942</v>
      </c>
      <c r="D19" s="805"/>
      <c r="E19" s="810"/>
      <c r="F19" s="810">
        <v>35</v>
      </c>
      <c r="G19" s="810"/>
      <c r="H19" s="810"/>
      <c r="I19" s="810"/>
      <c r="J19" s="810">
        <v>-35</v>
      </c>
      <c r="K19" s="806"/>
      <c r="L19" s="810"/>
      <c r="M19" s="811"/>
      <c r="N19" s="810"/>
      <c r="O19" s="811"/>
      <c r="P19" s="810"/>
      <c r="Q19" s="810"/>
      <c r="R19" s="810"/>
      <c r="S19" s="810"/>
      <c r="T19" s="810"/>
      <c r="U19" s="810"/>
      <c r="V19" s="810"/>
      <c r="W19" s="808">
        <f t="shared" si="0"/>
        <v>0</v>
      </c>
      <c r="X19" s="809"/>
      <c r="Y19" s="810"/>
      <c r="Z19" s="810"/>
      <c r="AA19" s="811"/>
      <c r="AB19" s="811"/>
      <c r="AC19" s="811"/>
      <c r="AD19" s="811"/>
      <c r="AE19" s="810"/>
      <c r="AF19" s="811"/>
      <c r="AG19" s="811"/>
      <c r="AH19" s="811"/>
      <c r="AI19" s="812">
        <f t="shared" si="1"/>
        <v>0</v>
      </c>
    </row>
    <row r="20" spans="1:35" s="797" customFormat="1" ht="39.6" x14ac:dyDescent="0.25">
      <c r="A20" s="803">
        <v>22</v>
      </c>
      <c r="B20" s="870" t="s">
        <v>878</v>
      </c>
      <c r="C20" s="814" t="s">
        <v>943</v>
      </c>
      <c r="D20" s="805"/>
      <c r="E20" s="810"/>
      <c r="F20" s="810">
        <v>1270</v>
      </c>
      <c r="G20" s="810"/>
      <c r="H20" s="810"/>
      <c r="I20" s="810"/>
      <c r="J20" s="810">
        <v>-1270</v>
      </c>
      <c r="K20" s="806"/>
      <c r="L20" s="810"/>
      <c r="M20" s="811"/>
      <c r="N20" s="810"/>
      <c r="O20" s="811"/>
      <c r="P20" s="810"/>
      <c r="Q20" s="810"/>
      <c r="R20" s="810"/>
      <c r="S20" s="810"/>
      <c r="T20" s="810"/>
      <c r="U20" s="810"/>
      <c r="V20" s="810"/>
      <c r="W20" s="808">
        <f t="shared" si="0"/>
        <v>0</v>
      </c>
      <c r="X20" s="809"/>
      <c r="Y20" s="810"/>
      <c r="Z20" s="810"/>
      <c r="AA20" s="811"/>
      <c r="AB20" s="811"/>
      <c r="AC20" s="811"/>
      <c r="AD20" s="811"/>
      <c r="AE20" s="810"/>
      <c r="AF20" s="811"/>
      <c r="AG20" s="811"/>
      <c r="AH20" s="811"/>
      <c r="AI20" s="812">
        <f t="shared" si="1"/>
        <v>0</v>
      </c>
    </row>
    <row r="21" spans="1:35" s="797" customFormat="1" ht="26.4" x14ac:dyDescent="0.25">
      <c r="A21" s="803">
        <v>23</v>
      </c>
      <c r="B21" s="870" t="s">
        <v>878</v>
      </c>
      <c r="C21" s="814" t="s">
        <v>879</v>
      </c>
      <c r="D21" s="805">
        <v>-200</v>
      </c>
      <c r="E21" s="810"/>
      <c r="F21" s="810">
        <v>200</v>
      </c>
      <c r="G21" s="810"/>
      <c r="H21" s="810"/>
      <c r="I21" s="810"/>
      <c r="J21" s="810"/>
      <c r="K21" s="806"/>
      <c r="L21" s="810"/>
      <c r="M21" s="811"/>
      <c r="N21" s="810"/>
      <c r="O21" s="811"/>
      <c r="P21" s="810"/>
      <c r="Q21" s="810"/>
      <c r="R21" s="810"/>
      <c r="S21" s="810"/>
      <c r="T21" s="810"/>
      <c r="U21" s="810"/>
      <c r="V21" s="810"/>
      <c r="W21" s="808">
        <f t="shared" si="0"/>
        <v>0</v>
      </c>
      <c r="X21" s="809"/>
      <c r="Y21" s="810"/>
      <c r="Z21" s="810"/>
      <c r="AA21" s="811"/>
      <c r="AB21" s="811"/>
      <c r="AC21" s="811"/>
      <c r="AD21" s="811"/>
      <c r="AE21" s="810"/>
      <c r="AF21" s="811"/>
      <c r="AG21" s="811"/>
      <c r="AH21" s="811"/>
      <c r="AI21" s="812">
        <f t="shared" si="1"/>
        <v>0</v>
      </c>
    </row>
    <row r="22" spans="1:35" s="797" customFormat="1" ht="26.4" x14ac:dyDescent="0.25">
      <c r="A22" s="803">
        <v>24</v>
      </c>
      <c r="B22" s="870" t="s">
        <v>880</v>
      </c>
      <c r="C22" s="814" t="s">
        <v>881</v>
      </c>
      <c r="D22" s="805"/>
      <c r="E22" s="810"/>
      <c r="F22" s="810"/>
      <c r="G22" s="810"/>
      <c r="H22" s="810"/>
      <c r="I22" s="810"/>
      <c r="J22" s="810"/>
      <c r="K22" s="806"/>
      <c r="L22" s="810"/>
      <c r="M22" s="811"/>
      <c r="N22" s="810">
        <v>72</v>
      </c>
      <c r="O22" s="811"/>
      <c r="P22" s="810">
        <v>-72</v>
      </c>
      <c r="Q22" s="810"/>
      <c r="R22" s="810"/>
      <c r="S22" s="810"/>
      <c r="T22" s="810"/>
      <c r="U22" s="810"/>
      <c r="V22" s="810"/>
      <c r="W22" s="808">
        <f t="shared" si="0"/>
        <v>0</v>
      </c>
      <c r="X22" s="809"/>
      <c r="Y22" s="810"/>
      <c r="Z22" s="810"/>
      <c r="AA22" s="811"/>
      <c r="AB22" s="811"/>
      <c r="AC22" s="811"/>
      <c r="AD22" s="811"/>
      <c r="AE22" s="810"/>
      <c r="AF22" s="811"/>
      <c r="AG22" s="811"/>
      <c r="AH22" s="811"/>
      <c r="AI22" s="812">
        <f t="shared" si="1"/>
        <v>0</v>
      </c>
    </row>
    <row r="23" spans="1:35" s="797" customFormat="1" ht="26.4" x14ac:dyDescent="0.25">
      <c r="A23" s="803">
        <v>25</v>
      </c>
      <c r="B23" s="870" t="s">
        <v>880</v>
      </c>
      <c r="C23" s="814" t="s">
        <v>882</v>
      </c>
      <c r="D23" s="805"/>
      <c r="E23" s="810"/>
      <c r="F23" s="810"/>
      <c r="G23" s="810"/>
      <c r="H23" s="810"/>
      <c r="I23" s="810"/>
      <c r="J23" s="810"/>
      <c r="K23" s="806"/>
      <c r="L23" s="810"/>
      <c r="M23" s="811"/>
      <c r="N23" s="810">
        <v>1499</v>
      </c>
      <c r="O23" s="811"/>
      <c r="P23" s="810"/>
      <c r="Q23" s="810">
        <v>-1499</v>
      </c>
      <c r="R23" s="810"/>
      <c r="S23" s="810"/>
      <c r="T23" s="810"/>
      <c r="U23" s="810"/>
      <c r="V23" s="810"/>
      <c r="W23" s="808">
        <f t="shared" si="0"/>
        <v>0</v>
      </c>
      <c r="X23" s="809"/>
      <c r="Y23" s="810"/>
      <c r="Z23" s="810"/>
      <c r="AA23" s="811"/>
      <c r="AB23" s="811"/>
      <c r="AC23" s="811"/>
      <c r="AD23" s="811"/>
      <c r="AE23" s="810"/>
      <c r="AF23" s="811"/>
      <c r="AG23" s="811"/>
      <c r="AH23" s="811"/>
      <c r="AI23" s="812">
        <f t="shared" si="1"/>
        <v>0</v>
      </c>
    </row>
    <row r="24" spans="1:35" s="797" customFormat="1" ht="26.4" x14ac:dyDescent="0.25">
      <c r="A24" s="803">
        <v>26</v>
      </c>
      <c r="B24" s="870" t="s">
        <v>889</v>
      </c>
      <c r="C24" s="814" t="s">
        <v>883</v>
      </c>
      <c r="D24" s="805"/>
      <c r="E24" s="810"/>
      <c r="F24" s="810"/>
      <c r="G24" s="810"/>
      <c r="H24" s="810"/>
      <c r="I24" s="810"/>
      <c r="J24" s="810"/>
      <c r="K24" s="806">
        <v>24745</v>
      </c>
      <c r="L24" s="810"/>
      <c r="M24" s="811"/>
      <c r="N24" s="810"/>
      <c r="O24" s="811"/>
      <c r="P24" s="810"/>
      <c r="Q24" s="810"/>
      <c r="R24" s="810"/>
      <c r="S24" s="810"/>
      <c r="T24" s="810"/>
      <c r="U24" s="810"/>
      <c r="V24" s="810"/>
      <c r="W24" s="808">
        <f t="shared" si="0"/>
        <v>24745</v>
      </c>
      <c r="X24" s="809"/>
      <c r="Y24" s="810"/>
      <c r="Z24" s="810"/>
      <c r="AA24" s="811"/>
      <c r="AB24" s="811"/>
      <c r="AC24" s="811"/>
      <c r="AD24" s="806"/>
      <c r="AE24" s="810">
        <v>24745</v>
      </c>
      <c r="AF24" s="811"/>
      <c r="AG24" s="811"/>
      <c r="AH24" s="811"/>
      <c r="AI24" s="812">
        <f t="shared" si="1"/>
        <v>24745</v>
      </c>
    </row>
    <row r="25" spans="1:35" s="797" customFormat="1" ht="26.4" x14ac:dyDescent="0.25">
      <c r="A25" s="803">
        <v>27</v>
      </c>
      <c r="B25" s="870" t="s">
        <v>889</v>
      </c>
      <c r="C25" s="814" t="s">
        <v>884</v>
      </c>
      <c r="D25" s="805"/>
      <c r="E25" s="810"/>
      <c r="F25" s="810">
        <v>650</v>
      </c>
      <c r="G25" s="810"/>
      <c r="H25" s="810"/>
      <c r="I25" s="810"/>
      <c r="J25" s="810"/>
      <c r="K25" s="806"/>
      <c r="L25" s="810"/>
      <c r="M25" s="811"/>
      <c r="N25" s="810"/>
      <c r="O25" s="811"/>
      <c r="P25" s="810"/>
      <c r="Q25" s="810"/>
      <c r="R25" s="810"/>
      <c r="S25" s="810"/>
      <c r="T25" s="810"/>
      <c r="U25" s="810"/>
      <c r="V25" s="810"/>
      <c r="W25" s="808">
        <f t="shared" si="0"/>
        <v>650</v>
      </c>
      <c r="X25" s="809"/>
      <c r="Y25" s="810"/>
      <c r="Z25" s="810"/>
      <c r="AA25" s="811"/>
      <c r="AB25" s="810">
        <v>650</v>
      </c>
      <c r="AC25" s="811"/>
      <c r="AD25" s="811"/>
      <c r="AE25" s="811"/>
      <c r="AF25" s="811"/>
      <c r="AG25" s="811"/>
      <c r="AH25" s="811"/>
      <c r="AI25" s="812">
        <f t="shared" si="1"/>
        <v>650</v>
      </c>
    </row>
    <row r="26" spans="1:35" s="797" customFormat="1" ht="26.4" x14ac:dyDescent="0.25">
      <c r="A26" s="803">
        <v>28</v>
      </c>
      <c r="B26" s="870" t="s">
        <v>886</v>
      </c>
      <c r="C26" s="814" t="s">
        <v>887</v>
      </c>
      <c r="D26" s="805"/>
      <c r="E26" s="810"/>
      <c r="F26" s="810"/>
      <c r="G26" s="810"/>
      <c r="H26" s="810"/>
      <c r="I26" s="810">
        <v>100</v>
      </c>
      <c r="J26" s="810"/>
      <c r="K26" s="806"/>
      <c r="L26" s="810"/>
      <c r="M26" s="811"/>
      <c r="N26" s="810"/>
      <c r="O26" s="811"/>
      <c r="P26" s="810">
        <v>-100</v>
      </c>
      <c r="Q26" s="810"/>
      <c r="R26" s="810"/>
      <c r="S26" s="810"/>
      <c r="T26" s="810"/>
      <c r="U26" s="810"/>
      <c r="V26" s="810"/>
      <c r="W26" s="808">
        <f t="shared" si="0"/>
        <v>0</v>
      </c>
      <c r="X26" s="809"/>
      <c r="Y26" s="810"/>
      <c r="Z26" s="810"/>
      <c r="AA26" s="811"/>
      <c r="AB26" s="811"/>
      <c r="AC26" s="810"/>
      <c r="AD26" s="810"/>
      <c r="AE26" s="811"/>
      <c r="AF26" s="811"/>
      <c r="AG26" s="811"/>
      <c r="AH26" s="811"/>
      <c r="AI26" s="812">
        <f t="shared" si="1"/>
        <v>0</v>
      </c>
    </row>
    <row r="27" spans="1:35" s="797" customFormat="1" x14ac:dyDescent="0.25">
      <c r="A27" s="803">
        <v>29</v>
      </c>
      <c r="B27" s="870" t="s">
        <v>888</v>
      </c>
      <c r="C27" s="814" t="s">
        <v>890</v>
      </c>
      <c r="D27" s="805"/>
      <c r="E27" s="810"/>
      <c r="F27" s="810"/>
      <c r="G27" s="810"/>
      <c r="H27" s="810"/>
      <c r="I27" s="810"/>
      <c r="J27" s="810"/>
      <c r="K27" s="806"/>
      <c r="L27" s="810"/>
      <c r="M27" s="811"/>
      <c r="N27" s="810"/>
      <c r="O27" s="811"/>
      <c r="P27" s="810">
        <v>1165</v>
      </c>
      <c r="Q27" s="810"/>
      <c r="R27" s="810"/>
      <c r="S27" s="810"/>
      <c r="T27" s="810"/>
      <c r="U27" s="810"/>
      <c r="V27" s="810"/>
      <c r="W27" s="808">
        <f t="shared" si="0"/>
        <v>1165</v>
      </c>
      <c r="X27" s="809"/>
      <c r="Y27" s="810"/>
      <c r="Z27" s="810"/>
      <c r="AA27" s="810">
        <v>1165</v>
      </c>
      <c r="AB27" s="811"/>
      <c r="AC27" s="810"/>
      <c r="AD27" s="810"/>
      <c r="AE27" s="811"/>
      <c r="AF27" s="811"/>
      <c r="AG27" s="811"/>
      <c r="AH27" s="811"/>
      <c r="AI27" s="812">
        <f t="shared" si="1"/>
        <v>1165</v>
      </c>
    </row>
    <row r="28" spans="1:35" s="797" customFormat="1" x14ac:dyDescent="0.25">
      <c r="A28" s="803">
        <v>30</v>
      </c>
      <c r="B28" s="870" t="s">
        <v>888</v>
      </c>
      <c r="C28" s="814" t="s">
        <v>891</v>
      </c>
      <c r="D28" s="805"/>
      <c r="E28" s="810"/>
      <c r="F28" s="810"/>
      <c r="G28" s="810"/>
      <c r="H28" s="810"/>
      <c r="I28" s="810"/>
      <c r="J28" s="810"/>
      <c r="K28" s="806"/>
      <c r="L28" s="810"/>
      <c r="M28" s="811"/>
      <c r="N28" s="810"/>
      <c r="O28" s="811"/>
      <c r="P28" s="810">
        <v>1922</v>
      </c>
      <c r="Q28" s="810"/>
      <c r="R28" s="810"/>
      <c r="S28" s="810"/>
      <c r="T28" s="810"/>
      <c r="U28" s="810"/>
      <c r="V28" s="810"/>
      <c r="W28" s="808">
        <f t="shared" si="0"/>
        <v>1922</v>
      </c>
      <c r="X28" s="809"/>
      <c r="Y28" s="810"/>
      <c r="Z28" s="810"/>
      <c r="AA28" s="810">
        <v>1922</v>
      </c>
      <c r="AB28" s="811"/>
      <c r="AC28" s="811"/>
      <c r="AD28" s="811"/>
      <c r="AE28" s="811"/>
      <c r="AF28" s="811"/>
      <c r="AG28" s="811"/>
      <c r="AH28" s="811"/>
      <c r="AI28" s="812">
        <f t="shared" si="1"/>
        <v>1922</v>
      </c>
    </row>
    <row r="29" spans="1:35" s="797" customFormat="1" x14ac:dyDescent="0.25">
      <c r="A29" s="803">
        <v>31</v>
      </c>
      <c r="B29" s="870" t="s">
        <v>888</v>
      </c>
      <c r="C29" s="814" t="s">
        <v>892</v>
      </c>
      <c r="D29" s="805"/>
      <c r="E29" s="810"/>
      <c r="F29" s="810"/>
      <c r="G29" s="810"/>
      <c r="H29" s="810">
        <v>-1037</v>
      </c>
      <c r="I29" s="810"/>
      <c r="J29" s="810"/>
      <c r="K29" s="806"/>
      <c r="L29" s="810"/>
      <c r="M29" s="811"/>
      <c r="N29" s="810"/>
      <c r="O29" s="811"/>
      <c r="P29" s="810">
        <v>1037</v>
      </c>
      <c r="Q29" s="810"/>
      <c r="R29" s="810"/>
      <c r="S29" s="810"/>
      <c r="T29" s="810"/>
      <c r="U29" s="810"/>
      <c r="V29" s="810"/>
      <c r="W29" s="808">
        <f t="shared" si="0"/>
        <v>0</v>
      </c>
      <c r="X29" s="809"/>
      <c r="Y29" s="810"/>
      <c r="Z29" s="810"/>
      <c r="AA29" s="811"/>
      <c r="AB29" s="810"/>
      <c r="AC29" s="811"/>
      <c r="AD29" s="811"/>
      <c r="AE29" s="811"/>
      <c r="AF29" s="811"/>
      <c r="AG29" s="811"/>
      <c r="AH29" s="811"/>
      <c r="AI29" s="812">
        <f t="shared" si="1"/>
        <v>0</v>
      </c>
    </row>
    <row r="30" spans="1:35" s="797" customFormat="1" hidden="1" x14ac:dyDescent="0.25">
      <c r="A30" s="803">
        <v>32</v>
      </c>
      <c r="B30" s="870"/>
      <c r="C30" s="814"/>
      <c r="D30" s="805"/>
      <c r="E30" s="810"/>
      <c r="F30" s="810"/>
      <c r="G30" s="810"/>
      <c r="H30" s="810"/>
      <c r="I30" s="810"/>
      <c r="J30" s="810"/>
      <c r="K30" s="806"/>
      <c r="L30" s="810"/>
      <c r="M30" s="811"/>
      <c r="N30" s="810"/>
      <c r="O30" s="811"/>
      <c r="P30" s="810"/>
      <c r="Q30" s="810"/>
      <c r="R30" s="810"/>
      <c r="S30" s="810"/>
      <c r="T30" s="810"/>
      <c r="U30" s="810"/>
      <c r="V30" s="810"/>
      <c r="W30" s="808">
        <f t="shared" si="0"/>
        <v>0</v>
      </c>
      <c r="X30" s="809"/>
      <c r="Y30" s="815"/>
      <c r="Z30" s="815"/>
      <c r="AA30" s="816"/>
      <c r="AB30" s="816"/>
      <c r="AC30" s="816"/>
      <c r="AD30" s="816"/>
      <c r="AE30" s="816"/>
      <c r="AF30" s="816"/>
      <c r="AG30" s="816"/>
      <c r="AH30" s="816"/>
      <c r="AI30" s="812">
        <f t="shared" si="1"/>
        <v>0</v>
      </c>
    </row>
    <row r="31" spans="1:35" s="797" customFormat="1" hidden="1" x14ac:dyDescent="0.25">
      <c r="A31" s="803">
        <v>33</v>
      </c>
      <c r="B31" s="870"/>
      <c r="C31" s="814"/>
      <c r="D31" s="805"/>
      <c r="E31" s="810"/>
      <c r="F31" s="810"/>
      <c r="G31" s="810"/>
      <c r="H31" s="810"/>
      <c r="I31" s="810"/>
      <c r="J31" s="810"/>
      <c r="K31" s="806"/>
      <c r="L31" s="810"/>
      <c r="M31" s="811"/>
      <c r="N31" s="810"/>
      <c r="O31" s="811"/>
      <c r="P31" s="810"/>
      <c r="Q31" s="810"/>
      <c r="R31" s="810"/>
      <c r="S31" s="810"/>
      <c r="T31" s="810"/>
      <c r="U31" s="810"/>
      <c r="V31" s="810"/>
      <c r="W31" s="808">
        <f t="shared" si="0"/>
        <v>0</v>
      </c>
      <c r="X31" s="809"/>
      <c r="Y31" s="815"/>
      <c r="Z31" s="815"/>
      <c r="AA31" s="816"/>
      <c r="AB31" s="816"/>
      <c r="AC31" s="816"/>
      <c r="AD31" s="816"/>
      <c r="AE31" s="816"/>
      <c r="AF31" s="816"/>
      <c r="AG31" s="816"/>
      <c r="AH31" s="816"/>
      <c r="AI31" s="812">
        <f t="shared" si="1"/>
        <v>0</v>
      </c>
    </row>
    <row r="32" spans="1:35" s="797" customFormat="1" hidden="1" x14ac:dyDescent="0.25">
      <c r="A32" s="803">
        <v>34</v>
      </c>
      <c r="B32" s="870"/>
      <c r="C32" s="814"/>
      <c r="D32" s="805"/>
      <c r="E32" s="810"/>
      <c r="F32" s="810"/>
      <c r="G32" s="810"/>
      <c r="H32" s="810"/>
      <c r="I32" s="810"/>
      <c r="J32" s="810"/>
      <c r="K32" s="806"/>
      <c r="L32" s="810"/>
      <c r="M32" s="811"/>
      <c r="N32" s="810"/>
      <c r="O32" s="811"/>
      <c r="P32" s="810"/>
      <c r="Q32" s="810"/>
      <c r="R32" s="810"/>
      <c r="S32" s="810"/>
      <c r="T32" s="810"/>
      <c r="U32" s="810"/>
      <c r="V32" s="810"/>
      <c r="W32" s="808">
        <f t="shared" si="0"/>
        <v>0</v>
      </c>
      <c r="X32" s="809"/>
      <c r="Y32" s="815"/>
      <c r="Z32" s="815"/>
      <c r="AA32" s="816"/>
      <c r="AB32" s="816"/>
      <c r="AC32" s="816"/>
      <c r="AD32" s="816"/>
      <c r="AE32" s="816"/>
      <c r="AF32" s="816"/>
      <c r="AG32" s="816"/>
      <c r="AH32" s="816"/>
      <c r="AI32" s="812">
        <f t="shared" si="1"/>
        <v>0</v>
      </c>
    </row>
    <row r="33" spans="1:35" s="797" customFormat="1" hidden="1" x14ac:dyDescent="0.25">
      <c r="A33" s="803">
        <v>35</v>
      </c>
      <c r="B33" s="870"/>
      <c r="C33" s="814"/>
      <c r="D33" s="805"/>
      <c r="E33" s="810"/>
      <c r="F33" s="810"/>
      <c r="G33" s="810"/>
      <c r="H33" s="810"/>
      <c r="I33" s="810"/>
      <c r="J33" s="810"/>
      <c r="K33" s="806"/>
      <c r="L33" s="810"/>
      <c r="M33" s="811"/>
      <c r="N33" s="810"/>
      <c r="O33" s="810"/>
      <c r="P33" s="810"/>
      <c r="Q33" s="810"/>
      <c r="R33" s="810"/>
      <c r="S33" s="810"/>
      <c r="T33" s="810"/>
      <c r="U33" s="810"/>
      <c r="V33" s="810"/>
      <c r="W33" s="808">
        <f t="shared" si="0"/>
        <v>0</v>
      </c>
      <c r="X33" s="809"/>
      <c r="Y33" s="815"/>
      <c r="Z33" s="815"/>
      <c r="AA33" s="816"/>
      <c r="AB33" s="816"/>
      <c r="AC33" s="816"/>
      <c r="AD33" s="816"/>
      <c r="AE33" s="816"/>
      <c r="AF33" s="816"/>
      <c r="AG33" s="816"/>
      <c r="AH33" s="816"/>
      <c r="AI33" s="812">
        <f t="shared" si="1"/>
        <v>0</v>
      </c>
    </row>
    <row r="34" spans="1:35" s="797" customFormat="1" hidden="1" x14ac:dyDescent="0.25">
      <c r="A34" s="803">
        <v>36</v>
      </c>
      <c r="B34" s="870"/>
      <c r="C34" s="814"/>
      <c r="D34" s="805"/>
      <c r="E34" s="810"/>
      <c r="F34" s="810"/>
      <c r="G34" s="810"/>
      <c r="H34" s="810"/>
      <c r="I34" s="810"/>
      <c r="J34" s="810"/>
      <c r="K34" s="806"/>
      <c r="L34" s="810"/>
      <c r="M34" s="811"/>
      <c r="N34" s="810"/>
      <c r="O34" s="811"/>
      <c r="P34" s="810"/>
      <c r="Q34" s="810"/>
      <c r="R34" s="810"/>
      <c r="S34" s="810"/>
      <c r="T34" s="810"/>
      <c r="U34" s="810"/>
      <c r="V34" s="810"/>
      <c r="W34" s="808">
        <f t="shared" si="0"/>
        <v>0</v>
      </c>
      <c r="X34" s="809"/>
      <c r="Y34" s="815"/>
      <c r="Z34" s="815"/>
      <c r="AA34" s="816"/>
      <c r="AB34" s="816"/>
      <c r="AC34" s="816"/>
      <c r="AD34" s="816"/>
      <c r="AE34" s="816"/>
      <c r="AF34" s="816"/>
      <c r="AG34" s="816"/>
      <c r="AH34" s="816"/>
      <c r="AI34" s="812">
        <f t="shared" si="1"/>
        <v>0</v>
      </c>
    </row>
    <row r="35" spans="1:35" s="797" customFormat="1" hidden="1" x14ac:dyDescent="0.25">
      <c r="A35" s="803">
        <v>37</v>
      </c>
      <c r="B35" s="870"/>
      <c r="C35" s="814"/>
      <c r="D35" s="805"/>
      <c r="E35" s="810"/>
      <c r="F35" s="810"/>
      <c r="G35" s="810"/>
      <c r="H35" s="810"/>
      <c r="I35" s="810"/>
      <c r="J35" s="810"/>
      <c r="K35" s="806"/>
      <c r="L35" s="810"/>
      <c r="M35" s="811"/>
      <c r="N35" s="810"/>
      <c r="O35" s="811"/>
      <c r="P35" s="810"/>
      <c r="Q35" s="810"/>
      <c r="R35" s="810"/>
      <c r="S35" s="810"/>
      <c r="T35" s="810"/>
      <c r="U35" s="810"/>
      <c r="V35" s="810"/>
      <c r="W35" s="808">
        <f t="shared" si="0"/>
        <v>0</v>
      </c>
      <c r="X35" s="809"/>
      <c r="Y35" s="815"/>
      <c r="Z35" s="815"/>
      <c r="AA35" s="816"/>
      <c r="AB35" s="816"/>
      <c r="AC35" s="816"/>
      <c r="AD35" s="816"/>
      <c r="AE35" s="816"/>
      <c r="AF35" s="816"/>
      <c r="AG35" s="816"/>
      <c r="AH35" s="816"/>
      <c r="AI35" s="812">
        <f t="shared" si="1"/>
        <v>0</v>
      </c>
    </row>
    <row r="36" spans="1:35" s="797" customFormat="1" hidden="1" x14ac:dyDescent="0.25">
      <c r="A36" s="803">
        <v>38</v>
      </c>
      <c r="B36" s="870"/>
      <c r="C36" s="814"/>
      <c r="D36" s="805"/>
      <c r="E36" s="810"/>
      <c r="F36" s="810"/>
      <c r="G36" s="810"/>
      <c r="H36" s="810"/>
      <c r="I36" s="810"/>
      <c r="J36" s="810"/>
      <c r="K36" s="806"/>
      <c r="L36" s="810"/>
      <c r="M36" s="811"/>
      <c r="N36" s="810"/>
      <c r="O36" s="811"/>
      <c r="P36" s="810"/>
      <c r="Q36" s="810"/>
      <c r="R36" s="810"/>
      <c r="S36" s="810"/>
      <c r="T36" s="810"/>
      <c r="U36" s="810"/>
      <c r="V36" s="810"/>
      <c r="W36" s="808">
        <f t="shared" si="0"/>
        <v>0</v>
      </c>
      <c r="X36" s="809"/>
      <c r="Y36" s="815"/>
      <c r="Z36" s="815"/>
      <c r="AA36" s="816"/>
      <c r="AB36" s="816"/>
      <c r="AC36" s="816"/>
      <c r="AD36" s="816"/>
      <c r="AE36" s="816"/>
      <c r="AF36" s="816"/>
      <c r="AG36" s="816"/>
      <c r="AH36" s="816"/>
      <c r="AI36" s="812">
        <f t="shared" si="1"/>
        <v>0</v>
      </c>
    </row>
    <row r="37" spans="1:35" s="797" customFormat="1" hidden="1" x14ac:dyDescent="0.25">
      <c r="A37" s="803">
        <v>39</v>
      </c>
      <c r="B37" s="870"/>
      <c r="C37" s="814"/>
      <c r="D37" s="805"/>
      <c r="E37" s="810"/>
      <c r="F37" s="810"/>
      <c r="G37" s="810"/>
      <c r="H37" s="810"/>
      <c r="I37" s="810"/>
      <c r="J37" s="810"/>
      <c r="K37" s="806"/>
      <c r="L37" s="810"/>
      <c r="M37" s="811"/>
      <c r="N37" s="810"/>
      <c r="O37" s="811"/>
      <c r="P37" s="810"/>
      <c r="Q37" s="810"/>
      <c r="R37" s="810"/>
      <c r="S37" s="810"/>
      <c r="T37" s="810"/>
      <c r="U37" s="810"/>
      <c r="V37" s="810"/>
      <c r="W37" s="808">
        <f t="shared" si="0"/>
        <v>0</v>
      </c>
      <c r="X37" s="809"/>
      <c r="Y37" s="815"/>
      <c r="Z37" s="815"/>
      <c r="AA37" s="816"/>
      <c r="AB37" s="816"/>
      <c r="AC37" s="816"/>
      <c r="AD37" s="816"/>
      <c r="AE37" s="816"/>
      <c r="AF37" s="816"/>
      <c r="AG37" s="816"/>
      <c r="AH37" s="816"/>
      <c r="AI37" s="812">
        <f t="shared" si="1"/>
        <v>0</v>
      </c>
    </row>
    <row r="38" spans="1:35" hidden="1" x14ac:dyDescent="0.25">
      <c r="A38" s="803">
        <v>40</v>
      </c>
      <c r="B38" s="870"/>
      <c r="C38" s="813"/>
      <c r="D38" s="817"/>
      <c r="E38" s="818"/>
      <c r="F38" s="810"/>
      <c r="G38" s="818"/>
      <c r="H38" s="818"/>
      <c r="I38" s="818"/>
      <c r="J38" s="810"/>
      <c r="K38" s="819"/>
      <c r="L38" s="818"/>
      <c r="M38" s="818"/>
      <c r="N38" s="818"/>
      <c r="O38" s="818"/>
      <c r="P38" s="810"/>
      <c r="Q38" s="810"/>
      <c r="R38" s="810"/>
      <c r="S38" s="810"/>
      <c r="T38" s="818"/>
      <c r="U38" s="818"/>
      <c r="V38" s="818"/>
      <c r="W38" s="808">
        <f t="shared" si="0"/>
        <v>0</v>
      </c>
      <c r="X38" s="809"/>
      <c r="Y38" s="818"/>
      <c r="Z38" s="818"/>
      <c r="AA38" s="818"/>
      <c r="AB38" s="818"/>
      <c r="AC38" s="818"/>
      <c r="AD38" s="818"/>
      <c r="AE38" s="818"/>
      <c r="AF38" s="818"/>
      <c r="AG38" s="821"/>
      <c r="AH38" s="821"/>
      <c r="AI38" s="812">
        <f t="shared" si="1"/>
        <v>0</v>
      </c>
    </row>
    <row r="39" spans="1:35" hidden="1" x14ac:dyDescent="0.25">
      <c r="A39" s="803">
        <v>41</v>
      </c>
      <c r="B39" s="870"/>
      <c r="C39" s="813"/>
      <c r="D39" s="817"/>
      <c r="E39" s="818"/>
      <c r="F39" s="810"/>
      <c r="G39" s="818"/>
      <c r="H39" s="818"/>
      <c r="I39" s="818"/>
      <c r="J39" s="818"/>
      <c r="K39" s="819"/>
      <c r="L39" s="818"/>
      <c r="M39" s="818"/>
      <c r="N39" s="818"/>
      <c r="O39" s="822"/>
      <c r="P39" s="810"/>
      <c r="Q39" s="811"/>
      <c r="R39" s="810"/>
      <c r="S39" s="810"/>
      <c r="T39" s="818"/>
      <c r="U39" s="818"/>
      <c r="V39" s="818"/>
      <c r="W39" s="808">
        <f t="shared" si="0"/>
        <v>0</v>
      </c>
      <c r="X39" s="809"/>
      <c r="Y39" s="818"/>
      <c r="Z39" s="818"/>
      <c r="AA39" s="818"/>
      <c r="AB39" s="818"/>
      <c r="AC39" s="818"/>
      <c r="AD39" s="818"/>
      <c r="AE39" s="818"/>
      <c r="AF39" s="818"/>
      <c r="AG39" s="820"/>
      <c r="AH39" s="820"/>
      <c r="AI39" s="812">
        <f t="shared" si="1"/>
        <v>0</v>
      </c>
    </row>
    <row r="40" spans="1:35" hidden="1" x14ac:dyDescent="0.25">
      <c r="A40" s="803">
        <v>42</v>
      </c>
      <c r="B40" s="870"/>
      <c r="C40" s="813"/>
      <c r="D40" s="823"/>
      <c r="E40" s="823"/>
      <c r="F40" s="809"/>
      <c r="G40" s="823"/>
      <c r="H40" s="823"/>
      <c r="I40" s="823"/>
      <c r="J40" s="823"/>
      <c r="K40" s="824"/>
      <c r="L40" s="823"/>
      <c r="M40" s="823"/>
      <c r="N40" s="823"/>
      <c r="O40" s="823"/>
      <c r="P40" s="809"/>
      <c r="Q40" s="809"/>
      <c r="R40" s="809"/>
      <c r="S40" s="809"/>
      <c r="T40" s="823"/>
      <c r="U40" s="823"/>
      <c r="V40" s="823"/>
      <c r="W40" s="808">
        <f t="shared" si="0"/>
        <v>0</v>
      </c>
      <c r="X40" s="809"/>
      <c r="Y40" s="823"/>
      <c r="Z40" s="823"/>
      <c r="AA40" s="823"/>
      <c r="AB40" s="823"/>
      <c r="AC40" s="823"/>
      <c r="AD40" s="823"/>
      <c r="AE40" s="823"/>
      <c r="AF40" s="823"/>
      <c r="AG40" s="823"/>
      <c r="AH40" s="823"/>
      <c r="AI40" s="812">
        <f t="shared" si="1"/>
        <v>0</v>
      </c>
    </row>
    <row r="41" spans="1:35" hidden="1" x14ac:dyDescent="0.25">
      <c r="A41" s="803">
        <v>43</v>
      </c>
      <c r="B41" s="870"/>
      <c r="C41" s="813"/>
      <c r="D41" s="823"/>
      <c r="E41" s="823"/>
      <c r="F41" s="809"/>
      <c r="G41" s="823"/>
      <c r="H41" s="823"/>
      <c r="I41" s="823"/>
      <c r="J41" s="823"/>
      <c r="K41" s="824"/>
      <c r="L41" s="823"/>
      <c r="M41" s="823"/>
      <c r="N41" s="823"/>
      <c r="O41" s="823"/>
      <c r="P41" s="809"/>
      <c r="Q41" s="809"/>
      <c r="R41" s="809"/>
      <c r="S41" s="809"/>
      <c r="T41" s="823"/>
      <c r="U41" s="823"/>
      <c r="V41" s="823"/>
      <c r="W41" s="808">
        <f t="shared" si="0"/>
        <v>0</v>
      </c>
      <c r="X41" s="809"/>
      <c r="Y41" s="823"/>
      <c r="Z41" s="823"/>
      <c r="AA41" s="823"/>
      <c r="AB41" s="823"/>
      <c r="AC41" s="823"/>
      <c r="AD41" s="823"/>
      <c r="AE41" s="823"/>
      <c r="AF41" s="823"/>
      <c r="AG41" s="823"/>
      <c r="AH41" s="823"/>
      <c r="AI41" s="812">
        <f t="shared" si="1"/>
        <v>0</v>
      </c>
    </row>
    <row r="42" spans="1:35" hidden="1" x14ac:dyDescent="0.25">
      <c r="A42" s="803">
        <v>44</v>
      </c>
      <c r="B42" s="870"/>
      <c r="C42" s="813"/>
      <c r="D42" s="823"/>
      <c r="E42" s="823"/>
      <c r="F42" s="809"/>
      <c r="G42" s="823"/>
      <c r="H42" s="823"/>
      <c r="I42" s="823"/>
      <c r="J42" s="823"/>
      <c r="K42" s="824"/>
      <c r="L42" s="823"/>
      <c r="M42" s="823"/>
      <c r="N42" s="823"/>
      <c r="O42" s="823"/>
      <c r="P42" s="809"/>
      <c r="Q42" s="809"/>
      <c r="R42" s="809"/>
      <c r="S42" s="809"/>
      <c r="T42" s="823"/>
      <c r="U42" s="823"/>
      <c r="V42" s="823"/>
      <c r="W42" s="808">
        <f t="shared" si="0"/>
        <v>0</v>
      </c>
      <c r="X42" s="809"/>
      <c r="Y42" s="823"/>
      <c r="Z42" s="823"/>
      <c r="AA42" s="823"/>
      <c r="AB42" s="823"/>
      <c r="AC42" s="823"/>
      <c r="AD42" s="823"/>
      <c r="AE42" s="823"/>
      <c r="AF42" s="823"/>
      <c r="AG42" s="823"/>
      <c r="AH42" s="823"/>
      <c r="AI42" s="812">
        <f t="shared" si="1"/>
        <v>0</v>
      </c>
    </row>
    <row r="43" spans="1:35" hidden="1" x14ac:dyDescent="0.25">
      <c r="A43" s="803">
        <v>45</v>
      </c>
      <c r="B43" s="870"/>
      <c r="C43" s="813"/>
      <c r="D43" s="823"/>
      <c r="E43" s="823"/>
      <c r="F43" s="809"/>
      <c r="G43" s="823"/>
      <c r="H43" s="823"/>
      <c r="I43" s="823"/>
      <c r="J43" s="823"/>
      <c r="K43" s="824"/>
      <c r="L43" s="823"/>
      <c r="M43" s="823"/>
      <c r="N43" s="823"/>
      <c r="O43" s="823"/>
      <c r="P43" s="809"/>
      <c r="Q43" s="809"/>
      <c r="R43" s="809"/>
      <c r="S43" s="809"/>
      <c r="T43" s="823"/>
      <c r="U43" s="823"/>
      <c r="V43" s="823"/>
      <c r="W43" s="808">
        <f t="shared" si="0"/>
        <v>0</v>
      </c>
      <c r="X43" s="809"/>
      <c r="Y43" s="823"/>
      <c r="Z43" s="823"/>
      <c r="AA43" s="823"/>
      <c r="AB43" s="823"/>
      <c r="AC43" s="823"/>
      <c r="AD43" s="823"/>
      <c r="AE43" s="823"/>
      <c r="AF43" s="823"/>
      <c r="AG43" s="823"/>
      <c r="AH43" s="823"/>
      <c r="AI43" s="812">
        <f t="shared" si="1"/>
        <v>0</v>
      </c>
    </row>
    <row r="44" spans="1:35" hidden="1" x14ac:dyDescent="0.25">
      <c r="A44" s="803">
        <v>46</v>
      </c>
      <c r="B44" s="870"/>
      <c r="C44" s="813"/>
      <c r="D44" s="823"/>
      <c r="E44" s="823"/>
      <c r="F44" s="809"/>
      <c r="G44" s="823"/>
      <c r="H44" s="823"/>
      <c r="I44" s="823"/>
      <c r="J44" s="823"/>
      <c r="K44" s="824"/>
      <c r="L44" s="823"/>
      <c r="M44" s="823"/>
      <c r="N44" s="823"/>
      <c r="O44" s="823"/>
      <c r="P44" s="809"/>
      <c r="Q44" s="809"/>
      <c r="R44" s="809"/>
      <c r="S44" s="809"/>
      <c r="T44" s="823"/>
      <c r="U44" s="823"/>
      <c r="V44" s="823"/>
      <c r="W44" s="808">
        <f t="shared" si="0"/>
        <v>0</v>
      </c>
      <c r="X44" s="809"/>
      <c r="Y44" s="823"/>
      <c r="Z44" s="823"/>
      <c r="AA44" s="823"/>
      <c r="AB44" s="823"/>
      <c r="AC44" s="823"/>
      <c r="AD44" s="823"/>
      <c r="AE44" s="823"/>
      <c r="AF44" s="823"/>
      <c r="AG44" s="823"/>
      <c r="AH44" s="823"/>
      <c r="AI44" s="812">
        <f t="shared" si="1"/>
        <v>0</v>
      </c>
    </row>
    <row r="45" spans="1:35" hidden="1" x14ac:dyDescent="0.25">
      <c r="A45" s="803">
        <v>47</v>
      </c>
      <c r="B45" s="870"/>
      <c r="C45" s="813"/>
      <c r="D45" s="823"/>
      <c r="E45" s="823"/>
      <c r="F45" s="809"/>
      <c r="G45" s="823"/>
      <c r="H45" s="823"/>
      <c r="I45" s="823"/>
      <c r="J45" s="823"/>
      <c r="K45" s="824"/>
      <c r="L45" s="823"/>
      <c r="M45" s="823"/>
      <c r="N45" s="823"/>
      <c r="O45" s="823"/>
      <c r="P45" s="809"/>
      <c r="Q45" s="809"/>
      <c r="R45" s="809"/>
      <c r="S45" s="809"/>
      <c r="T45" s="823"/>
      <c r="U45" s="823"/>
      <c r="V45" s="823"/>
      <c r="W45" s="808">
        <f t="shared" si="0"/>
        <v>0</v>
      </c>
      <c r="X45" s="809"/>
      <c r="Y45" s="823"/>
      <c r="Z45" s="823"/>
      <c r="AA45" s="823"/>
      <c r="AB45" s="823"/>
      <c r="AC45" s="823"/>
      <c r="AD45" s="823"/>
      <c r="AE45" s="823"/>
      <c r="AF45" s="823"/>
      <c r="AG45" s="823"/>
      <c r="AH45" s="823"/>
      <c r="AI45" s="812">
        <f t="shared" si="1"/>
        <v>0</v>
      </c>
    </row>
    <row r="46" spans="1:35" hidden="1" x14ac:dyDescent="0.25">
      <c r="A46" s="803">
        <v>48</v>
      </c>
      <c r="B46" s="870"/>
      <c r="C46" s="814"/>
      <c r="D46" s="823"/>
      <c r="E46" s="823"/>
      <c r="F46" s="809"/>
      <c r="G46" s="823"/>
      <c r="H46" s="823"/>
      <c r="I46" s="823"/>
      <c r="J46" s="823"/>
      <c r="K46" s="824"/>
      <c r="L46" s="823"/>
      <c r="M46" s="823"/>
      <c r="N46" s="823"/>
      <c r="O46" s="823"/>
      <c r="P46" s="809"/>
      <c r="Q46" s="809"/>
      <c r="R46" s="809"/>
      <c r="S46" s="809"/>
      <c r="T46" s="823"/>
      <c r="U46" s="823"/>
      <c r="V46" s="823"/>
      <c r="W46" s="808">
        <f t="shared" si="0"/>
        <v>0</v>
      </c>
      <c r="X46" s="809"/>
      <c r="Y46" s="823"/>
      <c r="Z46" s="823"/>
      <c r="AA46" s="823"/>
      <c r="AB46" s="823"/>
      <c r="AC46" s="823"/>
      <c r="AD46" s="823"/>
      <c r="AE46" s="823"/>
      <c r="AF46" s="823"/>
      <c r="AG46" s="823"/>
      <c r="AH46" s="823"/>
      <c r="AI46" s="812">
        <f t="shared" si="1"/>
        <v>0</v>
      </c>
    </row>
    <row r="47" spans="1:35" hidden="1" x14ac:dyDescent="0.25">
      <c r="A47" s="803">
        <v>49</v>
      </c>
      <c r="B47" s="870"/>
      <c r="C47" s="814"/>
      <c r="D47" s="823"/>
      <c r="E47" s="823"/>
      <c r="F47" s="809"/>
      <c r="G47" s="823"/>
      <c r="H47" s="823"/>
      <c r="I47" s="823"/>
      <c r="J47" s="823"/>
      <c r="K47" s="824"/>
      <c r="L47" s="823"/>
      <c r="M47" s="823"/>
      <c r="N47" s="823"/>
      <c r="O47" s="823"/>
      <c r="P47" s="809"/>
      <c r="Q47" s="809"/>
      <c r="R47" s="809"/>
      <c r="S47" s="809"/>
      <c r="T47" s="823"/>
      <c r="U47" s="823"/>
      <c r="V47" s="823"/>
      <c r="W47" s="808">
        <f t="shared" si="0"/>
        <v>0</v>
      </c>
      <c r="X47" s="809"/>
      <c r="Y47" s="823"/>
      <c r="Z47" s="823"/>
      <c r="AA47" s="823"/>
      <c r="AB47" s="823"/>
      <c r="AC47" s="823"/>
      <c r="AD47" s="823"/>
      <c r="AE47" s="823"/>
      <c r="AF47" s="823"/>
      <c r="AG47" s="823"/>
      <c r="AH47" s="823"/>
      <c r="AI47" s="812">
        <f t="shared" si="1"/>
        <v>0</v>
      </c>
    </row>
    <row r="48" spans="1:35" hidden="1" x14ac:dyDescent="0.25">
      <c r="A48" s="803">
        <v>50</v>
      </c>
      <c r="B48" s="870"/>
      <c r="C48" s="813"/>
      <c r="D48" s="823"/>
      <c r="E48" s="823"/>
      <c r="F48" s="809"/>
      <c r="G48" s="823"/>
      <c r="H48" s="823"/>
      <c r="I48" s="823"/>
      <c r="J48" s="823"/>
      <c r="K48" s="824"/>
      <c r="L48" s="823"/>
      <c r="M48" s="823"/>
      <c r="N48" s="823"/>
      <c r="O48" s="823"/>
      <c r="P48" s="809"/>
      <c r="Q48" s="809"/>
      <c r="R48" s="809"/>
      <c r="S48" s="809"/>
      <c r="T48" s="823"/>
      <c r="U48" s="823"/>
      <c r="V48" s="823"/>
      <c r="W48" s="808">
        <f t="shared" si="0"/>
        <v>0</v>
      </c>
      <c r="X48" s="809"/>
      <c r="Y48" s="823"/>
      <c r="Z48" s="823"/>
      <c r="AA48" s="823"/>
      <c r="AB48" s="823"/>
      <c r="AC48" s="823"/>
      <c r="AD48" s="823"/>
      <c r="AE48" s="823"/>
      <c r="AF48" s="823"/>
      <c r="AG48" s="823"/>
      <c r="AH48" s="823"/>
      <c r="AI48" s="812">
        <f t="shared" si="1"/>
        <v>0</v>
      </c>
    </row>
    <row r="49" spans="1:35" hidden="1" x14ac:dyDescent="0.25">
      <c r="A49" s="803">
        <v>51</v>
      </c>
      <c r="B49" s="870"/>
      <c r="C49" s="813"/>
      <c r="D49" s="823"/>
      <c r="E49" s="823"/>
      <c r="F49" s="809"/>
      <c r="G49" s="823"/>
      <c r="H49" s="823"/>
      <c r="I49" s="823"/>
      <c r="J49" s="823"/>
      <c r="K49" s="824"/>
      <c r="L49" s="823"/>
      <c r="M49" s="823"/>
      <c r="N49" s="823"/>
      <c r="O49" s="823"/>
      <c r="P49" s="809"/>
      <c r="Q49" s="809"/>
      <c r="R49" s="809"/>
      <c r="S49" s="809"/>
      <c r="T49" s="823"/>
      <c r="U49" s="823"/>
      <c r="V49" s="823"/>
      <c r="W49" s="808">
        <f t="shared" si="0"/>
        <v>0</v>
      </c>
      <c r="X49" s="809"/>
      <c r="Y49" s="823"/>
      <c r="Z49" s="823"/>
      <c r="AA49" s="823"/>
      <c r="AB49" s="823"/>
      <c r="AC49" s="823"/>
      <c r="AD49" s="823"/>
      <c r="AE49" s="823"/>
      <c r="AF49" s="823"/>
      <c r="AG49" s="823"/>
      <c r="AH49" s="823"/>
      <c r="AI49" s="812">
        <f t="shared" si="1"/>
        <v>0</v>
      </c>
    </row>
    <row r="50" spans="1:35" s="831" customFormat="1" ht="13.8" thickBot="1" x14ac:dyDescent="0.3">
      <c r="A50" s="825"/>
      <c r="B50" s="871"/>
      <c r="C50" s="826" t="s">
        <v>180</v>
      </c>
      <c r="D50" s="827">
        <f t="shared" ref="D50:V50" si="2">SUM(D5:D49)</f>
        <v>-180</v>
      </c>
      <c r="E50" s="827">
        <f t="shared" si="2"/>
        <v>-70</v>
      </c>
      <c r="F50" s="828">
        <f t="shared" si="2"/>
        <v>70478</v>
      </c>
      <c r="G50" s="827">
        <f t="shared" si="2"/>
        <v>0</v>
      </c>
      <c r="H50" s="827">
        <f t="shared" si="2"/>
        <v>487</v>
      </c>
      <c r="I50" s="827">
        <f t="shared" si="2"/>
        <v>100</v>
      </c>
      <c r="J50" s="827">
        <f t="shared" si="2"/>
        <v>-3562</v>
      </c>
      <c r="K50" s="829">
        <f t="shared" si="2"/>
        <v>24745</v>
      </c>
      <c r="L50" s="827">
        <f t="shared" si="2"/>
        <v>0</v>
      </c>
      <c r="M50" s="827">
        <f t="shared" si="2"/>
        <v>16154</v>
      </c>
      <c r="N50" s="827">
        <f t="shared" si="2"/>
        <v>2818</v>
      </c>
      <c r="O50" s="827">
        <f t="shared" si="2"/>
        <v>0</v>
      </c>
      <c r="P50" s="828">
        <f t="shared" si="2"/>
        <v>8241</v>
      </c>
      <c r="Q50" s="828">
        <f t="shared" si="2"/>
        <v>-1499</v>
      </c>
      <c r="R50" s="828">
        <f t="shared" si="2"/>
        <v>20000</v>
      </c>
      <c r="S50" s="828">
        <f t="shared" si="2"/>
        <v>-297</v>
      </c>
      <c r="T50" s="827">
        <f t="shared" si="2"/>
        <v>0</v>
      </c>
      <c r="U50" s="827">
        <f t="shared" si="2"/>
        <v>0</v>
      </c>
      <c r="V50" s="827">
        <f t="shared" si="2"/>
        <v>850000</v>
      </c>
      <c r="W50" s="808">
        <f>SUM(D50:V50)</f>
        <v>987415</v>
      </c>
      <c r="X50" s="830">
        <f t="shared" ref="X50:AH50" si="3">SUM(X5:X49)</f>
        <v>0</v>
      </c>
      <c r="Y50" s="830">
        <f t="shared" si="3"/>
        <v>0</v>
      </c>
      <c r="Z50" s="830">
        <f t="shared" si="3"/>
        <v>1429</v>
      </c>
      <c r="AA50" s="830">
        <f t="shared" si="3"/>
        <v>3087</v>
      </c>
      <c r="AB50" s="830">
        <f t="shared" si="3"/>
        <v>650</v>
      </c>
      <c r="AC50" s="830">
        <f t="shared" si="3"/>
        <v>0</v>
      </c>
      <c r="AD50" s="830">
        <f t="shared" si="3"/>
        <v>0</v>
      </c>
      <c r="AE50" s="830">
        <f t="shared" si="3"/>
        <v>90306</v>
      </c>
      <c r="AF50" s="830">
        <f t="shared" si="3"/>
        <v>0</v>
      </c>
      <c r="AG50" s="830">
        <f t="shared" si="3"/>
        <v>850000</v>
      </c>
      <c r="AH50" s="830">
        <f t="shared" si="3"/>
        <v>41943</v>
      </c>
      <c r="AI50" s="812">
        <f t="shared" ref="AI50" si="4">SUM(X50:AH50)</f>
        <v>987415</v>
      </c>
    </row>
    <row r="53" spans="1:35" x14ac:dyDescent="0.25">
      <c r="W53" s="1007"/>
    </row>
  </sheetData>
  <mergeCells count="38"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</mergeCells>
  <pageMargins left="0.70866141732283472" right="0.70866141732283472" top="0.74803149606299213" bottom="0.74803149606299213" header="0.31496062992125984" footer="0.31496062992125984"/>
  <pageSetup paperSize="8" scale="71" fitToWidth="2" orientation="landscape" r:id="rId1"/>
  <headerFooter>
    <oddHeader>&amp;C&amp;"Times New Roman,Félkövér"&amp;12Martonvásár Város Önkormányzatának 2018.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"/>
  <sheetViews>
    <sheetView view="pageLayout" zoomScaleNormal="100" workbookViewId="0">
      <selection activeCell="P22" sqref="P22"/>
    </sheetView>
  </sheetViews>
  <sheetFormatPr defaultColWidth="9.109375" defaultRowHeight="13.2" x14ac:dyDescent="0.25"/>
  <cols>
    <col min="1" max="1" width="5.6640625" style="798" customWidth="1"/>
    <col min="2" max="2" width="7" style="857" customWidth="1"/>
    <col min="3" max="3" width="61.5546875" style="798" bestFit="1" customWidth="1"/>
    <col min="4" max="4" width="6.109375" style="798" hidden="1" customWidth="1"/>
    <col min="5" max="5" width="7.44140625" style="798" customWidth="1"/>
    <col min="6" max="6" width="5.6640625" style="798" customWidth="1"/>
    <col min="7" max="8" width="5.5546875" style="798" hidden="1" customWidth="1"/>
    <col min="9" max="9" width="5.44140625" style="798" hidden="1" customWidth="1"/>
    <col min="10" max="10" width="5.33203125" style="798" hidden="1" customWidth="1"/>
    <col min="11" max="11" width="5.109375" style="798" hidden="1" customWidth="1"/>
    <col min="12" max="12" width="0.109375" style="798" hidden="1" customWidth="1"/>
    <col min="13" max="13" width="8.109375" style="798" customWidth="1"/>
    <col min="14" max="14" width="7.88671875" style="798" customWidth="1"/>
    <col min="15" max="15" width="8.5546875" style="798" customWidth="1"/>
    <col min="16" max="16" width="7.33203125" style="798" customWidth="1"/>
    <col min="17" max="17" width="6.5546875" style="798" customWidth="1"/>
    <col min="18" max="18" width="8.109375" style="798" customWidth="1"/>
    <col min="19" max="19" width="9" style="798" customWidth="1"/>
    <col min="20" max="20" width="8.88671875" style="798" customWidth="1"/>
    <col min="21" max="21" width="8.33203125" style="798" customWidth="1"/>
    <col min="22" max="23" width="9.109375" style="798"/>
    <col min="24" max="25" width="9" style="798" customWidth="1"/>
    <col min="26" max="26" width="6.88671875" style="798" customWidth="1"/>
    <col min="27" max="27" width="7.88671875" style="798" customWidth="1"/>
    <col min="28" max="28" width="9.33203125" style="798" customWidth="1"/>
    <col min="29" max="29" width="7" style="798" hidden="1" customWidth="1"/>
    <col min="30" max="16384" width="9.109375" style="798"/>
  </cols>
  <sheetData>
    <row r="1" spans="1:30" ht="15" customHeight="1" thickBot="1" x14ac:dyDescent="0.3">
      <c r="AA1" s="1314" t="s">
        <v>393</v>
      </c>
      <c r="AB1" s="1314"/>
      <c r="AC1" s="1314"/>
      <c r="AD1" s="1314"/>
    </row>
    <row r="2" spans="1:30" ht="31.5" customHeight="1" x14ac:dyDescent="0.25">
      <c r="A2" s="1315" t="s">
        <v>350</v>
      </c>
      <c r="B2" s="1317"/>
      <c r="C2" s="1320" t="s">
        <v>799</v>
      </c>
      <c r="D2" s="1320" t="s">
        <v>827</v>
      </c>
      <c r="E2" s="1321" t="s">
        <v>311</v>
      </c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1"/>
      <c r="S2" s="1323" t="s">
        <v>289</v>
      </c>
      <c r="T2" s="1321" t="s">
        <v>303</v>
      </c>
      <c r="U2" s="1321"/>
      <c r="V2" s="1321"/>
      <c r="W2" s="1321"/>
      <c r="X2" s="1321"/>
      <c r="Y2" s="1321"/>
      <c r="Z2" s="1321"/>
      <c r="AA2" s="1321"/>
      <c r="AB2" s="1322"/>
      <c r="AC2" s="1323" t="s">
        <v>800</v>
      </c>
      <c r="AD2" s="1331" t="s">
        <v>828</v>
      </c>
    </row>
    <row r="3" spans="1:30" s="833" customFormat="1" ht="25.5" customHeight="1" x14ac:dyDescent="0.3">
      <c r="A3" s="1316"/>
      <c r="B3" s="1318"/>
      <c r="C3" s="1305"/>
      <c r="D3" s="1330"/>
      <c r="E3" s="1305" t="s">
        <v>829</v>
      </c>
      <c r="F3" s="1305" t="s">
        <v>830</v>
      </c>
      <c r="G3" s="1305" t="s">
        <v>831</v>
      </c>
      <c r="H3" s="1305"/>
      <c r="I3" s="1305"/>
      <c r="J3" s="1305"/>
      <c r="K3" s="1305"/>
      <c r="L3" s="1305"/>
      <c r="M3" s="1305" t="s">
        <v>151</v>
      </c>
      <c r="N3" s="1305" t="s">
        <v>163</v>
      </c>
      <c r="O3" s="1306"/>
      <c r="P3" s="1305" t="s">
        <v>804</v>
      </c>
      <c r="Q3" s="1305" t="s">
        <v>689</v>
      </c>
      <c r="R3" s="1305" t="s">
        <v>832</v>
      </c>
      <c r="S3" s="1324"/>
      <c r="T3" s="1305" t="s">
        <v>816</v>
      </c>
      <c r="U3" s="1305" t="s">
        <v>817</v>
      </c>
      <c r="V3" s="1305" t="s">
        <v>808</v>
      </c>
      <c r="W3" s="1305" t="s">
        <v>833</v>
      </c>
      <c r="X3" s="1306"/>
      <c r="Y3" s="1327" t="s">
        <v>834</v>
      </c>
      <c r="Z3" s="1305" t="s">
        <v>835</v>
      </c>
      <c r="AA3" s="1306"/>
      <c r="AB3" s="1327" t="s">
        <v>857</v>
      </c>
      <c r="AC3" s="1324"/>
      <c r="AD3" s="1332"/>
    </row>
    <row r="4" spans="1:30" s="833" customFormat="1" ht="23.25" customHeight="1" x14ac:dyDescent="0.3">
      <c r="A4" s="1316"/>
      <c r="B4" s="1319"/>
      <c r="C4" s="1305"/>
      <c r="D4" s="1330"/>
      <c r="E4" s="1305"/>
      <c r="F4" s="1305"/>
      <c r="G4" s="834" t="s">
        <v>836</v>
      </c>
      <c r="H4" s="834" t="s">
        <v>837</v>
      </c>
      <c r="I4" s="834" t="s">
        <v>838</v>
      </c>
      <c r="J4" s="834" t="s">
        <v>839</v>
      </c>
      <c r="K4" s="834" t="s">
        <v>840</v>
      </c>
      <c r="L4" s="834" t="s">
        <v>841</v>
      </c>
      <c r="M4" s="1305"/>
      <c r="N4" s="802" t="s">
        <v>825</v>
      </c>
      <c r="O4" s="802" t="s">
        <v>826</v>
      </c>
      <c r="P4" s="1305"/>
      <c r="Q4" s="1305"/>
      <c r="R4" s="1305"/>
      <c r="S4" s="1324"/>
      <c r="T4" s="1305"/>
      <c r="U4" s="1305"/>
      <c r="V4" s="1305"/>
      <c r="W4" s="802" t="s">
        <v>842</v>
      </c>
      <c r="X4" s="802" t="s">
        <v>843</v>
      </c>
      <c r="Y4" s="1328"/>
      <c r="Z4" s="802" t="s">
        <v>842</v>
      </c>
      <c r="AA4" s="802" t="s">
        <v>843</v>
      </c>
      <c r="AB4" s="1329"/>
      <c r="AC4" s="1324"/>
      <c r="AD4" s="1332"/>
    </row>
    <row r="5" spans="1:30" s="866" customFormat="1" x14ac:dyDescent="0.3">
      <c r="A5" s="801">
        <v>1</v>
      </c>
      <c r="B5" s="859" t="s">
        <v>850</v>
      </c>
      <c r="C5" s="860" t="s">
        <v>851</v>
      </c>
      <c r="D5" s="861"/>
      <c r="E5" s="862">
        <v>95</v>
      </c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3">
        <f t="shared" ref="S5:S18" si="0">SUM(E5:R5)</f>
        <v>95</v>
      </c>
      <c r="T5" s="862"/>
      <c r="U5" s="862"/>
      <c r="V5" s="862">
        <v>95</v>
      </c>
      <c r="W5" s="862"/>
      <c r="X5" s="862"/>
      <c r="Y5" s="862"/>
      <c r="Z5" s="862"/>
      <c r="AA5" s="862"/>
      <c r="AB5" s="864"/>
      <c r="AC5" s="863"/>
      <c r="AD5" s="865">
        <f t="shared" ref="AD5:AD18" si="1">SUM(T5:AC5)</f>
        <v>95</v>
      </c>
    </row>
    <row r="6" spans="1:30" s="866" customFormat="1" x14ac:dyDescent="0.3">
      <c r="A6" s="801">
        <v>2</v>
      </c>
      <c r="B6" s="859" t="s">
        <v>852</v>
      </c>
      <c r="C6" s="867" t="s">
        <v>853</v>
      </c>
      <c r="D6" s="861"/>
      <c r="E6" s="862">
        <v>930</v>
      </c>
      <c r="F6" s="862">
        <v>201</v>
      </c>
      <c r="G6" s="862"/>
      <c r="H6" s="862"/>
      <c r="I6" s="862"/>
      <c r="J6" s="862"/>
      <c r="K6" s="862"/>
      <c r="L6" s="862"/>
      <c r="M6" s="862">
        <v>43</v>
      </c>
      <c r="N6" s="862"/>
      <c r="O6" s="862"/>
      <c r="P6" s="862"/>
      <c r="Q6" s="862"/>
      <c r="R6" s="862"/>
      <c r="S6" s="863">
        <f t="shared" si="0"/>
        <v>1174</v>
      </c>
      <c r="T6" s="862"/>
      <c r="U6" s="862"/>
      <c r="V6" s="862"/>
      <c r="W6" s="862">
        <v>1174</v>
      </c>
      <c r="X6" s="862"/>
      <c r="Y6" s="862"/>
      <c r="Z6" s="862"/>
      <c r="AA6" s="862"/>
      <c r="AB6" s="864"/>
      <c r="AC6" s="863"/>
      <c r="AD6" s="865">
        <f t="shared" si="1"/>
        <v>1174</v>
      </c>
    </row>
    <row r="7" spans="1:30" s="866" customFormat="1" x14ac:dyDescent="0.3">
      <c r="A7" s="801">
        <v>3</v>
      </c>
      <c r="B7" s="859" t="s">
        <v>854</v>
      </c>
      <c r="C7" s="867" t="s">
        <v>856</v>
      </c>
      <c r="D7" s="861"/>
      <c r="E7" s="862"/>
      <c r="F7" s="862"/>
      <c r="G7" s="862"/>
      <c r="H7" s="862"/>
      <c r="I7" s="862"/>
      <c r="J7" s="862"/>
      <c r="K7" s="862"/>
      <c r="L7" s="862"/>
      <c r="M7" s="862"/>
      <c r="N7" s="862">
        <v>420</v>
      </c>
      <c r="O7" s="862"/>
      <c r="P7" s="862"/>
      <c r="Q7" s="862"/>
      <c r="R7" s="862"/>
      <c r="S7" s="863">
        <f t="shared" si="0"/>
        <v>420</v>
      </c>
      <c r="T7" s="862"/>
      <c r="U7" s="862"/>
      <c r="V7" s="862"/>
      <c r="W7" s="862"/>
      <c r="X7" s="862"/>
      <c r="Y7" s="862"/>
      <c r="Z7" s="862"/>
      <c r="AA7" s="862"/>
      <c r="AB7" s="864">
        <v>420</v>
      </c>
      <c r="AC7" s="863"/>
      <c r="AD7" s="865">
        <f t="shared" si="1"/>
        <v>420</v>
      </c>
    </row>
    <row r="8" spans="1:30" s="866" customFormat="1" x14ac:dyDescent="0.3">
      <c r="A8" s="801">
        <v>4</v>
      </c>
      <c r="B8" s="859" t="s">
        <v>855</v>
      </c>
      <c r="C8" s="867" t="s">
        <v>859</v>
      </c>
      <c r="D8" s="861"/>
      <c r="E8" s="862"/>
      <c r="F8" s="862"/>
      <c r="G8" s="862"/>
      <c r="H8" s="862"/>
      <c r="I8" s="862"/>
      <c r="J8" s="862"/>
      <c r="K8" s="862"/>
      <c r="L8" s="862"/>
      <c r="M8" s="862">
        <v>500</v>
      </c>
      <c r="N8" s="862"/>
      <c r="O8" s="862"/>
      <c r="P8" s="862"/>
      <c r="Q8" s="862"/>
      <c r="R8" s="862"/>
      <c r="S8" s="863">
        <f t="shared" si="0"/>
        <v>500</v>
      </c>
      <c r="T8" s="862"/>
      <c r="U8" s="862">
        <v>500</v>
      </c>
      <c r="V8" s="862"/>
      <c r="W8" s="862"/>
      <c r="X8" s="862"/>
      <c r="Y8" s="862"/>
      <c r="Z8" s="862"/>
      <c r="AA8" s="862"/>
      <c r="AB8" s="864"/>
      <c r="AC8" s="863"/>
      <c r="AD8" s="865">
        <f t="shared" si="1"/>
        <v>500</v>
      </c>
    </row>
    <row r="9" spans="1:30" s="866" customFormat="1" x14ac:dyDescent="0.3">
      <c r="A9" s="801">
        <v>5</v>
      </c>
      <c r="B9" s="859" t="s">
        <v>860</v>
      </c>
      <c r="C9" s="860" t="s">
        <v>861</v>
      </c>
      <c r="D9" s="861"/>
      <c r="E9" s="868">
        <v>25</v>
      </c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3">
        <f t="shared" si="0"/>
        <v>25</v>
      </c>
      <c r="T9" s="868"/>
      <c r="U9" s="868"/>
      <c r="V9" s="868">
        <v>25</v>
      </c>
      <c r="W9" s="868"/>
      <c r="X9" s="868"/>
      <c r="Y9" s="868"/>
      <c r="Z9" s="868"/>
      <c r="AA9" s="868"/>
      <c r="AB9" s="869"/>
      <c r="AC9" s="861"/>
      <c r="AD9" s="865">
        <f t="shared" si="1"/>
        <v>25</v>
      </c>
    </row>
    <row r="10" spans="1:30" s="866" customFormat="1" hidden="1" x14ac:dyDescent="0.3">
      <c r="A10" s="801">
        <v>6</v>
      </c>
      <c r="B10" s="859"/>
      <c r="C10" s="867"/>
      <c r="D10" s="861"/>
      <c r="E10" s="868"/>
      <c r="F10" s="868"/>
      <c r="G10" s="868"/>
      <c r="H10" s="868"/>
      <c r="I10" s="868"/>
      <c r="J10" s="868"/>
      <c r="K10" s="868"/>
      <c r="L10" s="868"/>
      <c r="M10" s="868"/>
      <c r="N10" s="868"/>
      <c r="O10" s="868"/>
      <c r="P10" s="868"/>
      <c r="Q10" s="868"/>
      <c r="R10" s="868"/>
      <c r="S10" s="863">
        <f t="shared" si="0"/>
        <v>0</v>
      </c>
      <c r="T10" s="868"/>
      <c r="U10" s="868"/>
      <c r="V10" s="868"/>
      <c r="W10" s="868"/>
      <c r="X10" s="868"/>
      <c r="Y10" s="868"/>
      <c r="Z10" s="868"/>
      <c r="AA10" s="868"/>
      <c r="AB10" s="869"/>
      <c r="AC10" s="861"/>
      <c r="AD10" s="865">
        <f t="shared" si="1"/>
        <v>0</v>
      </c>
    </row>
    <row r="11" spans="1:30" s="866" customFormat="1" hidden="1" x14ac:dyDescent="0.3">
      <c r="A11" s="801">
        <v>7</v>
      </c>
      <c r="B11" s="859"/>
      <c r="C11" s="867"/>
      <c r="D11" s="861"/>
      <c r="E11" s="868"/>
      <c r="F11" s="868"/>
      <c r="G11" s="868"/>
      <c r="H11" s="868"/>
      <c r="I11" s="868"/>
      <c r="J11" s="868"/>
      <c r="K11" s="868"/>
      <c r="L11" s="868"/>
      <c r="M11" s="868"/>
      <c r="N11" s="868"/>
      <c r="O11" s="868"/>
      <c r="P11" s="868"/>
      <c r="Q11" s="868"/>
      <c r="R11" s="868"/>
      <c r="S11" s="863">
        <f t="shared" si="0"/>
        <v>0</v>
      </c>
      <c r="T11" s="868"/>
      <c r="U11" s="868"/>
      <c r="V11" s="868"/>
      <c r="W11" s="868"/>
      <c r="X11" s="868"/>
      <c r="Y11" s="868"/>
      <c r="Z11" s="868"/>
      <c r="AA11" s="868"/>
      <c r="AB11" s="869"/>
      <c r="AC11" s="861"/>
      <c r="AD11" s="865">
        <f t="shared" si="1"/>
        <v>0</v>
      </c>
    </row>
    <row r="12" spans="1:30" s="866" customFormat="1" hidden="1" x14ac:dyDescent="0.3">
      <c r="A12" s="801">
        <v>8</v>
      </c>
      <c r="B12" s="859"/>
      <c r="C12" s="867"/>
      <c r="D12" s="861"/>
      <c r="E12" s="868"/>
      <c r="F12" s="868"/>
      <c r="G12" s="868"/>
      <c r="H12" s="868"/>
      <c r="I12" s="868"/>
      <c r="J12" s="868"/>
      <c r="K12" s="868"/>
      <c r="L12" s="868"/>
      <c r="M12" s="868"/>
      <c r="N12" s="868"/>
      <c r="O12" s="868"/>
      <c r="P12" s="868"/>
      <c r="Q12" s="868"/>
      <c r="R12" s="868"/>
      <c r="S12" s="863">
        <f t="shared" si="0"/>
        <v>0</v>
      </c>
      <c r="T12" s="868"/>
      <c r="U12" s="868"/>
      <c r="V12" s="868"/>
      <c r="W12" s="868"/>
      <c r="X12" s="868"/>
      <c r="Y12" s="868"/>
      <c r="Z12" s="868"/>
      <c r="AA12" s="868"/>
      <c r="AB12" s="869"/>
      <c r="AC12" s="861"/>
      <c r="AD12" s="865">
        <f t="shared" si="1"/>
        <v>0</v>
      </c>
    </row>
    <row r="13" spans="1:30" s="866" customFormat="1" hidden="1" x14ac:dyDescent="0.3">
      <c r="A13" s="801">
        <v>9</v>
      </c>
      <c r="B13" s="859"/>
      <c r="C13" s="867"/>
      <c r="D13" s="861"/>
      <c r="E13" s="868"/>
      <c r="F13" s="868"/>
      <c r="G13" s="868"/>
      <c r="H13" s="868"/>
      <c r="I13" s="868"/>
      <c r="J13" s="868"/>
      <c r="K13" s="868"/>
      <c r="L13" s="868"/>
      <c r="M13" s="868"/>
      <c r="N13" s="868"/>
      <c r="O13" s="868"/>
      <c r="P13" s="868"/>
      <c r="Q13" s="868"/>
      <c r="R13" s="868"/>
      <c r="S13" s="863">
        <f t="shared" si="0"/>
        <v>0</v>
      </c>
      <c r="T13" s="868"/>
      <c r="U13" s="868"/>
      <c r="V13" s="868"/>
      <c r="W13" s="868"/>
      <c r="X13" s="868"/>
      <c r="Y13" s="868"/>
      <c r="Z13" s="868"/>
      <c r="AA13" s="868"/>
      <c r="AB13" s="869"/>
      <c r="AC13" s="861"/>
      <c r="AD13" s="865">
        <f t="shared" si="1"/>
        <v>0</v>
      </c>
    </row>
    <row r="14" spans="1:30" s="866" customFormat="1" hidden="1" x14ac:dyDescent="0.3">
      <c r="A14" s="801">
        <v>10</v>
      </c>
      <c r="B14" s="859"/>
      <c r="C14" s="867"/>
      <c r="D14" s="861"/>
      <c r="E14" s="868"/>
      <c r="F14" s="868"/>
      <c r="G14" s="868"/>
      <c r="H14" s="868"/>
      <c r="I14" s="868"/>
      <c r="J14" s="868"/>
      <c r="K14" s="868"/>
      <c r="L14" s="868"/>
      <c r="M14" s="868"/>
      <c r="N14" s="868"/>
      <c r="O14" s="868"/>
      <c r="P14" s="868"/>
      <c r="Q14" s="868"/>
      <c r="R14" s="868"/>
      <c r="S14" s="863">
        <f t="shared" si="0"/>
        <v>0</v>
      </c>
      <c r="T14" s="868"/>
      <c r="U14" s="868"/>
      <c r="V14" s="868"/>
      <c r="W14" s="868"/>
      <c r="X14" s="868"/>
      <c r="Y14" s="868"/>
      <c r="Z14" s="868"/>
      <c r="AA14" s="868"/>
      <c r="AB14" s="869"/>
      <c r="AC14" s="861"/>
      <c r="AD14" s="865">
        <f t="shared" si="1"/>
        <v>0</v>
      </c>
    </row>
    <row r="15" spans="1:30" s="866" customFormat="1" hidden="1" x14ac:dyDescent="0.3">
      <c r="A15" s="801">
        <v>11</v>
      </c>
      <c r="B15" s="859"/>
      <c r="C15" s="867"/>
      <c r="D15" s="861"/>
      <c r="E15" s="868"/>
      <c r="F15" s="868"/>
      <c r="G15" s="868"/>
      <c r="H15" s="868"/>
      <c r="I15" s="868"/>
      <c r="J15" s="868"/>
      <c r="K15" s="868"/>
      <c r="L15" s="868"/>
      <c r="M15" s="868"/>
      <c r="N15" s="868"/>
      <c r="O15" s="868"/>
      <c r="P15" s="868"/>
      <c r="Q15" s="868"/>
      <c r="R15" s="868"/>
      <c r="S15" s="863">
        <f t="shared" si="0"/>
        <v>0</v>
      </c>
      <c r="T15" s="868"/>
      <c r="U15" s="868"/>
      <c r="V15" s="868"/>
      <c r="W15" s="868"/>
      <c r="X15" s="868"/>
      <c r="Y15" s="868"/>
      <c r="Z15" s="868"/>
      <c r="AA15" s="868"/>
      <c r="AB15" s="869"/>
      <c r="AC15" s="861"/>
      <c r="AD15" s="865">
        <f t="shared" si="1"/>
        <v>0</v>
      </c>
    </row>
    <row r="16" spans="1:30" s="866" customFormat="1" hidden="1" x14ac:dyDescent="0.3">
      <c r="A16" s="801">
        <v>12</v>
      </c>
      <c r="B16" s="859"/>
      <c r="C16" s="867"/>
      <c r="D16" s="861"/>
      <c r="E16" s="868"/>
      <c r="F16" s="868"/>
      <c r="G16" s="868"/>
      <c r="H16" s="868"/>
      <c r="I16" s="868"/>
      <c r="J16" s="868"/>
      <c r="K16" s="868"/>
      <c r="L16" s="868"/>
      <c r="M16" s="868"/>
      <c r="N16" s="868"/>
      <c r="O16" s="868"/>
      <c r="P16" s="868"/>
      <c r="Q16" s="868"/>
      <c r="R16" s="868"/>
      <c r="S16" s="863">
        <f t="shared" si="0"/>
        <v>0</v>
      </c>
      <c r="T16" s="868"/>
      <c r="U16" s="868"/>
      <c r="V16" s="868"/>
      <c r="W16" s="868"/>
      <c r="X16" s="868"/>
      <c r="Y16" s="868"/>
      <c r="Z16" s="868"/>
      <c r="AA16" s="868"/>
      <c r="AB16" s="869"/>
      <c r="AC16" s="861"/>
      <c r="AD16" s="865">
        <f t="shared" si="1"/>
        <v>0</v>
      </c>
    </row>
    <row r="17" spans="1:30" s="866" customFormat="1" hidden="1" x14ac:dyDescent="0.3">
      <c r="A17" s="801">
        <v>13</v>
      </c>
      <c r="B17" s="859"/>
      <c r="C17" s="867"/>
      <c r="D17" s="861"/>
      <c r="E17" s="868"/>
      <c r="F17" s="868"/>
      <c r="G17" s="868"/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868"/>
      <c r="S17" s="863">
        <f t="shared" si="0"/>
        <v>0</v>
      </c>
      <c r="T17" s="868"/>
      <c r="U17" s="868"/>
      <c r="V17" s="868"/>
      <c r="W17" s="868"/>
      <c r="X17" s="868"/>
      <c r="Y17" s="868"/>
      <c r="Z17" s="868"/>
      <c r="AA17" s="868"/>
      <c r="AB17" s="869"/>
      <c r="AC17" s="861"/>
      <c r="AD17" s="865">
        <f t="shared" si="1"/>
        <v>0</v>
      </c>
    </row>
    <row r="18" spans="1:30" s="866" customFormat="1" x14ac:dyDescent="0.3">
      <c r="A18" s="801"/>
      <c r="B18" s="859"/>
      <c r="C18" s="867"/>
      <c r="D18" s="861"/>
      <c r="E18" s="868"/>
      <c r="F18" s="868"/>
      <c r="G18" s="868"/>
      <c r="H18" s="868"/>
      <c r="I18" s="868"/>
      <c r="J18" s="868"/>
      <c r="K18" s="868"/>
      <c r="L18" s="868"/>
      <c r="M18" s="868"/>
      <c r="N18" s="868"/>
      <c r="O18" s="868"/>
      <c r="P18" s="868"/>
      <c r="Q18" s="868"/>
      <c r="R18" s="868"/>
      <c r="S18" s="863">
        <f t="shared" si="0"/>
        <v>0</v>
      </c>
      <c r="T18" s="868"/>
      <c r="U18" s="868"/>
      <c r="V18" s="868"/>
      <c r="W18" s="868"/>
      <c r="X18" s="868"/>
      <c r="Y18" s="868"/>
      <c r="Z18" s="868"/>
      <c r="AA18" s="868"/>
      <c r="AB18" s="869"/>
      <c r="AC18" s="861"/>
      <c r="AD18" s="865">
        <f t="shared" si="1"/>
        <v>0</v>
      </c>
    </row>
    <row r="19" spans="1:30" ht="13.8" thickBot="1" x14ac:dyDescent="0.3">
      <c r="A19" s="841"/>
      <c r="B19" s="858"/>
      <c r="C19" s="842" t="s">
        <v>180</v>
      </c>
      <c r="D19" s="843"/>
      <c r="E19" s="844">
        <f t="shared" ref="E19:R19" si="2">SUM(E5:E18)</f>
        <v>1050</v>
      </c>
      <c r="F19" s="844">
        <f t="shared" si="2"/>
        <v>201</v>
      </c>
      <c r="G19" s="844">
        <f t="shared" si="2"/>
        <v>0</v>
      </c>
      <c r="H19" s="844">
        <f t="shared" si="2"/>
        <v>0</v>
      </c>
      <c r="I19" s="844">
        <f t="shared" si="2"/>
        <v>0</v>
      </c>
      <c r="J19" s="844">
        <f t="shared" si="2"/>
        <v>0</v>
      </c>
      <c r="K19" s="844">
        <f t="shared" si="2"/>
        <v>0</v>
      </c>
      <c r="L19" s="844">
        <f t="shared" si="2"/>
        <v>0</v>
      </c>
      <c r="M19" s="844">
        <f t="shared" si="2"/>
        <v>543</v>
      </c>
      <c r="N19" s="844">
        <f t="shared" si="2"/>
        <v>420</v>
      </c>
      <c r="O19" s="844">
        <f t="shared" si="2"/>
        <v>0</v>
      </c>
      <c r="P19" s="844">
        <f t="shared" si="2"/>
        <v>0</v>
      </c>
      <c r="Q19" s="844">
        <f t="shared" si="2"/>
        <v>0</v>
      </c>
      <c r="R19" s="844">
        <f t="shared" si="2"/>
        <v>0</v>
      </c>
      <c r="S19" s="845">
        <f>SUM(E19:R19)</f>
        <v>2214</v>
      </c>
      <c r="T19" s="844">
        <f t="shared" ref="T19:AB19" si="3">SUM(T5:T18)</f>
        <v>0</v>
      </c>
      <c r="U19" s="844">
        <f t="shared" si="3"/>
        <v>500</v>
      </c>
      <c r="V19" s="844">
        <f t="shared" si="3"/>
        <v>120</v>
      </c>
      <c r="W19" s="844">
        <f t="shared" si="3"/>
        <v>1174</v>
      </c>
      <c r="X19" s="844">
        <f t="shared" si="3"/>
        <v>0</v>
      </c>
      <c r="Y19" s="844">
        <f t="shared" si="3"/>
        <v>0</v>
      </c>
      <c r="Z19" s="844">
        <f t="shared" si="3"/>
        <v>0</v>
      </c>
      <c r="AA19" s="844">
        <f t="shared" si="3"/>
        <v>0</v>
      </c>
      <c r="AB19" s="844">
        <f t="shared" si="3"/>
        <v>420</v>
      </c>
      <c r="AC19" s="844">
        <f>SUM(AC5:AC16)</f>
        <v>0</v>
      </c>
      <c r="AD19" s="846">
        <f>SUM(T19:AB19)</f>
        <v>2214</v>
      </c>
    </row>
  </sheetData>
  <mergeCells count="25">
    <mergeCell ref="P3:P4"/>
    <mergeCell ref="AA1:AD1"/>
    <mergeCell ref="A2:A4"/>
    <mergeCell ref="B2:B4"/>
    <mergeCell ref="C2:C4"/>
    <mergeCell ref="D2:D4"/>
    <mergeCell ref="E2:R2"/>
    <mergeCell ref="S2:S4"/>
    <mergeCell ref="T2:AB2"/>
    <mergeCell ref="AC2:AC4"/>
    <mergeCell ref="AD2:AD4"/>
    <mergeCell ref="E3:E4"/>
    <mergeCell ref="F3:F4"/>
    <mergeCell ref="G3:L3"/>
    <mergeCell ref="M3:M4"/>
    <mergeCell ref="N3:O3"/>
    <mergeCell ref="Y3:Y4"/>
    <mergeCell ref="Z3:AA3"/>
    <mergeCell ref="AB3:AB4"/>
    <mergeCell ref="Q3:Q4"/>
    <mergeCell ref="R3:R4"/>
    <mergeCell ref="T3:T4"/>
    <mergeCell ref="U3:U4"/>
    <mergeCell ref="V3:V4"/>
    <mergeCell ref="W3:X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&amp;C&amp;"Times New Roman,Félkövér"&amp;12Martonvásár Város Önkormányzatának 2018. évi költségvetés módosításainak részletezése
Polgármesteri Hivatal&amp;R&amp;"Times New Roman,Félkövér"&amp;12 12.b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Layout" topLeftCell="C1" zoomScaleNormal="100" workbookViewId="0">
      <selection activeCell="W7" sqref="W7"/>
    </sheetView>
  </sheetViews>
  <sheetFormatPr defaultColWidth="9.109375" defaultRowHeight="13.2" x14ac:dyDescent="0.25"/>
  <cols>
    <col min="1" max="1" width="5.6640625" style="798" customWidth="1"/>
    <col min="2" max="2" width="48.109375" style="798" bestFit="1" customWidth="1"/>
    <col min="3" max="3" width="7.33203125" style="798" bestFit="1" customWidth="1"/>
    <col min="4" max="4" width="5.5546875" style="798" bestFit="1" customWidth="1"/>
    <col min="5" max="5" width="6.6640625" style="798" bestFit="1" customWidth="1"/>
    <col min="6" max="6" width="5.33203125" style="798" bestFit="1" customWidth="1"/>
    <col min="7" max="7" width="8.5546875" style="798" customWidth="1"/>
    <col min="8" max="8" width="7.33203125" style="798" customWidth="1"/>
    <col min="9" max="9" width="6.5546875" style="798" customWidth="1"/>
    <col min="10" max="10" width="8.109375" style="798" customWidth="1"/>
    <col min="11" max="11" width="9" style="798" customWidth="1"/>
    <col min="12" max="12" width="8.88671875" style="798" customWidth="1"/>
    <col min="13" max="13" width="8.33203125" style="798" customWidth="1"/>
    <col min="14" max="15" width="9.109375" style="798"/>
    <col min="16" max="17" width="9" style="798" customWidth="1"/>
    <col min="18" max="18" width="6.88671875" style="798" customWidth="1"/>
    <col min="19" max="19" width="7.88671875" style="798" customWidth="1"/>
    <col min="20" max="20" width="9.33203125" style="798" customWidth="1"/>
    <col min="21" max="16384" width="9.109375" style="798"/>
  </cols>
  <sheetData>
    <row r="1" spans="1:21" ht="15" customHeight="1" thickBot="1" x14ac:dyDescent="0.3">
      <c r="S1" s="1314" t="s">
        <v>393</v>
      </c>
      <c r="T1" s="1314"/>
      <c r="U1" s="1314"/>
    </row>
    <row r="2" spans="1:21" ht="31.5" customHeight="1" x14ac:dyDescent="0.25">
      <c r="A2" s="1315" t="s">
        <v>350</v>
      </c>
      <c r="B2" s="1320" t="s">
        <v>799</v>
      </c>
      <c r="C2" s="1321" t="s">
        <v>311</v>
      </c>
      <c r="D2" s="1321"/>
      <c r="E2" s="1321"/>
      <c r="F2" s="1321"/>
      <c r="G2" s="1321"/>
      <c r="H2" s="1321"/>
      <c r="I2" s="1321"/>
      <c r="J2" s="1321"/>
      <c r="K2" s="1323" t="s">
        <v>289</v>
      </c>
      <c r="L2" s="1321" t="s">
        <v>303</v>
      </c>
      <c r="M2" s="1321"/>
      <c r="N2" s="1321"/>
      <c r="O2" s="1321"/>
      <c r="P2" s="1321"/>
      <c r="Q2" s="1321"/>
      <c r="R2" s="1321"/>
      <c r="S2" s="1321"/>
      <c r="T2" s="1322"/>
      <c r="U2" s="1331" t="s">
        <v>828</v>
      </c>
    </row>
    <row r="3" spans="1:21" s="833" customFormat="1" ht="25.5" customHeight="1" x14ac:dyDescent="0.3">
      <c r="A3" s="1316"/>
      <c r="B3" s="1305"/>
      <c r="C3" s="1305" t="s">
        <v>829</v>
      </c>
      <c r="D3" s="1305" t="s">
        <v>830</v>
      </c>
      <c r="E3" s="1305" t="s">
        <v>151</v>
      </c>
      <c r="F3" s="1305" t="s">
        <v>163</v>
      </c>
      <c r="G3" s="1306"/>
      <c r="H3" s="1305" t="s">
        <v>804</v>
      </c>
      <c r="I3" s="1305" t="s">
        <v>689</v>
      </c>
      <c r="J3" s="1305" t="s">
        <v>832</v>
      </c>
      <c r="K3" s="1324"/>
      <c r="L3" s="1305" t="s">
        <v>816</v>
      </c>
      <c r="M3" s="1305" t="s">
        <v>817</v>
      </c>
      <c r="N3" s="1305" t="s">
        <v>808</v>
      </c>
      <c r="O3" s="1305" t="s">
        <v>833</v>
      </c>
      <c r="P3" s="1306"/>
      <c r="Q3" s="1327" t="s">
        <v>834</v>
      </c>
      <c r="R3" s="1305" t="s">
        <v>835</v>
      </c>
      <c r="S3" s="1306"/>
      <c r="T3" s="1327" t="s">
        <v>857</v>
      </c>
      <c r="U3" s="1332"/>
    </row>
    <row r="4" spans="1:21" s="833" customFormat="1" ht="23.25" customHeight="1" x14ac:dyDescent="0.3">
      <c r="A4" s="1316"/>
      <c r="B4" s="1305"/>
      <c r="C4" s="1305"/>
      <c r="D4" s="1305"/>
      <c r="E4" s="1305"/>
      <c r="F4" s="891" t="s">
        <v>825</v>
      </c>
      <c r="G4" s="891" t="s">
        <v>826</v>
      </c>
      <c r="H4" s="1305"/>
      <c r="I4" s="1305"/>
      <c r="J4" s="1305"/>
      <c r="K4" s="1324"/>
      <c r="L4" s="1305"/>
      <c r="M4" s="1305"/>
      <c r="N4" s="1305"/>
      <c r="O4" s="891" t="s">
        <v>842</v>
      </c>
      <c r="P4" s="891" t="s">
        <v>843</v>
      </c>
      <c r="Q4" s="1328"/>
      <c r="R4" s="891" t="s">
        <v>842</v>
      </c>
      <c r="S4" s="891" t="s">
        <v>843</v>
      </c>
      <c r="T4" s="1329"/>
      <c r="U4" s="1332"/>
    </row>
    <row r="5" spans="1:21" x14ac:dyDescent="0.25">
      <c r="A5" s="1008">
        <v>1</v>
      </c>
      <c r="B5" s="813" t="s">
        <v>911</v>
      </c>
      <c r="C5" s="862"/>
      <c r="D5" s="862"/>
      <c r="E5" s="862"/>
      <c r="F5" s="862"/>
      <c r="G5" s="862"/>
      <c r="H5" s="862">
        <v>42</v>
      </c>
      <c r="I5" s="862"/>
      <c r="J5" s="862"/>
      <c r="K5" s="863">
        <f t="shared" ref="K5:K23" si="0">SUM(C5:J5)</f>
        <v>42</v>
      </c>
      <c r="L5" s="862"/>
      <c r="M5" s="862"/>
      <c r="N5" s="862">
        <v>42</v>
      </c>
      <c r="O5" s="862"/>
      <c r="P5" s="862"/>
      <c r="Q5" s="862"/>
      <c r="R5" s="862"/>
      <c r="S5" s="862"/>
      <c r="T5" s="864"/>
      <c r="U5" s="865">
        <f t="shared" ref="U5:U23" si="1">SUM(L5:T5)</f>
        <v>42</v>
      </c>
    </row>
    <row r="6" spans="1:21" x14ac:dyDescent="0.25">
      <c r="A6" s="1008">
        <v>2</v>
      </c>
      <c r="B6" s="798" t="s">
        <v>907</v>
      </c>
      <c r="C6" s="862">
        <v>108</v>
      </c>
      <c r="D6" s="862">
        <v>47</v>
      </c>
      <c r="E6" s="862">
        <v>113</v>
      </c>
      <c r="F6" s="862"/>
      <c r="G6" s="862"/>
      <c r="H6" s="862"/>
      <c r="I6" s="862"/>
      <c r="J6" s="862"/>
      <c r="K6" s="863">
        <f t="shared" si="0"/>
        <v>268</v>
      </c>
      <c r="L6" s="862"/>
      <c r="M6" s="862"/>
      <c r="N6" s="862">
        <v>268</v>
      </c>
      <c r="O6" s="862"/>
      <c r="P6" s="862"/>
      <c r="Q6" s="862"/>
      <c r="R6" s="862"/>
      <c r="S6" s="862"/>
      <c r="T6" s="864"/>
      <c r="U6" s="865">
        <f t="shared" si="1"/>
        <v>268</v>
      </c>
    </row>
    <row r="7" spans="1:21" x14ac:dyDescent="0.25">
      <c r="A7" s="1008">
        <v>3</v>
      </c>
      <c r="B7" s="813" t="s">
        <v>561</v>
      </c>
      <c r="C7" s="862">
        <f>40+12</f>
        <v>52</v>
      </c>
      <c r="D7" s="862">
        <f>8+2</f>
        <v>10</v>
      </c>
      <c r="E7" s="862"/>
      <c r="F7" s="862"/>
      <c r="G7" s="862"/>
      <c r="H7" s="862"/>
      <c r="I7" s="862"/>
      <c r="J7" s="862"/>
      <c r="K7" s="863">
        <f t="shared" si="0"/>
        <v>62</v>
      </c>
      <c r="L7" s="862"/>
      <c r="M7" s="862"/>
      <c r="N7" s="862">
        <v>62</v>
      </c>
      <c r="O7" s="862"/>
      <c r="P7" s="862"/>
      <c r="Q7" s="862"/>
      <c r="R7" s="862"/>
      <c r="S7" s="862"/>
      <c r="T7" s="864"/>
      <c r="U7" s="865">
        <f t="shared" si="1"/>
        <v>62</v>
      </c>
    </row>
    <row r="8" spans="1:21" x14ac:dyDescent="0.25">
      <c r="A8" s="1008">
        <v>4</v>
      </c>
      <c r="B8" s="813" t="s">
        <v>875</v>
      </c>
      <c r="C8" s="862"/>
      <c r="D8" s="862"/>
      <c r="E8" s="862"/>
      <c r="F8" s="862">
        <v>113</v>
      </c>
      <c r="G8" s="862"/>
      <c r="H8" s="862"/>
      <c r="I8" s="862"/>
      <c r="J8" s="862"/>
      <c r="K8" s="863">
        <f t="shared" si="0"/>
        <v>113</v>
      </c>
      <c r="L8" s="862"/>
      <c r="M8" s="862"/>
      <c r="N8" s="862"/>
      <c r="O8" s="862"/>
      <c r="P8" s="862"/>
      <c r="Q8" s="862"/>
      <c r="R8" s="862"/>
      <c r="S8" s="862"/>
      <c r="T8" s="864">
        <v>113</v>
      </c>
      <c r="U8" s="865">
        <f t="shared" si="1"/>
        <v>113</v>
      </c>
    </row>
    <row r="9" spans="1:21" x14ac:dyDescent="0.25">
      <c r="A9" s="1008">
        <v>5</v>
      </c>
      <c r="B9" s="813" t="s">
        <v>912</v>
      </c>
      <c r="C9" s="868">
        <v>-360</v>
      </c>
      <c r="D9" s="868"/>
      <c r="E9" s="868">
        <v>360</v>
      </c>
      <c r="F9" s="868"/>
      <c r="G9" s="868"/>
      <c r="H9" s="868"/>
      <c r="I9" s="868"/>
      <c r="J9" s="868"/>
      <c r="K9" s="863">
        <f t="shared" si="0"/>
        <v>0</v>
      </c>
      <c r="L9" s="868"/>
      <c r="M9" s="868"/>
      <c r="N9" s="868"/>
      <c r="O9" s="868"/>
      <c r="P9" s="868"/>
      <c r="Q9" s="868"/>
      <c r="R9" s="868"/>
      <c r="S9" s="868"/>
      <c r="T9" s="869"/>
      <c r="U9" s="865">
        <f t="shared" si="1"/>
        <v>0</v>
      </c>
    </row>
    <row r="10" spans="1:21" ht="26.4" x14ac:dyDescent="0.25">
      <c r="A10" s="1008">
        <v>6</v>
      </c>
      <c r="B10" s="814" t="s">
        <v>913</v>
      </c>
      <c r="C10" s="868"/>
      <c r="D10" s="868"/>
      <c r="E10" s="868">
        <v>4</v>
      </c>
      <c r="F10" s="868"/>
      <c r="G10" s="868"/>
      <c r="H10" s="868"/>
      <c r="I10" s="868"/>
      <c r="J10" s="868"/>
      <c r="K10" s="863">
        <f t="shared" si="0"/>
        <v>4</v>
      </c>
      <c r="L10" s="868"/>
      <c r="M10" s="868">
        <v>4</v>
      </c>
      <c r="N10" s="868"/>
      <c r="O10" s="868"/>
      <c r="P10" s="868"/>
      <c r="Q10" s="868"/>
      <c r="R10" s="868"/>
      <c r="S10" s="868"/>
      <c r="T10" s="869"/>
      <c r="U10" s="865">
        <f t="shared" si="1"/>
        <v>4</v>
      </c>
    </row>
    <row r="11" spans="1:21" hidden="1" x14ac:dyDescent="0.25">
      <c r="A11" s="835"/>
      <c r="B11" s="813"/>
      <c r="C11" s="868"/>
      <c r="D11" s="868"/>
      <c r="E11" s="868"/>
      <c r="F11" s="868"/>
      <c r="G11" s="868"/>
      <c r="H11" s="868"/>
      <c r="I11" s="868"/>
      <c r="J11" s="868"/>
      <c r="K11" s="863">
        <f t="shared" si="0"/>
        <v>0</v>
      </c>
      <c r="L11" s="868"/>
      <c r="M11" s="868"/>
      <c r="N11" s="868"/>
      <c r="O11" s="868"/>
      <c r="P11" s="868"/>
      <c r="Q11" s="868"/>
      <c r="R11" s="868"/>
      <c r="S11" s="868"/>
      <c r="T11" s="869"/>
      <c r="U11" s="865">
        <f t="shared" si="1"/>
        <v>0</v>
      </c>
    </row>
    <row r="12" spans="1:21" hidden="1" x14ac:dyDescent="0.25">
      <c r="A12" s="835"/>
      <c r="B12" s="813"/>
      <c r="C12" s="868"/>
      <c r="D12" s="868"/>
      <c r="E12" s="868"/>
      <c r="F12" s="868"/>
      <c r="G12" s="868"/>
      <c r="H12" s="868"/>
      <c r="I12" s="868"/>
      <c r="J12" s="868"/>
      <c r="K12" s="863">
        <f t="shared" si="0"/>
        <v>0</v>
      </c>
      <c r="L12" s="868"/>
      <c r="M12" s="868"/>
      <c r="N12" s="868"/>
      <c r="O12" s="868"/>
      <c r="P12" s="868"/>
      <c r="Q12" s="868"/>
      <c r="R12" s="868"/>
      <c r="S12" s="868"/>
      <c r="T12" s="869"/>
      <c r="U12" s="865">
        <f t="shared" si="1"/>
        <v>0</v>
      </c>
    </row>
    <row r="13" spans="1:21" hidden="1" x14ac:dyDescent="0.25">
      <c r="A13" s="835"/>
      <c r="B13" s="813"/>
      <c r="C13" s="868"/>
      <c r="D13" s="868"/>
      <c r="E13" s="868"/>
      <c r="F13" s="868"/>
      <c r="G13" s="868"/>
      <c r="H13" s="868"/>
      <c r="I13" s="868"/>
      <c r="J13" s="868"/>
      <c r="K13" s="863">
        <f t="shared" si="0"/>
        <v>0</v>
      </c>
      <c r="L13" s="868"/>
      <c r="M13" s="868"/>
      <c r="N13" s="868"/>
      <c r="O13" s="868"/>
      <c r="P13" s="868"/>
      <c r="Q13" s="868"/>
      <c r="R13" s="868"/>
      <c r="S13" s="868"/>
      <c r="T13" s="869"/>
      <c r="U13" s="865">
        <f t="shared" si="1"/>
        <v>0</v>
      </c>
    </row>
    <row r="14" spans="1:21" hidden="1" x14ac:dyDescent="0.25">
      <c r="A14" s="835"/>
      <c r="B14" s="813"/>
      <c r="C14" s="868"/>
      <c r="D14" s="868"/>
      <c r="E14" s="868"/>
      <c r="F14" s="868"/>
      <c r="G14" s="868"/>
      <c r="H14" s="868"/>
      <c r="I14" s="868"/>
      <c r="J14" s="868"/>
      <c r="K14" s="863">
        <f t="shared" si="0"/>
        <v>0</v>
      </c>
      <c r="L14" s="868"/>
      <c r="M14" s="868"/>
      <c r="N14" s="868"/>
      <c r="O14" s="868"/>
      <c r="P14" s="868"/>
      <c r="Q14" s="868"/>
      <c r="R14" s="868"/>
      <c r="S14" s="868"/>
      <c r="T14" s="869"/>
      <c r="U14" s="865">
        <f t="shared" si="1"/>
        <v>0</v>
      </c>
    </row>
    <row r="15" spans="1:21" hidden="1" x14ac:dyDescent="0.25">
      <c r="A15" s="835"/>
      <c r="B15" s="813"/>
      <c r="C15" s="868"/>
      <c r="D15" s="868"/>
      <c r="E15" s="868"/>
      <c r="F15" s="868"/>
      <c r="G15" s="868"/>
      <c r="H15" s="868"/>
      <c r="I15" s="868"/>
      <c r="J15" s="868"/>
      <c r="K15" s="863">
        <f t="shared" si="0"/>
        <v>0</v>
      </c>
      <c r="L15" s="868"/>
      <c r="M15" s="868"/>
      <c r="N15" s="868"/>
      <c r="O15" s="868"/>
      <c r="P15" s="868"/>
      <c r="Q15" s="868"/>
      <c r="R15" s="868"/>
      <c r="S15" s="868"/>
      <c r="T15" s="869"/>
      <c r="U15" s="865">
        <f t="shared" si="1"/>
        <v>0</v>
      </c>
    </row>
    <row r="16" spans="1:21" hidden="1" x14ac:dyDescent="0.25">
      <c r="A16" s="835"/>
      <c r="B16" s="813"/>
      <c r="C16" s="868"/>
      <c r="D16" s="868"/>
      <c r="E16" s="868"/>
      <c r="F16" s="868"/>
      <c r="G16" s="868"/>
      <c r="H16" s="868"/>
      <c r="I16" s="868"/>
      <c r="J16" s="868"/>
      <c r="K16" s="863">
        <f t="shared" si="0"/>
        <v>0</v>
      </c>
      <c r="L16" s="868"/>
      <c r="M16" s="868"/>
      <c r="N16" s="868"/>
      <c r="O16" s="868"/>
      <c r="P16" s="868"/>
      <c r="Q16" s="868"/>
      <c r="R16" s="868"/>
      <c r="S16" s="868"/>
      <c r="T16" s="869"/>
      <c r="U16" s="865">
        <f t="shared" si="1"/>
        <v>0</v>
      </c>
    </row>
    <row r="17" spans="1:21" hidden="1" x14ac:dyDescent="0.25">
      <c r="A17" s="835"/>
      <c r="B17" s="813"/>
      <c r="C17" s="868"/>
      <c r="D17" s="868"/>
      <c r="E17" s="868"/>
      <c r="F17" s="868"/>
      <c r="G17" s="868"/>
      <c r="H17" s="868"/>
      <c r="I17" s="868"/>
      <c r="J17" s="868"/>
      <c r="K17" s="863">
        <f t="shared" si="0"/>
        <v>0</v>
      </c>
      <c r="L17" s="868"/>
      <c r="M17" s="868"/>
      <c r="N17" s="868"/>
      <c r="O17" s="868"/>
      <c r="P17" s="868"/>
      <c r="Q17" s="868"/>
      <c r="R17" s="868"/>
      <c r="S17" s="868"/>
      <c r="T17" s="869"/>
      <c r="U17" s="865">
        <f t="shared" si="1"/>
        <v>0</v>
      </c>
    </row>
    <row r="18" spans="1:21" hidden="1" x14ac:dyDescent="0.25">
      <c r="A18" s="835"/>
      <c r="B18" s="813"/>
      <c r="C18" s="868"/>
      <c r="D18" s="868"/>
      <c r="E18" s="868"/>
      <c r="F18" s="868"/>
      <c r="G18" s="868"/>
      <c r="H18" s="868"/>
      <c r="I18" s="868"/>
      <c r="J18" s="868"/>
      <c r="K18" s="863">
        <f t="shared" si="0"/>
        <v>0</v>
      </c>
      <c r="L18" s="868"/>
      <c r="M18" s="868"/>
      <c r="N18" s="868"/>
      <c r="O18" s="868"/>
      <c r="P18" s="868"/>
      <c r="Q18" s="868"/>
      <c r="R18" s="868"/>
      <c r="S18" s="868"/>
      <c r="T18" s="869"/>
      <c r="U18" s="865">
        <f t="shared" si="1"/>
        <v>0</v>
      </c>
    </row>
    <row r="19" spans="1:21" hidden="1" x14ac:dyDescent="0.25">
      <c r="A19" s="835"/>
      <c r="B19" s="813"/>
      <c r="C19" s="868"/>
      <c r="D19" s="868"/>
      <c r="E19" s="868"/>
      <c r="F19" s="868"/>
      <c r="G19" s="868"/>
      <c r="H19" s="868"/>
      <c r="I19" s="868"/>
      <c r="J19" s="868"/>
      <c r="K19" s="863">
        <f t="shared" si="0"/>
        <v>0</v>
      </c>
      <c r="L19" s="868"/>
      <c r="M19" s="868"/>
      <c r="N19" s="868"/>
      <c r="O19" s="868"/>
      <c r="P19" s="868"/>
      <c r="Q19" s="868"/>
      <c r="R19" s="868"/>
      <c r="S19" s="868"/>
      <c r="T19" s="869"/>
      <c r="U19" s="865">
        <f t="shared" si="1"/>
        <v>0</v>
      </c>
    </row>
    <row r="20" spans="1:21" hidden="1" x14ac:dyDescent="0.25">
      <c r="A20" s="835"/>
      <c r="B20" s="813"/>
      <c r="C20" s="868"/>
      <c r="D20" s="868"/>
      <c r="E20" s="868"/>
      <c r="F20" s="868"/>
      <c r="G20" s="868"/>
      <c r="H20" s="868"/>
      <c r="I20" s="868"/>
      <c r="J20" s="868"/>
      <c r="K20" s="863">
        <f t="shared" si="0"/>
        <v>0</v>
      </c>
      <c r="L20" s="868"/>
      <c r="M20" s="868"/>
      <c r="N20" s="868"/>
      <c r="O20" s="868"/>
      <c r="P20" s="868"/>
      <c r="Q20" s="868"/>
      <c r="R20" s="868"/>
      <c r="S20" s="868"/>
      <c r="T20" s="869"/>
      <c r="U20" s="865">
        <f t="shared" si="1"/>
        <v>0</v>
      </c>
    </row>
    <row r="21" spans="1:21" x14ac:dyDescent="0.25">
      <c r="A21" s="835"/>
      <c r="B21" s="813"/>
      <c r="C21" s="868"/>
      <c r="D21" s="868"/>
      <c r="E21" s="868"/>
      <c r="F21" s="868"/>
      <c r="G21" s="868"/>
      <c r="H21" s="868"/>
      <c r="I21" s="868"/>
      <c r="J21" s="868"/>
      <c r="K21" s="863">
        <f t="shared" si="0"/>
        <v>0</v>
      </c>
      <c r="L21" s="868"/>
      <c r="M21" s="868"/>
      <c r="N21" s="868"/>
      <c r="O21" s="868"/>
      <c r="P21" s="868"/>
      <c r="Q21" s="868"/>
      <c r="R21" s="868"/>
      <c r="S21" s="868"/>
      <c r="T21" s="869"/>
      <c r="U21" s="865">
        <f t="shared" si="1"/>
        <v>0</v>
      </c>
    </row>
    <row r="22" spans="1:21" x14ac:dyDescent="0.25">
      <c r="A22" s="835"/>
      <c r="B22" s="813"/>
      <c r="C22" s="868"/>
      <c r="D22" s="868"/>
      <c r="E22" s="868"/>
      <c r="F22" s="868"/>
      <c r="G22" s="868"/>
      <c r="H22" s="868"/>
      <c r="I22" s="868"/>
      <c r="J22" s="868"/>
      <c r="K22" s="863">
        <f t="shared" si="0"/>
        <v>0</v>
      </c>
      <c r="L22" s="868"/>
      <c r="M22" s="868"/>
      <c r="N22" s="868"/>
      <c r="O22" s="868"/>
      <c r="P22" s="868"/>
      <c r="Q22" s="868"/>
      <c r="R22" s="868"/>
      <c r="S22" s="868"/>
      <c r="T22" s="869"/>
      <c r="U22" s="865">
        <f t="shared" si="1"/>
        <v>0</v>
      </c>
    </row>
    <row r="23" spans="1:21" ht="13.8" thickBot="1" x14ac:dyDescent="0.3">
      <c r="A23" s="841"/>
      <c r="B23" s="842" t="s">
        <v>180</v>
      </c>
      <c r="C23" s="1009">
        <f>SUM(C5:C22)</f>
        <v>-200</v>
      </c>
      <c r="D23" s="1010">
        <f t="shared" ref="D23:J23" si="2">SUM(D5:D22)</f>
        <v>57</v>
      </c>
      <c r="E23" s="1010">
        <f t="shared" si="2"/>
        <v>477</v>
      </c>
      <c r="F23" s="1010">
        <f t="shared" si="2"/>
        <v>113</v>
      </c>
      <c r="G23" s="1010">
        <f t="shared" si="2"/>
        <v>0</v>
      </c>
      <c r="H23" s="1010">
        <f t="shared" si="2"/>
        <v>42</v>
      </c>
      <c r="I23" s="1009">
        <f t="shared" si="2"/>
        <v>0</v>
      </c>
      <c r="J23" s="1009">
        <f t="shared" si="2"/>
        <v>0</v>
      </c>
      <c r="K23" s="1011">
        <f t="shared" si="0"/>
        <v>489</v>
      </c>
      <c r="L23" s="1009">
        <f t="shared" ref="L23:T23" si="3">SUM(L5:L22)</f>
        <v>0</v>
      </c>
      <c r="M23" s="1009">
        <f t="shared" si="3"/>
        <v>4</v>
      </c>
      <c r="N23" s="1009">
        <f t="shared" si="3"/>
        <v>372</v>
      </c>
      <c r="O23" s="1009">
        <f t="shared" si="3"/>
        <v>0</v>
      </c>
      <c r="P23" s="1009">
        <f t="shared" si="3"/>
        <v>0</v>
      </c>
      <c r="Q23" s="1009">
        <f t="shared" si="3"/>
        <v>0</v>
      </c>
      <c r="R23" s="1009">
        <f t="shared" si="3"/>
        <v>0</v>
      </c>
      <c r="S23" s="1009">
        <f t="shared" si="3"/>
        <v>0</v>
      </c>
      <c r="T23" s="1009">
        <f t="shared" si="3"/>
        <v>113</v>
      </c>
      <c r="U23" s="1012">
        <f t="shared" si="1"/>
        <v>489</v>
      </c>
    </row>
  </sheetData>
  <mergeCells count="21"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  <mergeCell ref="L3:L4"/>
    <mergeCell ref="M3:M4"/>
    <mergeCell ref="N3:N4"/>
    <mergeCell ref="O3:P3"/>
    <mergeCell ref="Q3:Q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2018. évi költségvetés módosításainak részletezése
Brunszvik Teréz Óvoda&amp;R&amp;"Times New Roman,Félkövér"&amp;12 12.c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view="pageLayout" zoomScaleNormal="100" workbookViewId="0">
      <selection activeCell="AC12" sqref="AC12"/>
    </sheetView>
  </sheetViews>
  <sheetFormatPr defaultColWidth="9.109375" defaultRowHeight="13.2" x14ac:dyDescent="0.25"/>
  <cols>
    <col min="1" max="1" width="5.6640625" style="798" customWidth="1"/>
    <col min="2" max="2" width="48.109375" style="798" customWidth="1"/>
    <col min="3" max="3" width="6.109375" style="798" hidden="1" customWidth="1"/>
    <col min="4" max="4" width="7.44140625" style="798" customWidth="1"/>
    <col min="5" max="5" width="5.6640625" style="798" customWidth="1"/>
    <col min="6" max="7" width="5.5546875" style="798" hidden="1" customWidth="1"/>
    <col min="8" max="8" width="5.44140625" style="798" hidden="1" customWidth="1"/>
    <col min="9" max="9" width="5.33203125" style="798" hidden="1" customWidth="1"/>
    <col min="10" max="10" width="5.109375" style="798" hidden="1" customWidth="1"/>
    <col min="11" max="11" width="0.109375" style="798" hidden="1" customWidth="1"/>
    <col min="12" max="12" width="8.109375" style="798" customWidth="1"/>
    <col min="13" max="13" width="7.88671875" style="798" customWidth="1"/>
    <col min="14" max="14" width="8.5546875" style="798" customWidth="1"/>
    <col min="15" max="15" width="7.33203125" style="798" customWidth="1"/>
    <col min="16" max="16" width="6.5546875" style="798" customWidth="1"/>
    <col min="17" max="17" width="8.109375" style="798" customWidth="1"/>
    <col min="18" max="18" width="9" style="798" customWidth="1"/>
    <col min="19" max="19" width="8.88671875" style="798" customWidth="1"/>
    <col min="20" max="20" width="8.33203125" style="798" customWidth="1"/>
    <col min="21" max="22" width="9.109375" style="798"/>
    <col min="23" max="24" width="9" style="798" customWidth="1"/>
    <col min="25" max="25" width="6.88671875" style="798" customWidth="1"/>
    <col min="26" max="26" width="7.88671875" style="798" customWidth="1"/>
    <col min="27" max="27" width="9.33203125" style="798" customWidth="1"/>
    <col min="28" max="28" width="7" style="798" hidden="1" customWidth="1"/>
    <col min="29" max="16384" width="9.109375" style="798"/>
  </cols>
  <sheetData>
    <row r="1" spans="1:29" ht="15" customHeight="1" thickBot="1" x14ac:dyDescent="0.3">
      <c r="Z1" s="1314" t="s">
        <v>393</v>
      </c>
      <c r="AA1" s="1314"/>
      <c r="AB1" s="1314"/>
      <c r="AC1" s="1314"/>
    </row>
    <row r="2" spans="1:29" ht="31.5" customHeight="1" x14ac:dyDescent="0.25">
      <c r="A2" s="1315" t="s">
        <v>350</v>
      </c>
      <c r="B2" s="1320" t="s">
        <v>799</v>
      </c>
      <c r="C2" s="1320" t="s">
        <v>827</v>
      </c>
      <c r="D2" s="1321" t="s">
        <v>311</v>
      </c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3" t="s">
        <v>289</v>
      </c>
      <c r="S2" s="1321" t="s">
        <v>303</v>
      </c>
      <c r="T2" s="1321"/>
      <c r="U2" s="1321"/>
      <c r="V2" s="1321"/>
      <c r="W2" s="1321"/>
      <c r="X2" s="1321"/>
      <c r="Y2" s="1321"/>
      <c r="Z2" s="1321"/>
      <c r="AA2" s="1322"/>
      <c r="AB2" s="1323" t="s">
        <v>800</v>
      </c>
      <c r="AC2" s="1331" t="s">
        <v>828</v>
      </c>
    </row>
    <row r="3" spans="1:29" s="833" customFormat="1" ht="25.5" customHeight="1" x14ac:dyDescent="0.3">
      <c r="A3" s="1316"/>
      <c r="B3" s="1305"/>
      <c r="C3" s="1330"/>
      <c r="D3" s="1305" t="s">
        <v>829</v>
      </c>
      <c r="E3" s="1305" t="s">
        <v>830</v>
      </c>
      <c r="F3" s="1305" t="s">
        <v>831</v>
      </c>
      <c r="G3" s="1305"/>
      <c r="H3" s="1305"/>
      <c r="I3" s="1305"/>
      <c r="J3" s="1305"/>
      <c r="K3" s="1305"/>
      <c r="L3" s="1305" t="s">
        <v>151</v>
      </c>
      <c r="M3" s="1305" t="s">
        <v>163</v>
      </c>
      <c r="N3" s="1306"/>
      <c r="O3" s="1305" t="s">
        <v>804</v>
      </c>
      <c r="P3" s="1305" t="s">
        <v>689</v>
      </c>
      <c r="Q3" s="1305" t="s">
        <v>832</v>
      </c>
      <c r="R3" s="1324"/>
      <c r="S3" s="1305" t="s">
        <v>816</v>
      </c>
      <c r="T3" s="1305" t="s">
        <v>817</v>
      </c>
      <c r="U3" s="1305" t="s">
        <v>808</v>
      </c>
      <c r="V3" s="1305" t="s">
        <v>833</v>
      </c>
      <c r="W3" s="1306"/>
      <c r="X3" s="1327" t="s">
        <v>834</v>
      </c>
      <c r="Y3" s="1305" t="s">
        <v>835</v>
      </c>
      <c r="Z3" s="1306"/>
      <c r="AA3" s="1327" t="s">
        <v>857</v>
      </c>
      <c r="AB3" s="1324"/>
      <c r="AC3" s="1332"/>
    </row>
    <row r="4" spans="1:29" s="833" customFormat="1" ht="23.25" customHeight="1" x14ac:dyDescent="0.3">
      <c r="A4" s="1316"/>
      <c r="B4" s="1305"/>
      <c r="C4" s="1330"/>
      <c r="D4" s="1305"/>
      <c r="E4" s="1305"/>
      <c r="F4" s="834" t="s">
        <v>836</v>
      </c>
      <c r="G4" s="834" t="s">
        <v>837</v>
      </c>
      <c r="H4" s="834" t="s">
        <v>838</v>
      </c>
      <c r="I4" s="834" t="s">
        <v>839</v>
      </c>
      <c r="J4" s="834" t="s">
        <v>840</v>
      </c>
      <c r="K4" s="834" t="s">
        <v>841</v>
      </c>
      <c r="L4" s="1305"/>
      <c r="M4" s="891" t="s">
        <v>825</v>
      </c>
      <c r="N4" s="891" t="s">
        <v>826</v>
      </c>
      <c r="O4" s="1305"/>
      <c r="P4" s="1305"/>
      <c r="Q4" s="1305"/>
      <c r="R4" s="1324"/>
      <c r="S4" s="1305"/>
      <c r="T4" s="1305"/>
      <c r="U4" s="1305"/>
      <c r="V4" s="891" t="s">
        <v>842</v>
      </c>
      <c r="W4" s="891" t="s">
        <v>843</v>
      </c>
      <c r="X4" s="1328"/>
      <c r="Y4" s="891" t="s">
        <v>842</v>
      </c>
      <c r="Z4" s="891" t="s">
        <v>843</v>
      </c>
      <c r="AA4" s="1329"/>
      <c r="AB4" s="1324"/>
      <c r="AC4" s="1332"/>
    </row>
    <row r="5" spans="1:29" x14ac:dyDescent="0.25">
      <c r="A5" s="835">
        <v>1</v>
      </c>
      <c r="B5" s="813" t="s">
        <v>875</v>
      </c>
      <c r="C5" s="836"/>
      <c r="D5" s="837"/>
      <c r="E5" s="837"/>
      <c r="F5" s="837"/>
      <c r="G5" s="837"/>
      <c r="H5" s="837"/>
      <c r="I5" s="837"/>
      <c r="J5" s="837"/>
      <c r="K5" s="837"/>
      <c r="L5" s="837"/>
      <c r="M5" s="837">
        <v>82</v>
      </c>
      <c r="N5" s="837"/>
      <c r="O5" s="837"/>
      <c r="P5" s="837"/>
      <c r="Q5" s="837"/>
      <c r="R5" s="838">
        <f>SUM(D5:Q5)</f>
        <v>82</v>
      </c>
      <c r="S5" s="837"/>
      <c r="T5" s="837"/>
      <c r="U5" s="837"/>
      <c r="V5" s="837"/>
      <c r="W5" s="837"/>
      <c r="X5" s="837"/>
      <c r="Y5" s="837"/>
      <c r="Z5" s="837"/>
      <c r="AA5" s="839">
        <v>82</v>
      </c>
      <c r="AB5" s="838"/>
      <c r="AC5" s="840">
        <f>SUM(S5:AB5)</f>
        <v>82</v>
      </c>
    </row>
    <row r="6" spans="1:29" x14ac:dyDescent="0.25">
      <c r="A6" s="835">
        <v>2</v>
      </c>
      <c r="B6" s="814" t="s">
        <v>925</v>
      </c>
      <c r="C6" s="836"/>
      <c r="D6" s="837">
        <f>161+467</f>
        <v>628</v>
      </c>
      <c r="E6" s="837">
        <f>31+96</f>
        <v>127</v>
      </c>
      <c r="F6" s="837"/>
      <c r="G6" s="837"/>
      <c r="H6" s="837"/>
      <c r="I6" s="837"/>
      <c r="J6" s="837"/>
      <c r="K6" s="837"/>
      <c r="L6" s="837"/>
      <c r="M6" s="837"/>
      <c r="N6" s="837"/>
      <c r="O6" s="837"/>
      <c r="P6" s="837"/>
      <c r="Q6" s="837"/>
      <c r="R6" s="838">
        <f t="shared" ref="R6:R9" si="0">SUM(D6:Q6)</f>
        <v>755</v>
      </c>
      <c r="S6" s="837"/>
      <c r="T6" s="837"/>
      <c r="U6" s="837">
        <f>192+563</f>
        <v>755</v>
      </c>
      <c r="V6" s="837"/>
      <c r="W6" s="837"/>
      <c r="X6" s="837"/>
      <c r="Y6" s="837"/>
      <c r="Z6" s="837"/>
      <c r="AA6" s="839"/>
      <c r="AB6" s="838"/>
      <c r="AC6" s="840">
        <f t="shared" ref="AC6:AC9" si="1">SUM(S6:AB6)</f>
        <v>755</v>
      </c>
    </row>
    <row r="7" spans="1:29" x14ac:dyDescent="0.25">
      <c r="A7" s="835">
        <v>3</v>
      </c>
      <c r="B7" s="813" t="s">
        <v>908</v>
      </c>
      <c r="C7" s="836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>
        <v>72</v>
      </c>
      <c r="P7" s="837"/>
      <c r="Q7" s="837"/>
      <c r="R7" s="838">
        <f t="shared" si="0"/>
        <v>72</v>
      </c>
      <c r="S7" s="837"/>
      <c r="T7" s="837"/>
      <c r="U7" s="837">
        <v>72</v>
      </c>
      <c r="V7" s="837"/>
      <c r="W7" s="837"/>
      <c r="X7" s="837"/>
      <c r="Y7" s="837"/>
      <c r="Z7" s="837"/>
      <c r="AA7" s="839"/>
      <c r="AB7" s="838"/>
      <c r="AC7" s="840">
        <f t="shared" si="1"/>
        <v>72</v>
      </c>
    </row>
    <row r="8" spans="1:29" x14ac:dyDescent="0.25">
      <c r="A8" s="835">
        <v>4</v>
      </c>
      <c r="B8" s="813" t="s">
        <v>909</v>
      </c>
      <c r="C8" s="836"/>
      <c r="D8" s="837"/>
      <c r="E8" s="837"/>
      <c r="F8" s="837"/>
      <c r="G8" s="837"/>
      <c r="H8" s="837"/>
      <c r="I8" s="837"/>
      <c r="J8" s="837"/>
      <c r="K8" s="837"/>
      <c r="L8" s="837">
        <v>1499</v>
      </c>
      <c r="M8" s="837"/>
      <c r="N8" s="837"/>
      <c r="O8" s="837"/>
      <c r="P8" s="837"/>
      <c r="Q8" s="837"/>
      <c r="R8" s="838">
        <f t="shared" si="0"/>
        <v>1499</v>
      </c>
      <c r="S8" s="837"/>
      <c r="T8" s="837"/>
      <c r="U8" s="837">
        <v>1499</v>
      </c>
      <c r="V8" s="837"/>
      <c r="W8" s="837"/>
      <c r="X8" s="837"/>
      <c r="Y8" s="837"/>
      <c r="Z8" s="837"/>
      <c r="AA8" s="839"/>
      <c r="AB8" s="838"/>
      <c r="AC8" s="840">
        <f t="shared" si="1"/>
        <v>1499</v>
      </c>
    </row>
    <row r="9" spans="1:29" x14ac:dyDescent="0.25">
      <c r="A9" s="835">
        <v>5</v>
      </c>
      <c r="B9" s="798" t="s">
        <v>910</v>
      </c>
      <c r="C9" s="836"/>
      <c r="D9" s="837"/>
      <c r="E9" s="837"/>
      <c r="F9" s="837"/>
      <c r="G9" s="837"/>
      <c r="H9" s="837"/>
      <c r="I9" s="837"/>
      <c r="J9" s="837"/>
      <c r="K9" s="837"/>
      <c r="L9" s="837">
        <v>16</v>
      </c>
      <c r="M9" s="837"/>
      <c r="N9" s="837"/>
      <c r="O9" s="837"/>
      <c r="P9" s="837"/>
      <c r="Q9" s="837"/>
      <c r="R9" s="838">
        <f t="shared" si="0"/>
        <v>16</v>
      </c>
      <c r="S9" s="837"/>
      <c r="T9" s="837">
        <v>16</v>
      </c>
      <c r="U9" s="837"/>
      <c r="V9" s="837"/>
      <c r="W9" s="837"/>
      <c r="X9" s="837"/>
      <c r="Y9" s="837"/>
      <c r="Z9" s="837"/>
      <c r="AA9" s="839"/>
      <c r="AB9" s="838"/>
      <c r="AC9" s="840">
        <f t="shared" si="1"/>
        <v>16</v>
      </c>
    </row>
    <row r="10" spans="1:29" x14ac:dyDescent="0.25">
      <c r="A10" s="835"/>
      <c r="B10" s="813"/>
      <c r="C10" s="836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38"/>
      <c r="S10" s="823"/>
      <c r="T10" s="823"/>
      <c r="U10" s="823"/>
      <c r="V10" s="823"/>
      <c r="W10" s="823"/>
      <c r="X10" s="823"/>
      <c r="Y10" s="823"/>
      <c r="Z10" s="823"/>
      <c r="AA10" s="809"/>
      <c r="AB10" s="836"/>
      <c r="AC10" s="840"/>
    </row>
    <row r="11" spans="1:29" ht="13.8" thickBot="1" x14ac:dyDescent="0.3">
      <c r="A11" s="841"/>
      <c r="B11" s="842" t="s">
        <v>180</v>
      </c>
      <c r="C11" s="843"/>
      <c r="D11" s="844">
        <f t="shared" ref="D11:Q11" si="2">SUM(D5:D10)</f>
        <v>628</v>
      </c>
      <c r="E11" s="844">
        <f t="shared" si="2"/>
        <v>127</v>
      </c>
      <c r="F11" s="844">
        <f t="shared" si="2"/>
        <v>0</v>
      </c>
      <c r="G11" s="844">
        <f t="shared" si="2"/>
        <v>0</v>
      </c>
      <c r="H11" s="844">
        <f t="shared" si="2"/>
        <v>0</v>
      </c>
      <c r="I11" s="844">
        <f t="shared" si="2"/>
        <v>0</v>
      </c>
      <c r="J11" s="844">
        <f t="shared" si="2"/>
        <v>0</v>
      </c>
      <c r="K11" s="844">
        <f t="shared" si="2"/>
        <v>0</v>
      </c>
      <c r="L11" s="844">
        <f t="shared" si="2"/>
        <v>1515</v>
      </c>
      <c r="M11" s="844">
        <f t="shared" si="2"/>
        <v>82</v>
      </c>
      <c r="N11" s="844">
        <f t="shared" si="2"/>
        <v>0</v>
      </c>
      <c r="O11" s="844">
        <f t="shared" si="2"/>
        <v>72</v>
      </c>
      <c r="P11" s="844">
        <f t="shared" si="2"/>
        <v>0</v>
      </c>
      <c r="Q11" s="844">
        <f t="shared" si="2"/>
        <v>0</v>
      </c>
      <c r="R11" s="845">
        <f>SUM(D11:Q11)</f>
        <v>2424</v>
      </c>
      <c r="S11" s="844">
        <f t="shared" ref="S11:AA11" si="3">SUM(S5:S10)</f>
        <v>0</v>
      </c>
      <c r="T11" s="844">
        <f t="shared" si="3"/>
        <v>16</v>
      </c>
      <c r="U11" s="844">
        <f t="shared" si="3"/>
        <v>2326</v>
      </c>
      <c r="V11" s="844">
        <f t="shared" si="3"/>
        <v>0</v>
      </c>
      <c r="W11" s="844">
        <f t="shared" si="3"/>
        <v>0</v>
      </c>
      <c r="X11" s="844">
        <f t="shared" si="3"/>
        <v>0</v>
      </c>
      <c r="Y11" s="844">
        <f t="shared" si="3"/>
        <v>0</v>
      </c>
      <c r="Z11" s="844">
        <f t="shared" si="3"/>
        <v>0</v>
      </c>
      <c r="AA11" s="844">
        <f t="shared" si="3"/>
        <v>82</v>
      </c>
      <c r="AB11" s="844">
        <f>SUM(AB5:AB9)</f>
        <v>0</v>
      </c>
      <c r="AC11" s="846">
        <f>SUM(S11:AA11)</f>
        <v>2424</v>
      </c>
    </row>
  </sheetData>
  <mergeCells count="24">
    <mergeCell ref="P3:P4"/>
    <mergeCell ref="Z1:AC1"/>
    <mergeCell ref="A2:A4"/>
    <mergeCell ref="B2:B4"/>
    <mergeCell ref="C2:C4"/>
    <mergeCell ref="D2:Q2"/>
    <mergeCell ref="R2:R4"/>
    <mergeCell ref="S2:AA2"/>
    <mergeCell ref="AB2:AB4"/>
    <mergeCell ref="AC2:AC4"/>
    <mergeCell ref="D3:D4"/>
    <mergeCell ref="E3:E4"/>
    <mergeCell ref="F3:K3"/>
    <mergeCell ref="L3:L4"/>
    <mergeCell ref="M3:N3"/>
    <mergeCell ref="O3:O4"/>
    <mergeCell ref="Y3:Z3"/>
    <mergeCell ref="AA3:AA4"/>
    <mergeCell ref="Q3:Q4"/>
    <mergeCell ref="S3:S4"/>
    <mergeCell ref="T3:T4"/>
    <mergeCell ref="U3:U4"/>
    <mergeCell ref="V3:W3"/>
    <mergeCell ref="X3:X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&amp;C&amp;"Times New Roman,Félkövér"&amp;12Martonvásár Város Önkormányzatának 2018. évi költségvetés módosításainak részletezése
Brunszvik Beethoven Kultúrális Központ&amp;R&amp;"Times New Roman,Félkövér"&amp;12 12.d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view="pageLayout" zoomScaleNormal="100" workbookViewId="0">
      <selection activeCell="G28" sqref="G28:I28"/>
    </sheetView>
  </sheetViews>
  <sheetFormatPr defaultColWidth="8.6640625" defaultRowHeight="12.75" customHeight="1" x14ac:dyDescent="0.3"/>
  <cols>
    <col min="1" max="1" width="18.88671875" style="164" customWidth="1"/>
    <col min="2" max="2" width="35.109375" style="196" customWidth="1"/>
    <col min="3" max="3" width="12.44140625" style="196" customWidth="1"/>
    <col min="4" max="5" width="11.6640625" style="196" customWidth="1"/>
    <col min="6" max="6" width="45.44140625" style="196" customWidth="1"/>
    <col min="7" max="7" width="12.88671875" style="196" customWidth="1"/>
    <col min="8" max="9" width="12.44140625" style="196" customWidth="1"/>
    <col min="10" max="11" width="8.6640625" style="196"/>
    <col min="12" max="16384" width="8.6640625" style="164"/>
  </cols>
  <sheetData>
    <row r="1" spans="2:11" ht="16.5" customHeight="1" thickBot="1" x14ac:dyDescent="0.35">
      <c r="B1" s="197"/>
      <c r="C1" s="197"/>
      <c r="D1" s="197"/>
      <c r="E1" s="197"/>
      <c r="F1" s="197"/>
      <c r="G1" s="197"/>
      <c r="H1" s="197"/>
      <c r="I1" s="198"/>
      <c r="J1" s="163"/>
      <c r="K1" s="163"/>
    </row>
    <row r="2" spans="2:11" ht="26.25" customHeight="1" thickBot="1" x14ac:dyDescent="0.35">
      <c r="B2" s="199" t="s">
        <v>340</v>
      </c>
      <c r="C2" s="200" t="s">
        <v>282</v>
      </c>
      <c r="D2" s="200" t="s">
        <v>792</v>
      </c>
      <c r="E2" s="237" t="s">
        <v>305</v>
      </c>
      <c r="F2" s="199" t="s">
        <v>341</v>
      </c>
      <c r="G2" s="237" t="s">
        <v>282</v>
      </c>
      <c r="H2" s="237" t="s">
        <v>792</v>
      </c>
      <c r="I2" s="237" t="s">
        <v>305</v>
      </c>
      <c r="J2" s="201"/>
      <c r="K2" s="163"/>
    </row>
    <row r="3" spans="2:11" ht="13.5" customHeight="1" thickBot="1" x14ac:dyDescent="0.35">
      <c r="B3" s="202" t="s">
        <v>342</v>
      </c>
      <c r="C3" s="421">
        <f>SUM(C4:C8)</f>
        <v>996291</v>
      </c>
      <c r="D3" s="421">
        <f t="shared" ref="D3:E3" si="0">SUM(D4:D8)</f>
        <v>6860</v>
      </c>
      <c r="E3" s="421">
        <f t="shared" si="0"/>
        <v>1003151</v>
      </c>
      <c r="F3" s="521" t="s">
        <v>443</v>
      </c>
      <c r="G3" s="524">
        <f>+G4+G5+G6+G8+G9+G10</f>
        <v>1512657.9100000001</v>
      </c>
      <c r="H3" s="524">
        <f t="shared" ref="H3:I3" si="1">+H4+H5+H6+H8+H9+H10</f>
        <v>102273</v>
      </c>
      <c r="I3" s="524">
        <f t="shared" si="1"/>
        <v>1614930.9100000001</v>
      </c>
      <c r="J3" s="201"/>
      <c r="K3" s="163"/>
    </row>
    <row r="4" spans="2:11" ht="15" customHeight="1" x14ac:dyDescent="0.3">
      <c r="B4" s="203" t="s">
        <v>420</v>
      </c>
      <c r="C4" s="204">
        <f>+'1.mell. Mérleg'!C7</f>
        <v>480944</v>
      </c>
      <c r="D4" s="238">
        <f>+'1.mell. Mérleg'!D7</f>
        <v>5690</v>
      </c>
      <c r="E4" s="238">
        <f>+'1.mell. Mérleg'!E7</f>
        <v>486634</v>
      </c>
      <c r="F4" s="522" t="s">
        <v>343</v>
      </c>
      <c r="G4" s="523">
        <f>+'1.mell. Mérleg'!C31</f>
        <v>339970</v>
      </c>
      <c r="H4" s="523">
        <f>+'1.mell. Mérleg'!D31</f>
        <v>1298</v>
      </c>
      <c r="I4" s="523">
        <f>+'1.mell. Mérleg'!E31</f>
        <v>341268</v>
      </c>
      <c r="J4" s="201"/>
      <c r="K4" s="163"/>
    </row>
    <row r="5" spans="2:11" ht="15" customHeight="1" x14ac:dyDescent="0.3">
      <c r="B5" s="203" t="s">
        <v>444</v>
      </c>
      <c r="C5" s="362">
        <f>+'3.mell. Bevétel'!C54</f>
        <v>288500</v>
      </c>
      <c r="D5" s="362">
        <f>+'3.mell. Bevétel'!D54</f>
        <v>0</v>
      </c>
      <c r="E5" s="362">
        <f>+'3.mell. Bevétel'!E54</f>
        <v>288500</v>
      </c>
      <c r="F5" s="242" t="s">
        <v>344</v>
      </c>
      <c r="G5" s="206">
        <f>+'1.mell. Mérleg'!C32</f>
        <v>72827</v>
      </c>
      <c r="H5" s="206">
        <f>+'1.mell. Mérleg'!D32</f>
        <v>315</v>
      </c>
      <c r="I5" s="206">
        <f>+'1.mell. Mérleg'!E32</f>
        <v>73142</v>
      </c>
      <c r="J5" s="201"/>
      <c r="K5" s="163"/>
    </row>
    <row r="6" spans="2:11" ht="15" customHeight="1" x14ac:dyDescent="0.3">
      <c r="B6" s="203" t="s">
        <v>342</v>
      </c>
      <c r="C6" s="362">
        <f>+'1.mell. Mérleg'!C13</f>
        <v>225804</v>
      </c>
      <c r="D6" s="362">
        <f>+'1.mell. Mérleg'!D13</f>
        <v>520</v>
      </c>
      <c r="E6" s="362">
        <f>+'1.mell. Mérleg'!E13</f>
        <v>226324</v>
      </c>
      <c r="F6" s="242" t="s">
        <v>345</v>
      </c>
      <c r="G6" s="238">
        <f>+'1.mell. Mérleg'!C33</f>
        <v>500962.91000000003</v>
      </c>
      <c r="H6" s="238">
        <f>+'1.mell. Mérleg'!D33</f>
        <v>73013</v>
      </c>
      <c r="I6" s="238">
        <f>+'1.mell. Mérleg'!E33</f>
        <v>573975.91</v>
      </c>
      <c r="J6" s="201"/>
      <c r="K6" s="163"/>
    </row>
    <row r="7" spans="2:11" ht="15" customHeight="1" x14ac:dyDescent="0.3">
      <c r="B7" s="235" t="s">
        <v>421</v>
      </c>
      <c r="C7" s="362">
        <f>+'1.mell. Mérleg'!C14</f>
        <v>1043</v>
      </c>
      <c r="D7" s="362">
        <f>+'1.mell. Mérleg'!D14</f>
        <v>650</v>
      </c>
      <c r="E7" s="362">
        <f>+'1.mell. Mérleg'!E14</f>
        <v>1693</v>
      </c>
      <c r="F7" s="519" t="s">
        <v>575</v>
      </c>
      <c r="G7" s="238">
        <f>+'5.b. mell. VF saját forrásból'!D30+'5.c. mell. VF Eu forrásból'!D30</f>
        <v>311492</v>
      </c>
      <c r="H7" s="238">
        <f>+'5.b. mell. VF saját forrásból'!E30+'5.c. mell. VF Eu forrásból'!E30</f>
        <v>0</v>
      </c>
      <c r="I7" s="238">
        <f>+'5.b. mell. VF saját forrásból'!F30+'5.c. mell. VF Eu forrásból'!F30</f>
        <v>311492</v>
      </c>
      <c r="J7" s="201"/>
      <c r="K7" s="163"/>
    </row>
    <row r="8" spans="2:11" ht="15" customHeight="1" x14ac:dyDescent="0.3">
      <c r="B8" s="203"/>
      <c r="C8" s="362"/>
      <c r="D8" s="204"/>
      <c r="E8" s="342"/>
      <c r="F8" s="242" t="s">
        <v>346</v>
      </c>
      <c r="G8" s="238">
        <f>+'5. mell. Önk.össz kiadás'!D16</f>
        <v>23333</v>
      </c>
      <c r="H8" s="238">
        <f>+'5. mell. Önk.össz kiadás'!E16</f>
        <v>0</v>
      </c>
      <c r="I8" s="238">
        <f>+'5. mell. Önk.össz kiadás'!F16</f>
        <v>23333</v>
      </c>
      <c r="J8" s="201"/>
      <c r="K8" s="163"/>
    </row>
    <row r="9" spans="2:11" ht="15" customHeight="1" x14ac:dyDescent="0.3">
      <c r="B9" s="203"/>
      <c r="C9" s="204"/>
      <c r="D9" s="204"/>
      <c r="E9" s="342"/>
      <c r="F9" s="242" t="s">
        <v>380</v>
      </c>
      <c r="G9" s="238">
        <f>+'1.mell. Mérleg'!C35</f>
        <v>237325</v>
      </c>
      <c r="H9" s="238">
        <f>+'1.mell. Mérleg'!D35</f>
        <v>1202</v>
      </c>
      <c r="I9" s="238">
        <f>+'1.mell. Mérleg'!E35</f>
        <v>238527</v>
      </c>
      <c r="J9" s="201"/>
      <c r="K9" s="163"/>
    </row>
    <row r="10" spans="2:11" ht="15" customHeight="1" x14ac:dyDescent="0.3">
      <c r="B10" s="207" t="s">
        <v>287</v>
      </c>
      <c r="C10" s="208">
        <f>+C11</f>
        <v>489162</v>
      </c>
      <c r="D10" s="208">
        <f t="shared" ref="D10:E10" si="2">+D11</f>
        <v>42558</v>
      </c>
      <c r="E10" s="208">
        <f t="shared" si="2"/>
        <v>531720</v>
      </c>
      <c r="F10" s="242" t="s">
        <v>751</v>
      </c>
      <c r="G10" s="238">
        <f>+'5. mell. Önk.össz kiadás'!D19</f>
        <v>338240</v>
      </c>
      <c r="H10" s="238">
        <f>+'5. mell. Önk.össz kiadás'!E19</f>
        <v>26445</v>
      </c>
      <c r="I10" s="238">
        <f>+'5. mell. Önk.össz kiadás'!F19</f>
        <v>364685</v>
      </c>
      <c r="J10" s="201"/>
      <c r="K10" s="163"/>
    </row>
    <row r="11" spans="2:11" ht="15" customHeight="1" x14ac:dyDescent="0.3">
      <c r="B11" s="203" t="s">
        <v>385</v>
      </c>
      <c r="C11" s="204">
        <f>+'1.mell. Mérleg'!C23</f>
        <v>489162</v>
      </c>
      <c r="D11" s="238">
        <f>+'1.mell. Mérleg'!D23</f>
        <v>42558</v>
      </c>
      <c r="E11" s="238">
        <f>+'1.mell. Mérleg'!E23</f>
        <v>531720</v>
      </c>
      <c r="F11" s="715" t="s">
        <v>752</v>
      </c>
      <c r="G11" s="238">
        <f>+'5.g. mell. Egyéb tev.'!AE64</f>
        <v>6500</v>
      </c>
      <c r="H11" s="238">
        <f>+'5.g. mell. Egyéb tev.'!AF64</f>
        <v>-1499</v>
      </c>
      <c r="I11" s="238">
        <f>+'5.g. mell. Egyéb tev.'!AG64</f>
        <v>5001</v>
      </c>
      <c r="J11" s="201"/>
      <c r="K11" s="163"/>
    </row>
    <row r="12" spans="2:11" ht="15" customHeight="1" x14ac:dyDescent="0.3">
      <c r="B12" s="235"/>
      <c r="C12" s="236"/>
      <c r="D12" s="236"/>
      <c r="E12" s="236"/>
      <c r="F12" s="715" t="s">
        <v>737</v>
      </c>
      <c r="G12" s="238">
        <f>+'5.g. mell. Egyéb tev.'!AE68</f>
        <v>239565</v>
      </c>
      <c r="H12" s="238">
        <f>+'5.g. mell. Egyéb tev.'!AF68</f>
        <v>0</v>
      </c>
      <c r="I12" s="238">
        <f>+'5.g. mell. Egyéb tev.'!AG68</f>
        <v>239565</v>
      </c>
      <c r="J12" s="201"/>
      <c r="K12" s="163"/>
    </row>
    <row r="13" spans="2:11" ht="15" customHeight="1" x14ac:dyDescent="0.3">
      <c r="B13" s="203"/>
      <c r="C13" s="204"/>
      <c r="D13" s="238"/>
      <c r="E13" s="238"/>
      <c r="F13" s="715" t="s">
        <v>754</v>
      </c>
      <c r="G13" s="238">
        <f>+'5.g. mell. Egyéb tev.'!AE70</f>
        <v>1050</v>
      </c>
      <c r="H13" s="238">
        <f>+'5.g. mell. Egyéb tev.'!AF70</f>
        <v>0</v>
      </c>
      <c r="I13" s="238">
        <f>+'5.g. mell. Egyéb tev.'!AG70</f>
        <v>1050</v>
      </c>
      <c r="J13" s="201"/>
      <c r="K13" s="163"/>
    </row>
    <row r="14" spans="2:11" s="212" customFormat="1" ht="15" customHeight="1" x14ac:dyDescent="0.3">
      <c r="B14" s="203"/>
      <c r="C14" s="204"/>
      <c r="D14" s="204"/>
      <c r="E14" s="342"/>
      <c r="F14" s="715" t="s">
        <v>632</v>
      </c>
      <c r="G14" s="238">
        <f>+'5.g. mell. Egyéb tev.'!AE73</f>
        <v>10000</v>
      </c>
      <c r="H14" s="238">
        <f>+'5.g. mell. Egyéb tev.'!AF73</f>
        <v>8241</v>
      </c>
      <c r="I14" s="238">
        <f>+'5.g. mell. Egyéb tev.'!AG73</f>
        <v>18241</v>
      </c>
      <c r="J14" s="201"/>
      <c r="K14" s="163"/>
    </row>
    <row r="15" spans="2:11" s="215" customFormat="1" ht="15" thickBot="1" x14ac:dyDescent="0.35">
      <c r="B15" s="210"/>
      <c r="C15" s="211"/>
      <c r="D15" s="211"/>
      <c r="E15" s="343"/>
      <c r="F15" s="715" t="s">
        <v>610</v>
      </c>
      <c r="G15" s="238">
        <f>+'5.g. mell. Egyéb tev.'!AE74</f>
        <v>69863</v>
      </c>
      <c r="H15" s="238">
        <f>+'5.g. mell. Egyéb tev.'!AF74</f>
        <v>-297</v>
      </c>
      <c r="I15" s="238">
        <f>+'5.g. mell. Egyéb tev.'!AG74</f>
        <v>69566</v>
      </c>
      <c r="J15" s="201"/>
      <c r="K15" s="163"/>
    </row>
    <row r="16" spans="2:11" ht="15" thickBot="1" x14ac:dyDescent="0.35">
      <c r="B16" s="213" t="s">
        <v>347</v>
      </c>
      <c r="C16" s="214">
        <f>+C10+C3</f>
        <v>1485453</v>
      </c>
      <c r="D16" s="214">
        <f t="shared" ref="D16:E16" si="3">+D10+D3</f>
        <v>49418</v>
      </c>
      <c r="E16" s="214">
        <f t="shared" si="3"/>
        <v>1534871</v>
      </c>
      <c r="F16" s="520" t="s">
        <v>347</v>
      </c>
      <c r="G16" s="214">
        <f>+G3</f>
        <v>1512657.9100000001</v>
      </c>
      <c r="H16" s="214">
        <f t="shared" ref="H16:I16" si="4">+H3</f>
        <v>102273</v>
      </c>
      <c r="I16" s="214">
        <f t="shared" si="4"/>
        <v>1614930.9100000001</v>
      </c>
      <c r="J16" s="163"/>
      <c r="K16" s="719"/>
    </row>
    <row r="17" spans="2:11" ht="13.5" customHeight="1" x14ac:dyDescent="0.3">
      <c r="B17" s="216"/>
      <c r="C17" s="216"/>
      <c r="D17" s="216"/>
      <c r="E17" s="217"/>
      <c r="F17" s="218"/>
      <c r="G17" s="512"/>
      <c r="H17" s="218"/>
      <c r="I17" s="217"/>
      <c r="J17" s="163"/>
      <c r="K17" s="163"/>
    </row>
    <row r="18" spans="2:11" s="196" customFormat="1" ht="25.5" customHeight="1" thickBot="1" x14ac:dyDescent="0.35">
      <c r="B18" s="245"/>
      <c r="C18" s="512"/>
      <c r="D18" s="512"/>
      <c r="E18" s="717"/>
      <c r="F18" s="219"/>
      <c r="G18" s="219"/>
      <c r="H18" s="219"/>
      <c r="I18" s="220"/>
      <c r="J18" s="245"/>
      <c r="K18" s="163"/>
    </row>
    <row r="19" spans="2:11" s="196" customFormat="1" ht="27" thickBot="1" x14ac:dyDescent="0.35">
      <c r="B19" s="239" t="s">
        <v>340</v>
      </c>
      <c r="C19" s="237" t="s">
        <v>282</v>
      </c>
      <c r="D19" s="237" t="s">
        <v>792</v>
      </c>
      <c r="E19" s="237" t="s">
        <v>305</v>
      </c>
      <c r="F19" s="716" t="s">
        <v>341</v>
      </c>
      <c r="G19" s="237" t="s">
        <v>282</v>
      </c>
      <c r="H19" s="237" t="s">
        <v>792</v>
      </c>
      <c r="I19" s="237" t="s">
        <v>305</v>
      </c>
      <c r="J19" s="201"/>
      <c r="K19" s="163"/>
    </row>
    <row r="20" spans="2:11" s="196" customFormat="1" ht="14.4" x14ac:dyDescent="0.3">
      <c r="B20" s="243" t="s">
        <v>457</v>
      </c>
      <c r="C20" s="718">
        <f>+C21+C22+C23</f>
        <v>574643</v>
      </c>
      <c r="D20" s="718">
        <f t="shared" ref="D20:E20" si="5">+D21+D22+D23</f>
        <v>90306</v>
      </c>
      <c r="E20" s="718">
        <f t="shared" si="5"/>
        <v>664949</v>
      </c>
      <c r="F20" s="244" t="s">
        <v>415</v>
      </c>
      <c r="G20" s="518">
        <f>(+G21+G22)+G23</f>
        <v>1550346</v>
      </c>
      <c r="H20" s="518">
        <f t="shared" ref="H20:I20" si="6">(+H21+H22)+H23</f>
        <v>21297</v>
      </c>
      <c r="I20" s="518">
        <f t="shared" si="6"/>
        <v>1571643</v>
      </c>
      <c r="J20" s="201"/>
      <c r="K20" s="222"/>
    </row>
    <row r="21" spans="2:11" s="196" customFormat="1" ht="14.4" x14ac:dyDescent="0.3">
      <c r="B21" s="242" t="s">
        <v>753</v>
      </c>
      <c r="C21" s="362">
        <f>+'1.mell. Mérleg'!C16</f>
        <v>574643</v>
      </c>
      <c r="D21" s="362">
        <f>+'1.mell. Mérleg'!D16</f>
        <v>90306</v>
      </c>
      <c r="E21" s="362">
        <f>+'1.mell. Mérleg'!E16</f>
        <v>664949</v>
      </c>
      <c r="F21" s="203" t="s">
        <v>161</v>
      </c>
      <c r="G21" s="221">
        <f>+'1.mell. Mérleg'!C38</f>
        <v>1465764</v>
      </c>
      <c r="H21" s="221">
        <f>+'1.mell. Mérleg'!D38</f>
        <v>-3448</v>
      </c>
      <c r="I21" s="221">
        <f>+'1.mell. Mérleg'!E38</f>
        <v>1462316</v>
      </c>
      <c r="J21" s="201"/>
      <c r="K21" s="163"/>
    </row>
    <row r="22" spans="2:11" s="196" customFormat="1" ht="14.4" x14ac:dyDescent="0.3">
      <c r="B22" s="242" t="s">
        <v>348</v>
      </c>
      <c r="C22" s="362">
        <f>+'3.mell. Bevétel'!C70</f>
        <v>0</v>
      </c>
      <c r="D22" s="362">
        <f>+'3.mell. Bevétel'!D70</f>
        <v>0</v>
      </c>
      <c r="E22" s="362">
        <f>+'3.mell. Bevétel'!E70</f>
        <v>0</v>
      </c>
      <c r="F22" s="203" t="s">
        <v>316</v>
      </c>
      <c r="G22" s="221">
        <f>+'5. mell. Önk.össz kiadás'!D23</f>
        <v>84582</v>
      </c>
      <c r="H22" s="221">
        <f>+'5. mell. Önk.össz kiadás'!E23</f>
        <v>24745</v>
      </c>
      <c r="I22" s="221">
        <f>+'5. mell. Önk.össz kiadás'!F23</f>
        <v>109327</v>
      </c>
      <c r="J22" s="201"/>
      <c r="K22" s="163"/>
    </row>
    <row r="23" spans="2:11" s="196" customFormat="1" ht="14.4" x14ac:dyDescent="0.3">
      <c r="B23" s="242" t="s">
        <v>661</v>
      </c>
      <c r="C23" s="235">
        <f>+'3.mell. Bevétel'!C66</f>
        <v>0</v>
      </c>
      <c r="D23" s="235">
        <f>+'3.mell. Bevétel'!D66</f>
        <v>0</v>
      </c>
      <c r="E23" s="235">
        <f>+'3.mell. Bevétel'!E66</f>
        <v>0</v>
      </c>
      <c r="F23" s="203" t="s">
        <v>422</v>
      </c>
      <c r="G23" s="221">
        <f>+'5. mell. Önk.össz kiadás'!D25</f>
        <v>0</v>
      </c>
      <c r="H23" s="221">
        <f>+'5. mell. Önk.össz kiadás'!E25</f>
        <v>0</v>
      </c>
      <c r="I23" s="221">
        <f>+'5. mell. Önk.össz kiadás'!F25</f>
        <v>0</v>
      </c>
      <c r="J23" s="201"/>
      <c r="K23" s="163"/>
    </row>
    <row r="24" spans="2:11" s="196" customFormat="1" ht="14.4" x14ac:dyDescent="0.3">
      <c r="B24" s="240" t="s">
        <v>287</v>
      </c>
      <c r="C24" s="422">
        <f>+C25+C26</f>
        <v>1002908</v>
      </c>
      <c r="D24" s="422">
        <f t="shared" ref="D24:E24" si="7">+D25+D26</f>
        <v>850000</v>
      </c>
      <c r="E24" s="422">
        <f t="shared" si="7"/>
        <v>1852908</v>
      </c>
      <c r="F24" s="203"/>
      <c r="G24" s="203"/>
      <c r="H24" s="223"/>
      <c r="I24" s="205"/>
      <c r="J24" s="201"/>
      <c r="K24" s="163"/>
    </row>
    <row r="25" spans="2:11" s="196" customFormat="1" ht="14.4" x14ac:dyDescent="0.3">
      <c r="B25" s="242" t="s">
        <v>386</v>
      </c>
      <c r="C25" s="238">
        <f>+'3.mell. Bevétel'!C77</f>
        <v>622908</v>
      </c>
      <c r="D25" s="238">
        <f>+'3.mell. Bevétel'!D77</f>
        <v>0</v>
      </c>
      <c r="E25" s="238">
        <f>+'3.mell. Bevétel'!E77</f>
        <v>622908</v>
      </c>
      <c r="F25" s="209" t="s">
        <v>277</v>
      </c>
      <c r="G25" s="224">
        <f>+'1.mell. Mérleg'!C42</f>
        <v>0</v>
      </c>
      <c r="H25" s="224">
        <f>+'1.mell. Mérleg'!D42</f>
        <v>866154</v>
      </c>
      <c r="I25" s="224">
        <f>+'1.mell. Mérleg'!E42</f>
        <v>866154</v>
      </c>
      <c r="J25" s="201"/>
      <c r="K25" s="163"/>
    </row>
    <row r="26" spans="2:11" s="215" customFormat="1" ht="18.75" customHeight="1" x14ac:dyDescent="0.3">
      <c r="B26" s="710" t="s">
        <v>750</v>
      </c>
      <c r="C26" s="238">
        <f>+'3.mell. Bevétel'!C74</f>
        <v>380000</v>
      </c>
      <c r="D26" s="238">
        <f>+'3.mell. Bevétel'!D74</f>
        <v>850000</v>
      </c>
      <c r="E26" s="238">
        <f>+'3.mell. Bevétel'!E74</f>
        <v>1230000</v>
      </c>
      <c r="F26" s="203"/>
      <c r="G26" s="223"/>
      <c r="H26" s="221"/>
      <c r="I26" s="205"/>
      <c r="J26" s="201"/>
      <c r="K26" s="163"/>
    </row>
    <row r="27" spans="2:11" s="215" customFormat="1" ht="15" thickBot="1" x14ac:dyDescent="0.35">
      <c r="B27" s="514" t="s">
        <v>349</v>
      </c>
      <c r="C27" s="515">
        <f>+C20+C24</f>
        <v>1577551</v>
      </c>
      <c r="D27" s="515">
        <f t="shared" ref="D27:E27" si="8">+D20+D24</f>
        <v>940306</v>
      </c>
      <c r="E27" s="515">
        <f t="shared" si="8"/>
        <v>2517857</v>
      </c>
      <c r="F27" s="225" t="s">
        <v>349</v>
      </c>
      <c r="G27" s="226">
        <f>+G25+G20</f>
        <v>1550346</v>
      </c>
      <c r="H27" s="226">
        <f t="shared" ref="H27:I27" si="9">+H25+H20</f>
        <v>887451</v>
      </c>
      <c r="I27" s="226">
        <f t="shared" si="9"/>
        <v>2437797</v>
      </c>
      <c r="J27" s="201"/>
      <c r="K27" s="163"/>
    </row>
    <row r="28" spans="2:11" ht="15" thickBot="1" x14ac:dyDescent="0.35">
      <c r="B28" s="516" t="s">
        <v>281</v>
      </c>
      <c r="C28" s="517">
        <f>C16+C27</f>
        <v>3063004</v>
      </c>
      <c r="D28" s="517">
        <f t="shared" ref="D28:E28" si="10">D16+D27</f>
        <v>989724</v>
      </c>
      <c r="E28" s="517">
        <f t="shared" si="10"/>
        <v>4052728</v>
      </c>
      <c r="F28" s="227" t="s">
        <v>281</v>
      </c>
      <c r="G28" s="527">
        <f>G16+G27</f>
        <v>3063003.91</v>
      </c>
      <c r="H28" s="527">
        <f t="shared" ref="H28:I28" si="11">H16+H27</f>
        <v>989724</v>
      </c>
      <c r="I28" s="527">
        <f t="shared" si="11"/>
        <v>4052727.91</v>
      </c>
      <c r="J28" s="163"/>
      <c r="K28" s="720"/>
    </row>
    <row r="29" spans="2:11" ht="14.4" x14ac:dyDescent="0.3">
      <c r="B29" s="228"/>
      <c r="C29" s="513"/>
      <c r="D29" s="229"/>
      <c r="E29" s="229"/>
      <c r="F29" s="228"/>
      <c r="G29" s="228"/>
      <c r="H29" s="228"/>
      <c r="I29" s="228"/>
      <c r="J29" s="163"/>
      <c r="K29" s="163"/>
    </row>
    <row r="30" spans="2:11" ht="14.4" x14ac:dyDescent="0.3">
      <c r="B30" s="234"/>
      <c r="C30" s="230"/>
      <c r="D30" s="230"/>
      <c r="E30" s="230"/>
      <c r="F30" s="230"/>
      <c r="G30" s="230"/>
      <c r="H30" s="230"/>
      <c r="I30" s="230"/>
      <c r="J30" s="163"/>
      <c r="K30" s="163"/>
    </row>
    <row r="31" spans="2:11" ht="14.4" x14ac:dyDescent="0.3">
      <c r="B31" s="163"/>
      <c r="C31" s="230"/>
      <c r="D31" s="230"/>
      <c r="E31" s="230"/>
      <c r="F31" s="230"/>
      <c r="G31" s="230"/>
      <c r="H31" s="230"/>
      <c r="I31" s="163"/>
      <c r="J31" s="163"/>
      <c r="K31" s="163"/>
    </row>
    <row r="32" spans="2:11" ht="14.4" x14ac:dyDescent="0.3"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2:9" ht="12.75" customHeight="1" x14ac:dyDescent="0.3">
      <c r="B33" s="163"/>
      <c r="C33" s="230"/>
      <c r="D33" s="230"/>
      <c r="E33" s="230"/>
      <c r="F33" s="163"/>
      <c r="G33" s="163"/>
      <c r="H33" s="163"/>
      <c r="I33" s="23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&amp;C&amp;"Times New Roman,Félkövér"&amp;14Martonvásár Város Önkormányzata 2018.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view="pageLayout" zoomScaleNormal="100" workbookViewId="0">
      <selection activeCell="H21" sqref="H21"/>
    </sheetView>
  </sheetViews>
  <sheetFormatPr defaultColWidth="9.109375" defaultRowHeight="13.2" x14ac:dyDescent="0.25"/>
  <cols>
    <col min="1" max="1" width="5.6640625" style="798" customWidth="1"/>
    <col min="2" max="2" width="21" style="798" customWidth="1"/>
    <col min="3" max="3" width="7.44140625" style="798" customWidth="1"/>
    <col min="4" max="4" width="7.5546875" style="798" customWidth="1"/>
    <col min="5" max="5" width="7.33203125" style="798" customWidth="1"/>
    <col min="6" max="6" width="7.44140625" style="798" customWidth="1"/>
    <col min="7" max="7" width="6.6640625" style="798" customWidth="1"/>
    <col min="8" max="8" width="7.88671875" style="798" customWidth="1"/>
    <col min="9" max="9" width="7.5546875" style="798" bestFit="1" customWidth="1"/>
    <col min="10" max="10" width="8.6640625" style="798" customWidth="1"/>
    <col min="11" max="11" width="8" style="798" hidden="1" customWidth="1"/>
    <col min="12" max="12" width="8.88671875" style="798" hidden="1" customWidth="1"/>
    <col min="13" max="13" width="8.109375" style="798" customWidth="1"/>
    <col min="14" max="14" width="8.5546875" style="798" hidden="1" customWidth="1"/>
    <col min="15" max="15" width="7.88671875" style="798" customWidth="1"/>
    <col min="16" max="16" width="8.109375" style="798" customWidth="1"/>
    <col min="17" max="17" width="8.109375" style="798" hidden="1" customWidth="1"/>
    <col min="18" max="18" width="8.109375" style="798" customWidth="1"/>
    <col min="19" max="19" width="10" style="798" hidden="1" customWidth="1"/>
    <col min="20" max="20" width="8.109375" style="798" hidden="1" customWidth="1"/>
    <col min="21" max="21" width="8.88671875" style="798" customWidth="1"/>
    <col min="22" max="22" width="9" style="798" customWidth="1"/>
    <col min="23" max="23" width="9.44140625" style="798" customWidth="1"/>
    <col min="24" max="25" width="7.109375" style="798" customWidth="1"/>
    <col min="26" max="27" width="8.109375" style="798" customWidth="1"/>
    <col min="28" max="28" width="7.33203125" style="798" customWidth="1"/>
    <col min="29" max="29" width="7.88671875" style="798" customWidth="1"/>
    <col min="30" max="30" width="9.109375" style="798" customWidth="1"/>
    <col min="31" max="31" width="8.5546875" style="798" customWidth="1"/>
    <col min="32" max="32" width="7.6640625" style="798" customWidth="1"/>
    <col min="33" max="33" width="7.5546875" style="798" customWidth="1"/>
    <col min="34" max="34" width="8.6640625" style="798" customWidth="1"/>
    <col min="35" max="35" width="9.33203125" style="798" customWidth="1"/>
    <col min="36" max="16384" width="9.109375" style="798"/>
  </cols>
  <sheetData>
    <row r="1" spans="1:40" ht="13.8" thickBot="1" x14ac:dyDescent="0.3">
      <c r="AG1" s="1314" t="s">
        <v>393</v>
      </c>
      <c r="AH1" s="1314"/>
      <c r="AI1" s="1314"/>
    </row>
    <row r="2" spans="1:40" ht="31.5" customHeight="1" x14ac:dyDescent="0.25">
      <c r="A2" s="1315" t="s">
        <v>350</v>
      </c>
      <c r="B2" s="1320" t="s">
        <v>799</v>
      </c>
      <c r="C2" s="1321" t="s">
        <v>311</v>
      </c>
      <c r="D2" s="1321"/>
      <c r="E2" s="1321"/>
      <c r="F2" s="1321"/>
      <c r="G2" s="1321"/>
      <c r="H2" s="1321"/>
      <c r="I2" s="1321"/>
      <c r="J2" s="1321"/>
      <c r="K2" s="1321"/>
      <c r="L2" s="1321"/>
      <c r="M2" s="1321"/>
      <c r="N2" s="1321"/>
      <c r="O2" s="1321"/>
      <c r="P2" s="1321"/>
      <c r="Q2" s="1321"/>
      <c r="R2" s="1321"/>
      <c r="S2" s="1321"/>
      <c r="T2" s="1321"/>
      <c r="U2" s="1321"/>
      <c r="V2" s="1334" t="s">
        <v>289</v>
      </c>
      <c r="W2" s="1336" t="s">
        <v>303</v>
      </c>
      <c r="X2" s="1337"/>
      <c r="Y2" s="1337"/>
      <c r="Z2" s="1337"/>
      <c r="AA2" s="1337"/>
      <c r="AB2" s="1337"/>
      <c r="AC2" s="1337"/>
      <c r="AD2" s="1337"/>
      <c r="AE2" s="1337"/>
      <c r="AF2" s="1337"/>
      <c r="AG2" s="1337"/>
      <c r="AH2" s="1337"/>
      <c r="AI2" s="1334" t="s">
        <v>800</v>
      </c>
      <c r="AN2" s="800"/>
    </row>
    <row r="3" spans="1:40" ht="25.5" customHeight="1" x14ac:dyDescent="0.25">
      <c r="A3" s="1316"/>
      <c r="B3" s="1305"/>
      <c r="C3" s="1305" t="s">
        <v>829</v>
      </c>
      <c r="D3" s="1305" t="s">
        <v>830</v>
      </c>
      <c r="E3" s="1305" t="s">
        <v>151</v>
      </c>
      <c r="F3" s="1305" t="s">
        <v>844</v>
      </c>
      <c r="G3" s="1305" t="s">
        <v>163</v>
      </c>
      <c r="H3" s="1307"/>
      <c r="I3" s="1305" t="s">
        <v>804</v>
      </c>
      <c r="J3" s="1305" t="s">
        <v>689</v>
      </c>
      <c r="K3" s="1305" t="s">
        <v>845</v>
      </c>
      <c r="L3" s="1305" t="s">
        <v>846</v>
      </c>
      <c r="M3" s="1305" t="s">
        <v>808</v>
      </c>
      <c r="N3" s="1305" t="s">
        <v>809</v>
      </c>
      <c r="O3" s="1305" t="s">
        <v>632</v>
      </c>
      <c r="P3" s="1305" t="s">
        <v>847</v>
      </c>
      <c r="Q3" s="1305" t="s">
        <v>811</v>
      </c>
      <c r="R3" s="1305" t="s">
        <v>812</v>
      </c>
      <c r="S3" s="1310" t="s">
        <v>813</v>
      </c>
      <c r="T3" s="1305" t="s">
        <v>814</v>
      </c>
      <c r="U3" s="1305" t="s">
        <v>848</v>
      </c>
      <c r="V3" s="1335"/>
      <c r="W3" s="1333" t="s">
        <v>816</v>
      </c>
      <c r="X3" s="1305" t="s">
        <v>817</v>
      </c>
      <c r="Y3" s="1310" t="s">
        <v>808</v>
      </c>
      <c r="Z3" s="1305" t="s">
        <v>818</v>
      </c>
      <c r="AA3" s="1305" t="s">
        <v>819</v>
      </c>
      <c r="AB3" s="1305" t="s">
        <v>820</v>
      </c>
      <c r="AC3" s="1305" t="s">
        <v>661</v>
      </c>
      <c r="AD3" s="1305" t="s">
        <v>821</v>
      </c>
      <c r="AE3" s="1305" t="s">
        <v>822</v>
      </c>
      <c r="AF3" s="1305" t="s">
        <v>823</v>
      </c>
      <c r="AG3" s="1305" t="s">
        <v>824</v>
      </c>
      <c r="AH3" s="1305" t="s">
        <v>857</v>
      </c>
      <c r="AI3" s="1335"/>
    </row>
    <row r="4" spans="1:40" ht="27" customHeight="1" x14ac:dyDescent="0.25">
      <c r="A4" s="1316"/>
      <c r="B4" s="1305"/>
      <c r="C4" s="1305"/>
      <c r="D4" s="1305"/>
      <c r="E4" s="1305"/>
      <c r="F4" s="1305"/>
      <c r="G4" s="891" t="s">
        <v>825</v>
      </c>
      <c r="H4" s="891" t="s">
        <v>826</v>
      </c>
      <c r="I4" s="1305"/>
      <c r="J4" s="1305"/>
      <c r="K4" s="1305"/>
      <c r="L4" s="1305"/>
      <c r="M4" s="1305"/>
      <c r="N4" s="1305"/>
      <c r="O4" s="1305"/>
      <c r="P4" s="1305"/>
      <c r="Q4" s="1305"/>
      <c r="R4" s="1305"/>
      <c r="S4" s="1311"/>
      <c r="T4" s="1307"/>
      <c r="U4" s="1307"/>
      <c r="V4" s="1335"/>
      <c r="W4" s="1333"/>
      <c r="X4" s="1305"/>
      <c r="Y4" s="1311"/>
      <c r="Z4" s="1306"/>
      <c r="AA4" s="1306"/>
      <c r="AB4" s="1305"/>
      <c r="AC4" s="1306"/>
      <c r="AD4" s="1306"/>
      <c r="AE4" s="1306"/>
      <c r="AF4" s="1305"/>
      <c r="AG4" s="1305"/>
      <c r="AH4" s="1305"/>
      <c r="AI4" s="1335"/>
    </row>
    <row r="5" spans="1:40" x14ac:dyDescent="0.25">
      <c r="A5" s="835">
        <v>1</v>
      </c>
      <c r="B5" s="848" t="s">
        <v>849</v>
      </c>
      <c r="C5" s="849">
        <f>+'12.a Tételes mód ÖNK'!D50</f>
        <v>-180</v>
      </c>
      <c r="D5" s="849">
        <f>+'12.a Tételes mód ÖNK'!E50</f>
        <v>-70</v>
      </c>
      <c r="E5" s="849">
        <f>+'12.a Tételes mód ÖNK'!F50</f>
        <v>70478</v>
      </c>
      <c r="F5" s="849">
        <f>+'12.a Tételes mód ÖNK'!G50</f>
        <v>0</v>
      </c>
      <c r="G5" s="849">
        <f>+'12.a Tételes mód ÖNK'!H50</f>
        <v>487</v>
      </c>
      <c r="H5" s="849">
        <f>+'12.a Tételes mód ÖNK'!I50</f>
        <v>100</v>
      </c>
      <c r="I5" s="849">
        <f>+'12.a Tételes mód ÖNK'!J50</f>
        <v>-3562</v>
      </c>
      <c r="J5" s="849">
        <f>+'12.a Tételes mód ÖNK'!K50</f>
        <v>24745</v>
      </c>
      <c r="K5" s="849">
        <f>+'12.a Tételes mód ÖNK'!L50</f>
        <v>0</v>
      </c>
      <c r="L5" s="849">
        <f>+'12.a Tételes mód ÖNK'!M50</f>
        <v>16154</v>
      </c>
      <c r="M5" s="849">
        <f>+'12.a Tételes mód ÖNK'!N50</f>
        <v>2818</v>
      </c>
      <c r="N5" s="849">
        <f>+'12.a Tételes mód ÖNK'!O50</f>
        <v>0</v>
      </c>
      <c r="O5" s="849">
        <f>+'12.a Tételes mód ÖNK'!P50</f>
        <v>8241</v>
      </c>
      <c r="P5" s="849">
        <f>+'12.a Tételes mód ÖNK'!Q50</f>
        <v>-1499</v>
      </c>
      <c r="Q5" s="849">
        <f>+'12.a Tételes mód ÖNK'!R50</f>
        <v>20000</v>
      </c>
      <c r="R5" s="849">
        <f>+'12.a Tételes mód ÖNK'!S50</f>
        <v>-297</v>
      </c>
      <c r="S5" s="849">
        <f>+'12.a Tételes mód ÖNK'!T50</f>
        <v>0</v>
      </c>
      <c r="T5" s="849">
        <f>+'12.a Tételes mód ÖNK'!U50</f>
        <v>0</v>
      </c>
      <c r="U5" s="849">
        <f>+'12.a Tételes mód ÖNK'!V50</f>
        <v>850000</v>
      </c>
      <c r="V5" s="850">
        <f>SUM(C5:U5)</f>
        <v>987415</v>
      </c>
      <c r="W5" s="1048">
        <f>+'12.a Tételes mód ÖNK'!X50</f>
        <v>0</v>
      </c>
      <c r="X5" s="847">
        <f>+'12.a Tételes mód ÖNK'!Y50</f>
        <v>0</v>
      </c>
      <c r="Y5" s="847"/>
      <c r="Z5" s="847">
        <f>+'12.a Tételes mód ÖNK'!Z50</f>
        <v>1429</v>
      </c>
      <c r="AA5" s="847">
        <f>+'12.a Tételes mód ÖNK'!AA50</f>
        <v>3087</v>
      </c>
      <c r="AB5" s="847">
        <f>+'12.a Tételes mód ÖNK'!AB50</f>
        <v>650</v>
      </c>
      <c r="AC5" s="847">
        <f>+'12.a Tételes mód ÖNK'!AD50</f>
        <v>0</v>
      </c>
      <c r="AD5" s="847"/>
      <c r="AE5" s="847">
        <f>+'12.a Tételes mód ÖNK'!AE50</f>
        <v>90306</v>
      </c>
      <c r="AF5" s="847"/>
      <c r="AG5" s="847">
        <f>+'12.a Tételes mód ÖNK'!AG50</f>
        <v>850000</v>
      </c>
      <c r="AH5" s="847">
        <f>+'12.a Tételes mód ÖNK'!AH50</f>
        <v>41943</v>
      </c>
      <c r="AI5" s="850">
        <f>SUM(W5:AH5)</f>
        <v>987415</v>
      </c>
    </row>
    <row r="6" spans="1:40" x14ac:dyDescent="0.25">
      <c r="A6" s="835">
        <v>2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  <c r="R6" s="836"/>
      <c r="S6" s="836"/>
      <c r="T6" s="836"/>
      <c r="U6" s="836"/>
      <c r="V6" s="850">
        <f t="shared" ref="V6:V9" si="0">SUM(C6:U6)</f>
        <v>0</v>
      </c>
      <c r="W6" s="1049"/>
      <c r="X6" s="836"/>
      <c r="Y6" s="836"/>
      <c r="Z6" s="836"/>
      <c r="AA6" s="836"/>
      <c r="AB6" s="836"/>
      <c r="AC6" s="836"/>
      <c r="AD6" s="836"/>
      <c r="AE6" s="836"/>
      <c r="AF6" s="836"/>
      <c r="AG6" s="836"/>
      <c r="AH6" s="836"/>
      <c r="AI6" s="851"/>
    </row>
    <row r="7" spans="1:40" x14ac:dyDescent="0.25">
      <c r="A7" s="835">
        <v>3</v>
      </c>
      <c r="B7" s="836" t="s">
        <v>292</v>
      </c>
      <c r="C7" s="837">
        <f>+'12.b Tételes mód PH'!E19</f>
        <v>1050</v>
      </c>
      <c r="D7" s="837">
        <f>+'12.b Tételes mód PH'!F19</f>
        <v>201</v>
      </c>
      <c r="E7" s="837">
        <f>+'12.b Tételes mód PH'!M19</f>
        <v>543</v>
      </c>
      <c r="F7" s="837"/>
      <c r="G7" s="837">
        <f>+'12.b Tételes mód PH'!N19</f>
        <v>420</v>
      </c>
      <c r="H7" s="837"/>
      <c r="I7" s="837"/>
      <c r="J7" s="837"/>
      <c r="K7" s="837"/>
      <c r="L7" s="837"/>
      <c r="M7" s="837"/>
      <c r="N7" s="836"/>
      <c r="O7" s="836"/>
      <c r="P7" s="836"/>
      <c r="Q7" s="836"/>
      <c r="R7" s="836"/>
      <c r="S7" s="836"/>
      <c r="T7" s="836"/>
      <c r="U7" s="836"/>
      <c r="V7" s="850">
        <f t="shared" si="0"/>
        <v>2214</v>
      </c>
      <c r="W7" s="1050"/>
      <c r="X7" s="837">
        <f>+'12.b Tételes mód PH'!U19</f>
        <v>500</v>
      </c>
      <c r="Y7" s="837">
        <f>+'12.b Tételes mód PH'!V19</f>
        <v>120</v>
      </c>
      <c r="Z7" s="837">
        <f>+'12.b Tételes mód PH'!W19</f>
        <v>1174</v>
      </c>
      <c r="AA7" s="837"/>
      <c r="AB7" s="837"/>
      <c r="AC7" s="837"/>
      <c r="AD7" s="837"/>
      <c r="AE7" s="836"/>
      <c r="AF7" s="837"/>
      <c r="AG7" s="837"/>
      <c r="AH7" s="837">
        <f>+'12.b Tételes mód PH'!AB19</f>
        <v>420</v>
      </c>
      <c r="AI7" s="852">
        <f>SUM(W7:AH7)</f>
        <v>2214</v>
      </c>
    </row>
    <row r="8" spans="1:40" x14ac:dyDescent="0.25">
      <c r="A8" s="835">
        <v>4</v>
      </c>
      <c r="B8" s="836" t="s">
        <v>293</v>
      </c>
      <c r="C8" s="837">
        <f>+'12.c Tételes mód Óvoda'!C23</f>
        <v>-200</v>
      </c>
      <c r="D8" s="837">
        <f>+'12.c Tételes mód Óvoda'!D23</f>
        <v>57</v>
      </c>
      <c r="E8" s="837">
        <f>+'12.c Tételes mód Óvoda'!E23</f>
        <v>477</v>
      </c>
      <c r="F8" s="837"/>
      <c r="G8" s="837">
        <f>+'12.c Tételes mód Óvoda'!F23</f>
        <v>113</v>
      </c>
      <c r="H8" s="837">
        <f>+'12.c Tételes mód Óvoda'!G23</f>
        <v>0</v>
      </c>
      <c r="I8" s="837">
        <f>+'12.c Tételes mód Óvoda'!H23</f>
        <v>42</v>
      </c>
      <c r="J8" s="837"/>
      <c r="K8" s="837"/>
      <c r="L8" s="836"/>
      <c r="M8" s="836"/>
      <c r="N8" s="836"/>
      <c r="O8" s="836"/>
      <c r="P8" s="836"/>
      <c r="Q8" s="836"/>
      <c r="R8" s="836"/>
      <c r="S8" s="836"/>
      <c r="T8" s="836"/>
      <c r="U8" s="836"/>
      <c r="V8" s="850">
        <f t="shared" si="0"/>
        <v>489</v>
      </c>
      <c r="W8" s="1050"/>
      <c r="X8" s="837">
        <f>+'12.c Tételes mód Óvoda'!M23</f>
        <v>4</v>
      </c>
      <c r="Y8" s="837">
        <f>+'12.c Tételes mód Óvoda'!N23</f>
        <v>372</v>
      </c>
      <c r="Z8" s="837"/>
      <c r="AA8" s="837"/>
      <c r="AB8" s="837"/>
      <c r="AC8" s="837"/>
      <c r="AD8" s="837"/>
      <c r="AE8" s="837"/>
      <c r="AF8" s="837"/>
      <c r="AG8" s="837"/>
      <c r="AH8" s="837">
        <f>+'12.c Tételes mód Óvoda'!T23</f>
        <v>113</v>
      </c>
      <c r="AI8" s="852">
        <f>SUM(W8:AH8)</f>
        <v>489</v>
      </c>
    </row>
    <row r="9" spans="1:40" x14ac:dyDescent="0.25">
      <c r="A9" s="835">
        <v>5</v>
      </c>
      <c r="B9" s="836" t="s">
        <v>366</v>
      </c>
      <c r="C9" s="837">
        <f>+'12.d Tételes mód BBK'!D11</f>
        <v>628</v>
      </c>
      <c r="D9" s="837">
        <f>+'12.d Tételes mód BBK'!E11</f>
        <v>127</v>
      </c>
      <c r="E9" s="837">
        <f>+'12.d Tételes mód BBK'!L11</f>
        <v>1515</v>
      </c>
      <c r="F9" s="837">
        <f>+'12.d Tételes mód BBK'!G11</f>
        <v>0</v>
      </c>
      <c r="G9" s="837">
        <f>+'12.d Tételes mód BBK'!M11</f>
        <v>82</v>
      </c>
      <c r="H9" s="837">
        <f>+'12.d Tételes mód BBK'!I11</f>
        <v>0</v>
      </c>
      <c r="I9" s="837">
        <f>+'12.d Tételes mód BBK'!O11</f>
        <v>72</v>
      </c>
      <c r="J9" s="837"/>
      <c r="K9" s="837"/>
      <c r="L9" s="837"/>
      <c r="M9" s="837"/>
      <c r="N9" s="837"/>
      <c r="O9" s="837"/>
      <c r="P9" s="837"/>
      <c r="Q9" s="837"/>
      <c r="R9" s="837"/>
      <c r="S9" s="837"/>
      <c r="T9" s="837"/>
      <c r="U9" s="836"/>
      <c r="V9" s="850">
        <f t="shared" si="0"/>
        <v>2424</v>
      </c>
      <c r="W9" s="1050"/>
      <c r="X9" s="837">
        <f>+'12.d Tételes mód BBK'!T11</f>
        <v>16</v>
      </c>
      <c r="Y9" s="837">
        <f>+'12.d Tételes mód BBK'!U11</f>
        <v>2326</v>
      </c>
      <c r="Z9" s="837"/>
      <c r="AA9" s="837"/>
      <c r="AB9" s="837"/>
      <c r="AC9" s="837"/>
      <c r="AD9" s="837"/>
      <c r="AE9" s="837"/>
      <c r="AF9" s="837"/>
      <c r="AG9" s="837"/>
      <c r="AH9" s="837">
        <f>+'12.d Tételes mód BBK'!AA11</f>
        <v>82</v>
      </c>
      <c r="AI9" s="853">
        <f>SUM(X9:AH9)</f>
        <v>2424</v>
      </c>
    </row>
    <row r="10" spans="1:40" x14ac:dyDescent="0.25">
      <c r="A10" s="835">
        <v>6</v>
      </c>
      <c r="B10" s="848" t="s">
        <v>301</v>
      </c>
      <c r="C10" s="848">
        <f t="shared" ref="C10:K10" si="1">SUM(C7:C9)</f>
        <v>1478</v>
      </c>
      <c r="D10" s="848">
        <f t="shared" si="1"/>
        <v>385</v>
      </c>
      <c r="E10" s="848">
        <f t="shared" si="1"/>
        <v>2535</v>
      </c>
      <c r="F10" s="848">
        <f t="shared" si="1"/>
        <v>0</v>
      </c>
      <c r="G10" s="848">
        <f t="shared" si="1"/>
        <v>615</v>
      </c>
      <c r="H10" s="849">
        <f t="shared" si="1"/>
        <v>0</v>
      </c>
      <c r="I10" s="849">
        <f t="shared" si="1"/>
        <v>114</v>
      </c>
      <c r="J10" s="848">
        <f t="shared" si="1"/>
        <v>0</v>
      </c>
      <c r="K10" s="848">
        <f t="shared" si="1"/>
        <v>0</v>
      </c>
      <c r="L10" s="848"/>
      <c r="M10" s="848">
        <f>SUM(M7:M9)</f>
        <v>0</v>
      </c>
      <c r="N10" s="848">
        <f>SUM(N7:N9)</f>
        <v>0</v>
      </c>
      <c r="O10" s="848">
        <f>SUM(O7:O9)</f>
        <v>0</v>
      </c>
      <c r="P10" s="848"/>
      <c r="Q10" s="848"/>
      <c r="R10" s="848"/>
      <c r="S10" s="848">
        <f t="shared" ref="S10:AD10" si="2">SUM(S7:S9)</f>
        <v>0</v>
      </c>
      <c r="T10" s="848"/>
      <c r="U10" s="848">
        <f t="shared" si="2"/>
        <v>0</v>
      </c>
      <c r="V10" s="853">
        <f t="shared" si="2"/>
        <v>5127</v>
      </c>
      <c r="W10" s="1051">
        <f t="shared" si="2"/>
        <v>0</v>
      </c>
      <c r="X10" s="849">
        <f>SUM(X7:X9)</f>
        <v>520</v>
      </c>
      <c r="Y10" s="849">
        <f>SUM(Y7:Y9)</f>
        <v>2818</v>
      </c>
      <c r="Z10" s="848">
        <f t="shared" si="2"/>
        <v>1174</v>
      </c>
      <c r="AA10" s="848">
        <f t="shared" si="2"/>
        <v>0</v>
      </c>
      <c r="AB10" s="848">
        <f t="shared" si="2"/>
        <v>0</v>
      </c>
      <c r="AC10" s="848">
        <f t="shared" si="2"/>
        <v>0</v>
      </c>
      <c r="AD10" s="848">
        <f t="shared" si="2"/>
        <v>0</v>
      </c>
      <c r="AE10" s="848"/>
      <c r="AF10" s="848">
        <f>SUM(AF7:AF9)</f>
        <v>0</v>
      </c>
      <c r="AG10" s="848">
        <f>SUM(AG7:AG9)</f>
        <v>0</v>
      </c>
      <c r="AH10" s="848">
        <f>SUM(AH7:AH9)</f>
        <v>615</v>
      </c>
      <c r="AI10" s="853">
        <f>SUM(AI7:AI9)</f>
        <v>5127</v>
      </c>
    </row>
    <row r="11" spans="1:40" x14ac:dyDescent="0.25">
      <c r="A11" s="835">
        <v>7</v>
      </c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6"/>
      <c r="T11" s="836"/>
      <c r="U11" s="836"/>
      <c r="V11" s="851">
        <f>SUM(C11:U11)</f>
        <v>0</v>
      </c>
      <c r="W11" s="1049"/>
      <c r="X11" s="836"/>
      <c r="Y11" s="836"/>
      <c r="Z11" s="836"/>
      <c r="AA11" s="836"/>
      <c r="AB11" s="836"/>
      <c r="AC11" s="836"/>
      <c r="AD11" s="836"/>
      <c r="AE11" s="836"/>
      <c r="AF11" s="836"/>
      <c r="AG11" s="836"/>
      <c r="AH11" s="836"/>
      <c r="AI11" s="853">
        <f>SUM(X11:AH11)</f>
        <v>0</v>
      </c>
    </row>
    <row r="12" spans="1:40" ht="13.8" thickBot="1" x14ac:dyDescent="0.3">
      <c r="A12" s="841">
        <v>8</v>
      </c>
      <c r="B12" s="854" t="s">
        <v>281</v>
      </c>
      <c r="C12" s="855">
        <f t="shared" ref="C12:L12" si="3">C5+C10</f>
        <v>1298</v>
      </c>
      <c r="D12" s="855">
        <f t="shared" si="3"/>
        <v>315</v>
      </c>
      <c r="E12" s="855">
        <f t="shared" si="3"/>
        <v>73013</v>
      </c>
      <c r="F12" s="855">
        <f t="shared" si="3"/>
        <v>0</v>
      </c>
      <c r="G12" s="855">
        <f t="shared" si="3"/>
        <v>1102</v>
      </c>
      <c r="H12" s="855">
        <f t="shared" si="3"/>
        <v>100</v>
      </c>
      <c r="I12" s="855">
        <f t="shared" si="3"/>
        <v>-3448</v>
      </c>
      <c r="J12" s="855">
        <f t="shared" si="3"/>
        <v>24745</v>
      </c>
      <c r="K12" s="855">
        <f t="shared" si="3"/>
        <v>0</v>
      </c>
      <c r="L12" s="855">
        <f t="shared" si="3"/>
        <v>16154</v>
      </c>
      <c r="M12" s="855"/>
      <c r="N12" s="855">
        <f t="shared" ref="N12:U12" si="4">N5+N10</f>
        <v>0</v>
      </c>
      <c r="O12" s="855">
        <f t="shared" si="4"/>
        <v>8241</v>
      </c>
      <c r="P12" s="855">
        <f t="shared" si="4"/>
        <v>-1499</v>
      </c>
      <c r="Q12" s="855">
        <f t="shared" si="4"/>
        <v>20000</v>
      </c>
      <c r="R12" s="855">
        <f t="shared" si="4"/>
        <v>-297</v>
      </c>
      <c r="S12" s="855">
        <f t="shared" si="4"/>
        <v>0</v>
      </c>
      <c r="T12" s="855">
        <f t="shared" si="4"/>
        <v>0</v>
      </c>
      <c r="U12" s="855">
        <f t="shared" si="4"/>
        <v>850000</v>
      </c>
      <c r="V12" s="856">
        <f>SUM(C12:U12)</f>
        <v>989724</v>
      </c>
      <c r="W12" s="1052">
        <f>W5+W10</f>
        <v>0</v>
      </c>
      <c r="X12" s="855">
        <f>X5+X10</f>
        <v>520</v>
      </c>
      <c r="Y12" s="855"/>
      <c r="Z12" s="855">
        <f>SUM(Z5+Z10)</f>
        <v>2603</v>
      </c>
      <c r="AA12" s="855">
        <f t="shared" ref="AA12:AH12" si="5">AA5+AA10</f>
        <v>3087</v>
      </c>
      <c r="AB12" s="855">
        <f t="shared" si="5"/>
        <v>650</v>
      </c>
      <c r="AC12" s="855">
        <f t="shared" si="5"/>
        <v>0</v>
      </c>
      <c r="AD12" s="855">
        <f t="shared" si="5"/>
        <v>0</v>
      </c>
      <c r="AE12" s="855">
        <f t="shared" si="5"/>
        <v>90306</v>
      </c>
      <c r="AF12" s="855">
        <f t="shared" si="5"/>
        <v>0</v>
      </c>
      <c r="AG12" s="855">
        <f t="shared" si="5"/>
        <v>850000</v>
      </c>
      <c r="AH12" s="855">
        <f t="shared" si="5"/>
        <v>42558</v>
      </c>
      <c r="AI12" s="856">
        <f>SUM(W12:AH12)</f>
        <v>989724</v>
      </c>
    </row>
  </sheetData>
  <mergeCells count="37"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2018.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Layout" zoomScaleNormal="100" workbookViewId="0">
      <selection activeCell="C77" sqref="C77"/>
    </sheetView>
  </sheetViews>
  <sheetFormatPr defaultColWidth="9.109375" defaultRowHeight="13.2" x14ac:dyDescent="0.25"/>
  <cols>
    <col min="1" max="1" width="6.33203125" style="82" customWidth="1"/>
    <col min="2" max="2" width="57" style="79" customWidth="1"/>
    <col min="3" max="3" width="12.88671875" style="79" customWidth="1"/>
    <col min="4" max="4" width="12.6640625" style="79" bestFit="1" customWidth="1"/>
    <col min="5" max="5" width="11.6640625" style="79" customWidth="1"/>
    <col min="6" max="16384" width="9.109375" style="79"/>
  </cols>
  <sheetData>
    <row r="1" spans="1:7" ht="15.6" x14ac:dyDescent="0.3">
      <c r="A1" s="1063"/>
      <c r="B1" s="1063"/>
      <c r="C1" s="1063"/>
      <c r="D1" s="1063"/>
      <c r="E1" s="1063"/>
      <c r="G1" s="467"/>
    </row>
    <row r="2" spans="1:7" ht="11.25" customHeight="1" x14ac:dyDescent="0.25">
      <c r="B2" s="344"/>
      <c r="C2" s="1066" t="s">
        <v>390</v>
      </c>
      <c r="D2" s="1066"/>
      <c r="E2" s="1066"/>
    </row>
    <row r="3" spans="1:7" s="75" customFormat="1" ht="15" customHeight="1" x14ac:dyDescent="0.3">
      <c r="A3" s="1064" t="s">
        <v>0</v>
      </c>
      <c r="B3" s="1064" t="s">
        <v>182</v>
      </c>
      <c r="C3" s="1065" t="s">
        <v>705</v>
      </c>
      <c r="D3" s="1065"/>
      <c r="E3" s="1065"/>
    </row>
    <row r="4" spans="1:7" s="76" customFormat="1" ht="26.4" x14ac:dyDescent="0.3">
      <c r="A4" s="1064"/>
      <c r="B4" s="1064"/>
      <c r="C4" s="3" t="s">
        <v>177</v>
      </c>
      <c r="D4" s="3" t="s">
        <v>792</v>
      </c>
      <c r="E4" s="3" t="s">
        <v>794</v>
      </c>
    </row>
    <row r="5" spans="1:7" s="78" customFormat="1" ht="12.75" customHeight="1" x14ac:dyDescent="0.25">
      <c r="A5" s="64" t="s">
        <v>195</v>
      </c>
      <c r="B5" s="14" t="s">
        <v>194</v>
      </c>
      <c r="C5" s="374">
        <v>128756</v>
      </c>
      <c r="D5" s="374"/>
      <c r="E5" s="374">
        <f>+C5+D5</f>
        <v>128756</v>
      </c>
    </row>
    <row r="6" spans="1:7" s="78" customFormat="1" ht="12.75" customHeight="1" x14ac:dyDescent="0.25">
      <c r="A6" s="64" t="s">
        <v>197</v>
      </c>
      <c r="B6" s="59" t="s">
        <v>196</v>
      </c>
      <c r="C6" s="374">
        <v>146671</v>
      </c>
      <c r="D6" s="374"/>
      <c r="E6" s="374">
        <f t="shared" ref="E6:E68" si="0">+C6+D6</f>
        <v>146671</v>
      </c>
    </row>
    <row r="7" spans="1:7" s="78" customFormat="1" ht="12.75" customHeight="1" x14ac:dyDescent="0.25">
      <c r="A7" s="64" t="s">
        <v>199</v>
      </c>
      <c r="B7" s="59" t="s">
        <v>198</v>
      </c>
      <c r="C7" s="374">
        <v>170614</v>
      </c>
      <c r="D7" s="374"/>
      <c r="E7" s="374">
        <f t="shared" si="0"/>
        <v>170614</v>
      </c>
    </row>
    <row r="8" spans="1:7" ht="12.75" customHeight="1" x14ac:dyDescent="0.25">
      <c r="A8" s="64" t="s">
        <v>201</v>
      </c>
      <c r="B8" s="59" t="s">
        <v>200</v>
      </c>
      <c r="C8" s="374">
        <v>6903</v>
      </c>
      <c r="D8" s="374">
        <f>192+564</f>
        <v>756</v>
      </c>
      <c r="E8" s="374">
        <f t="shared" si="0"/>
        <v>7659</v>
      </c>
    </row>
    <row r="9" spans="1:7" s="80" customFormat="1" ht="12.75" customHeight="1" x14ac:dyDescent="0.25">
      <c r="A9" s="64" t="s">
        <v>202</v>
      </c>
      <c r="B9" s="59" t="s">
        <v>637</v>
      </c>
      <c r="C9" s="375"/>
      <c r="D9" s="375">
        <f>158+515</f>
        <v>673</v>
      </c>
      <c r="E9" s="374">
        <f t="shared" si="0"/>
        <v>673</v>
      </c>
    </row>
    <row r="10" spans="1:7" s="80" customFormat="1" ht="12.75" customHeight="1" x14ac:dyDescent="0.25">
      <c r="A10" s="64" t="s">
        <v>203</v>
      </c>
      <c r="B10" s="59" t="s">
        <v>638</v>
      </c>
      <c r="C10" s="375">
        <v>0</v>
      </c>
      <c r="D10" s="375"/>
      <c r="E10" s="374">
        <f t="shared" si="0"/>
        <v>0</v>
      </c>
    </row>
    <row r="11" spans="1:7" ht="12.75" customHeight="1" x14ac:dyDescent="0.25">
      <c r="A11" s="71" t="s">
        <v>204</v>
      </c>
      <c r="B11" s="60" t="s">
        <v>333</v>
      </c>
      <c r="C11" s="376">
        <f>SUM(C5:C10)</f>
        <v>452944</v>
      </c>
      <c r="D11" s="376">
        <f t="shared" ref="D11:E11" si="1">SUM(D5:D10)</f>
        <v>1429</v>
      </c>
      <c r="E11" s="376">
        <f t="shared" si="1"/>
        <v>454373</v>
      </c>
    </row>
    <row r="12" spans="1:7" ht="12.75" customHeight="1" x14ac:dyDescent="0.25">
      <c r="A12" s="509" t="s">
        <v>206</v>
      </c>
      <c r="B12" s="60" t="s">
        <v>205</v>
      </c>
      <c r="C12" s="376">
        <f>SUM(C13:C22)</f>
        <v>28000</v>
      </c>
      <c r="D12" s="376">
        <f t="shared" ref="D12:E12" si="2">SUM(D13:D22)</f>
        <v>3087</v>
      </c>
      <c r="E12" s="376">
        <f t="shared" si="2"/>
        <v>31087</v>
      </c>
    </row>
    <row r="13" spans="1:7" s="94" customFormat="1" ht="12.75" customHeight="1" x14ac:dyDescent="0.25">
      <c r="A13" s="91"/>
      <c r="B13" s="92" t="s">
        <v>334</v>
      </c>
      <c r="C13" s="377">
        <v>600</v>
      </c>
      <c r="D13" s="377"/>
      <c r="E13" s="374">
        <f t="shared" si="0"/>
        <v>600</v>
      </c>
    </row>
    <row r="14" spans="1:7" s="94" customFormat="1" ht="12.75" customHeight="1" x14ac:dyDescent="0.25">
      <c r="A14" s="91"/>
      <c r="B14" s="92" t="s">
        <v>324</v>
      </c>
      <c r="C14" s="377"/>
      <c r="D14" s="377"/>
      <c r="E14" s="374">
        <f t="shared" si="0"/>
        <v>0</v>
      </c>
    </row>
    <row r="15" spans="1:7" s="94" customFormat="1" ht="12.75" customHeight="1" x14ac:dyDescent="0.25">
      <c r="A15" s="91"/>
      <c r="B15" s="92" t="s">
        <v>325</v>
      </c>
      <c r="C15" s="377"/>
      <c r="D15" s="377"/>
      <c r="E15" s="374">
        <f t="shared" si="0"/>
        <v>0</v>
      </c>
    </row>
    <row r="16" spans="1:7" s="94" customFormat="1" ht="12.75" customHeight="1" x14ac:dyDescent="0.25">
      <c r="A16" s="91"/>
      <c r="B16" s="92" t="s">
        <v>326</v>
      </c>
      <c r="C16" s="377">
        <f>9000+250+1080</f>
        <v>10330</v>
      </c>
      <c r="D16" s="377"/>
      <c r="E16" s="374">
        <f t="shared" si="0"/>
        <v>10330</v>
      </c>
    </row>
    <row r="17" spans="1:5" s="94" customFormat="1" ht="12.75" customHeight="1" x14ac:dyDescent="0.25">
      <c r="A17" s="91"/>
      <c r="B17" s="92" t="s">
        <v>327</v>
      </c>
      <c r="C17" s="377">
        <v>13070</v>
      </c>
      <c r="D17" s="377"/>
      <c r="E17" s="374">
        <f t="shared" si="0"/>
        <v>13070</v>
      </c>
    </row>
    <row r="18" spans="1:5" s="94" customFormat="1" ht="12.75" customHeight="1" x14ac:dyDescent="0.25">
      <c r="A18" s="91"/>
      <c r="B18" s="92" t="s">
        <v>328</v>
      </c>
      <c r="C18" s="377"/>
      <c r="D18" s="377"/>
      <c r="E18" s="374">
        <f t="shared" si="0"/>
        <v>0</v>
      </c>
    </row>
    <row r="19" spans="1:5" s="94" customFormat="1" ht="12.75" customHeight="1" x14ac:dyDescent="0.25">
      <c r="A19" s="91"/>
      <c r="B19" s="92" t="s">
        <v>99</v>
      </c>
      <c r="C19" s="377"/>
      <c r="D19" s="377"/>
      <c r="E19" s="374">
        <f t="shared" si="0"/>
        <v>0</v>
      </c>
    </row>
    <row r="20" spans="1:5" s="94" customFormat="1" ht="12.75" customHeight="1" x14ac:dyDescent="0.25">
      <c r="A20" s="91"/>
      <c r="B20" s="92" t="s">
        <v>100</v>
      </c>
      <c r="C20" s="377">
        <v>4000</v>
      </c>
      <c r="D20" s="377">
        <v>3087</v>
      </c>
      <c r="E20" s="374">
        <f t="shared" si="0"/>
        <v>7087</v>
      </c>
    </row>
    <row r="21" spans="1:5" s="94" customFormat="1" ht="12.75" customHeight="1" x14ac:dyDescent="0.25">
      <c r="A21" s="91"/>
      <c r="B21" s="92" t="s">
        <v>329</v>
      </c>
      <c r="C21" s="377"/>
      <c r="D21" s="377"/>
      <c r="E21" s="374">
        <f t="shared" si="0"/>
        <v>0</v>
      </c>
    </row>
    <row r="22" spans="1:5" s="94" customFormat="1" ht="12.75" customHeight="1" x14ac:dyDescent="0.25">
      <c r="A22" s="91"/>
      <c r="B22" s="92" t="s">
        <v>330</v>
      </c>
      <c r="C22" s="377"/>
      <c r="D22" s="377"/>
      <c r="E22" s="374">
        <f t="shared" si="0"/>
        <v>0</v>
      </c>
    </row>
    <row r="23" spans="1:5" ht="12.75" customHeight="1" x14ac:dyDescent="0.25">
      <c r="A23" s="71" t="s">
        <v>207</v>
      </c>
      <c r="B23" s="60" t="s">
        <v>331</v>
      </c>
      <c r="C23" s="376">
        <f>+C11+C12</f>
        <v>480944</v>
      </c>
      <c r="D23" s="376">
        <f t="shared" ref="D23:E23" si="3">+D11+D12</f>
        <v>4516</v>
      </c>
      <c r="E23" s="376">
        <f t="shared" si="3"/>
        <v>485460</v>
      </c>
    </row>
    <row r="24" spans="1:5" ht="12.75" customHeight="1" x14ac:dyDescent="0.25">
      <c r="A24" s="64" t="s">
        <v>391</v>
      </c>
      <c r="B24" s="59" t="s">
        <v>392</v>
      </c>
      <c r="C24" s="374">
        <v>0</v>
      </c>
      <c r="D24" s="374">
        <v>24745</v>
      </c>
      <c r="E24" s="374">
        <f t="shared" si="0"/>
        <v>24745</v>
      </c>
    </row>
    <row r="25" spans="1:5" ht="12.75" customHeight="1" x14ac:dyDescent="0.25">
      <c r="A25" s="64" t="s">
        <v>383</v>
      </c>
      <c r="B25" s="59" t="s">
        <v>384</v>
      </c>
      <c r="C25" s="374">
        <v>0</v>
      </c>
      <c r="D25" s="374"/>
      <c r="E25" s="374">
        <f t="shared" si="0"/>
        <v>0</v>
      </c>
    </row>
    <row r="26" spans="1:5" ht="12.75" customHeight="1" x14ac:dyDescent="0.25">
      <c r="A26" s="64" t="s">
        <v>209</v>
      </c>
      <c r="B26" s="59" t="s">
        <v>208</v>
      </c>
      <c r="C26" s="374">
        <f>SUM(C27:C36)</f>
        <v>574643</v>
      </c>
      <c r="D26" s="374">
        <f>SUM(D27:D36)</f>
        <v>65561</v>
      </c>
      <c r="E26" s="374">
        <f t="shared" si="0"/>
        <v>640204</v>
      </c>
    </row>
    <row r="27" spans="1:5" s="94" customFormat="1" ht="12.75" customHeight="1" x14ac:dyDescent="0.25">
      <c r="A27" s="91"/>
      <c r="B27" s="92" t="s">
        <v>323</v>
      </c>
      <c r="C27" s="377"/>
      <c r="D27" s="377"/>
      <c r="E27" s="374">
        <f t="shared" si="0"/>
        <v>0</v>
      </c>
    </row>
    <row r="28" spans="1:5" s="94" customFormat="1" ht="12.75" customHeight="1" x14ac:dyDescent="0.25">
      <c r="A28" s="91"/>
      <c r="B28" s="92" t="s">
        <v>324</v>
      </c>
      <c r="C28" s="377"/>
      <c r="D28" s="377"/>
      <c r="E28" s="374">
        <f t="shared" si="0"/>
        <v>0</v>
      </c>
    </row>
    <row r="29" spans="1:5" s="94" customFormat="1" ht="30.75" customHeight="1" x14ac:dyDescent="0.25">
      <c r="A29" s="91"/>
      <c r="B29" s="92" t="s">
        <v>325</v>
      </c>
      <c r="C29" s="377">
        <f>451823+122820</f>
        <v>574643</v>
      </c>
      <c r="D29" s="377">
        <v>65561</v>
      </c>
      <c r="E29" s="374">
        <f t="shared" si="0"/>
        <v>640204</v>
      </c>
    </row>
    <row r="30" spans="1:5" s="94" customFormat="1" ht="12.75" customHeight="1" x14ac:dyDescent="0.25">
      <c r="A30" s="91"/>
      <c r="B30" s="92" t="s">
        <v>326</v>
      </c>
      <c r="C30" s="377"/>
      <c r="D30" s="377"/>
      <c r="E30" s="374">
        <f t="shared" si="0"/>
        <v>0</v>
      </c>
    </row>
    <row r="31" spans="1:5" s="94" customFormat="1" ht="12.75" customHeight="1" x14ac:dyDescent="0.25">
      <c r="A31" s="91"/>
      <c r="B31" s="92" t="s">
        <v>327</v>
      </c>
      <c r="C31" s="377"/>
      <c r="D31" s="377"/>
      <c r="E31" s="374">
        <f t="shared" si="0"/>
        <v>0</v>
      </c>
    </row>
    <row r="32" spans="1:5" s="94" customFormat="1" ht="12.75" customHeight="1" x14ac:dyDescent="0.25">
      <c r="A32" s="91"/>
      <c r="B32" s="92" t="s">
        <v>328</v>
      </c>
      <c r="C32" s="377"/>
      <c r="D32" s="377"/>
      <c r="E32" s="374">
        <f t="shared" si="0"/>
        <v>0</v>
      </c>
    </row>
    <row r="33" spans="1:5" s="94" customFormat="1" ht="12.75" customHeight="1" x14ac:dyDescent="0.25">
      <c r="A33" s="91"/>
      <c r="B33" s="92" t="s">
        <v>99</v>
      </c>
      <c r="C33" s="377"/>
      <c r="D33" s="377"/>
      <c r="E33" s="374">
        <f t="shared" si="0"/>
        <v>0</v>
      </c>
    </row>
    <row r="34" spans="1:5" s="94" customFormat="1" ht="12.75" customHeight="1" x14ac:dyDescent="0.25">
      <c r="A34" s="91"/>
      <c r="B34" s="92" t="s">
        <v>100</v>
      </c>
      <c r="C34" s="377"/>
      <c r="D34" s="377"/>
      <c r="E34" s="374">
        <f t="shared" si="0"/>
        <v>0</v>
      </c>
    </row>
    <row r="35" spans="1:5" s="94" customFormat="1" ht="12.75" customHeight="1" x14ac:dyDescent="0.25">
      <c r="A35" s="91"/>
      <c r="B35" s="92" t="s">
        <v>329</v>
      </c>
      <c r="C35" s="377"/>
      <c r="D35" s="377"/>
      <c r="E35" s="374">
        <f t="shared" si="0"/>
        <v>0</v>
      </c>
    </row>
    <row r="36" spans="1:5" s="94" customFormat="1" ht="12.75" customHeight="1" x14ac:dyDescent="0.25">
      <c r="A36" s="91"/>
      <c r="B36" s="92" t="s">
        <v>330</v>
      </c>
      <c r="C36" s="377"/>
      <c r="D36" s="377"/>
      <c r="E36" s="374">
        <f t="shared" si="0"/>
        <v>0</v>
      </c>
    </row>
    <row r="37" spans="1:5" ht="12.75" customHeight="1" x14ac:dyDescent="0.25">
      <c r="A37" s="71" t="s">
        <v>210</v>
      </c>
      <c r="B37" s="60" t="s">
        <v>332</v>
      </c>
      <c r="C37" s="376">
        <f>+C26+C25+C24</f>
        <v>574643</v>
      </c>
      <c r="D37" s="376">
        <f t="shared" ref="D37:E37" si="4">+D26+D25+D24</f>
        <v>90306</v>
      </c>
      <c r="E37" s="376">
        <f t="shared" si="4"/>
        <v>664949</v>
      </c>
    </row>
    <row r="38" spans="1:5" ht="12.75" customHeight="1" x14ac:dyDescent="0.25">
      <c r="A38" s="64" t="s">
        <v>212</v>
      </c>
      <c r="B38" s="59" t="s">
        <v>211</v>
      </c>
      <c r="C38" s="374"/>
      <c r="D38" s="374"/>
      <c r="E38" s="374">
        <f t="shared" si="0"/>
        <v>0</v>
      </c>
    </row>
    <row r="39" spans="1:5" ht="12.75" customHeight="1" x14ac:dyDescent="0.25">
      <c r="A39" s="64" t="s">
        <v>214</v>
      </c>
      <c r="B39" s="59" t="s">
        <v>213</v>
      </c>
      <c r="C39" s="374"/>
      <c r="D39" s="374"/>
      <c r="E39" s="374">
        <f t="shared" si="0"/>
        <v>0</v>
      </c>
    </row>
    <row r="40" spans="1:5" s="82" customFormat="1" ht="12.75" customHeight="1" x14ac:dyDescent="0.25">
      <c r="A40" s="71" t="s">
        <v>215</v>
      </c>
      <c r="B40" s="60" t="s">
        <v>335</v>
      </c>
      <c r="C40" s="376">
        <f>SUM(C38:C39)</f>
        <v>0</v>
      </c>
      <c r="D40" s="374"/>
      <c r="E40" s="374">
        <f t="shared" si="0"/>
        <v>0</v>
      </c>
    </row>
    <row r="41" spans="1:5" ht="12.75" customHeight="1" x14ac:dyDescent="0.25">
      <c r="A41" s="64" t="s">
        <v>217</v>
      </c>
      <c r="B41" s="59" t="s">
        <v>216</v>
      </c>
      <c r="C41" s="374"/>
      <c r="D41" s="374"/>
      <c r="E41" s="374">
        <f t="shared" si="0"/>
        <v>0</v>
      </c>
    </row>
    <row r="42" spans="1:5" ht="12.75" customHeight="1" x14ac:dyDescent="0.25">
      <c r="A42" s="64" t="s">
        <v>219</v>
      </c>
      <c r="B42" s="59" t="s">
        <v>218</v>
      </c>
      <c r="C42" s="374"/>
      <c r="D42" s="374"/>
      <c r="E42" s="374">
        <f t="shared" si="0"/>
        <v>0</v>
      </c>
    </row>
    <row r="43" spans="1:5" ht="12.75" customHeight="1" x14ac:dyDescent="0.25">
      <c r="A43" s="71" t="s">
        <v>221</v>
      </c>
      <c r="B43" s="60" t="s">
        <v>220</v>
      </c>
      <c r="C43" s="376">
        <f>+C44+C45+C46</f>
        <v>129000</v>
      </c>
      <c r="D43" s="376">
        <f>+D44+D45+D46</f>
        <v>0</v>
      </c>
      <c r="E43" s="376">
        <f t="shared" si="0"/>
        <v>129000</v>
      </c>
    </row>
    <row r="44" spans="1:5" ht="12.75" customHeight="1" x14ac:dyDescent="0.25">
      <c r="A44" s="64"/>
      <c r="B44" s="92" t="s">
        <v>371</v>
      </c>
      <c r="C44" s="377">
        <v>20000</v>
      </c>
      <c r="D44" s="374"/>
      <c r="E44" s="374">
        <f t="shared" si="0"/>
        <v>20000</v>
      </c>
    </row>
    <row r="45" spans="1:5" ht="12.75" customHeight="1" x14ac:dyDescent="0.25">
      <c r="A45" s="64"/>
      <c r="B45" s="92" t="s">
        <v>372</v>
      </c>
      <c r="C45" s="377">
        <v>54000</v>
      </c>
      <c r="D45" s="374"/>
      <c r="E45" s="374">
        <f t="shared" si="0"/>
        <v>54000</v>
      </c>
    </row>
    <row r="46" spans="1:5" ht="12.75" customHeight="1" x14ac:dyDescent="0.25">
      <c r="A46" s="64"/>
      <c r="B46" s="92" t="s">
        <v>373</v>
      </c>
      <c r="C46" s="377">
        <v>55000</v>
      </c>
      <c r="D46" s="374"/>
      <c r="E46" s="374">
        <f t="shared" si="0"/>
        <v>55000</v>
      </c>
    </row>
    <row r="47" spans="1:5" s="78" customFormat="1" ht="12.75" customHeight="1" x14ac:dyDescent="0.25">
      <c r="A47" s="551" t="s">
        <v>223</v>
      </c>
      <c r="B47" s="60" t="s">
        <v>222</v>
      </c>
      <c r="C47" s="376">
        <f>120000+16000</f>
        <v>136000</v>
      </c>
      <c r="D47" s="376"/>
      <c r="E47" s="376">
        <f t="shared" si="0"/>
        <v>136000</v>
      </c>
    </row>
    <row r="48" spans="1:5" ht="12.75" customHeight="1" x14ac:dyDescent="0.25">
      <c r="A48" s="64" t="s">
        <v>225</v>
      </c>
      <c r="B48" s="59" t="s">
        <v>224</v>
      </c>
      <c r="C48" s="374"/>
      <c r="D48" s="374"/>
      <c r="E48" s="374">
        <f t="shared" si="0"/>
        <v>0</v>
      </c>
    </row>
    <row r="49" spans="1:5" ht="12.75" customHeight="1" x14ac:dyDescent="0.25">
      <c r="A49" s="64" t="s">
        <v>227</v>
      </c>
      <c r="B49" s="59" t="s">
        <v>226</v>
      </c>
      <c r="C49" s="374"/>
      <c r="D49" s="374"/>
      <c r="E49" s="374">
        <f t="shared" si="0"/>
        <v>0</v>
      </c>
    </row>
    <row r="50" spans="1:5" ht="12.75" customHeight="1" x14ac:dyDescent="0.25">
      <c r="A50" s="64" t="s">
        <v>229</v>
      </c>
      <c r="B50" s="59" t="s">
        <v>228</v>
      </c>
      <c r="C50" s="374">
        <v>18000</v>
      </c>
      <c r="D50" s="374"/>
      <c r="E50" s="374">
        <f t="shared" si="0"/>
        <v>18000</v>
      </c>
    </row>
    <row r="51" spans="1:5" ht="12.75" customHeight="1" x14ac:dyDescent="0.25">
      <c r="A51" s="64" t="s">
        <v>231</v>
      </c>
      <c r="B51" s="59" t="s">
        <v>230</v>
      </c>
      <c r="C51" s="374"/>
      <c r="D51" s="374"/>
      <c r="E51" s="374">
        <f t="shared" si="0"/>
        <v>0</v>
      </c>
    </row>
    <row r="52" spans="1:5" ht="12.75" customHeight="1" x14ac:dyDescent="0.25">
      <c r="A52" s="71" t="s">
        <v>232</v>
      </c>
      <c r="B52" s="60" t="s">
        <v>336</v>
      </c>
      <c r="C52" s="376">
        <f>+C51+C50+C49+C48+C47</f>
        <v>154000</v>
      </c>
      <c r="D52" s="376">
        <f>+D51+D50+D49+D48+D47</f>
        <v>0</v>
      </c>
      <c r="E52" s="376">
        <f t="shared" si="0"/>
        <v>154000</v>
      </c>
    </row>
    <row r="53" spans="1:5" ht="12.75" customHeight="1" x14ac:dyDescent="0.25">
      <c r="A53" s="71" t="s">
        <v>234</v>
      </c>
      <c r="B53" s="60" t="s">
        <v>233</v>
      </c>
      <c r="C53" s="376">
        <f>2000+3500</f>
        <v>5500</v>
      </c>
      <c r="D53" s="376"/>
      <c r="E53" s="376">
        <f t="shared" si="0"/>
        <v>5500</v>
      </c>
    </row>
    <row r="54" spans="1:5" ht="12.75" customHeight="1" x14ac:dyDescent="0.25">
      <c r="A54" s="71" t="s">
        <v>235</v>
      </c>
      <c r="B54" s="60" t="s">
        <v>337</v>
      </c>
      <c r="C54" s="376">
        <f>+C53+C52+C40+C41+C42+C43</f>
        <v>288500</v>
      </c>
      <c r="D54" s="376">
        <f t="shared" ref="D54:E54" si="5">+D53+D52+D40+D41+D42+D43</f>
        <v>0</v>
      </c>
      <c r="E54" s="376">
        <f t="shared" si="5"/>
        <v>288500</v>
      </c>
    </row>
    <row r="55" spans="1:5" ht="12.75" customHeight="1" x14ac:dyDescent="0.25">
      <c r="A55" s="64" t="s">
        <v>237</v>
      </c>
      <c r="B55" s="59" t="s">
        <v>236</v>
      </c>
      <c r="C55" s="374"/>
      <c r="D55" s="374"/>
      <c r="E55" s="374">
        <f t="shared" si="0"/>
        <v>0</v>
      </c>
    </row>
    <row r="56" spans="1:5" ht="12.75" customHeight="1" x14ac:dyDescent="0.25">
      <c r="A56" s="64" t="s">
        <v>239</v>
      </c>
      <c r="B56" s="59" t="s">
        <v>238</v>
      </c>
      <c r="C56" s="374">
        <f>250+1500+16965</f>
        <v>18715</v>
      </c>
      <c r="D56" s="374"/>
      <c r="E56" s="374">
        <f t="shared" si="0"/>
        <v>18715</v>
      </c>
    </row>
    <row r="57" spans="1:5" ht="12.75" customHeight="1" x14ac:dyDescent="0.25">
      <c r="A57" s="64" t="s">
        <v>241</v>
      </c>
      <c r="B57" s="59" t="s">
        <v>240</v>
      </c>
      <c r="C57" s="374">
        <v>1500</v>
      </c>
      <c r="D57" s="374"/>
      <c r="E57" s="374">
        <f t="shared" si="0"/>
        <v>1500</v>
      </c>
    </row>
    <row r="58" spans="1:5" ht="12.75" customHeight="1" x14ac:dyDescent="0.25">
      <c r="A58" s="64" t="s">
        <v>243</v>
      </c>
      <c r="B58" s="59" t="s">
        <v>242</v>
      </c>
      <c r="C58" s="374">
        <f>960+395+15000+400</f>
        <v>16755</v>
      </c>
      <c r="D58" s="374"/>
      <c r="E58" s="374">
        <f t="shared" si="0"/>
        <v>16755</v>
      </c>
    </row>
    <row r="59" spans="1:5" ht="12.75" customHeight="1" x14ac:dyDescent="0.25">
      <c r="A59" s="64" t="s">
        <v>245</v>
      </c>
      <c r="B59" s="59" t="s">
        <v>244</v>
      </c>
      <c r="C59" s="374"/>
      <c r="D59" s="374"/>
      <c r="E59" s="374">
        <f t="shared" si="0"/>
        <v>0</v>
      </c>
    </row>
    <row r="60" spans="1:5" ht="12.75" customHeight="1" x14ac:dyDescent="0.25">
      <c r="A60" s="64" t="s">
        <v>247</v>
      </c>
      <c r="B60" s="59" t="s">
        <v>246</v>
      </c>
      <c r="C60" s="374">
        <f>68+405+405+4050+108+4581</f>
        <v>9617</v>
      </c>
      <c r="D60" s="374"/>
      <c r="E60" s="374">
        <f t="shared" si="0"/>
        <v>9617</v>
      </c>
    </row>
    <row r="61" spans="1:5" ht="12.75" customHeight="1" x14ac:dyDescent="0.25">
      <c r="A61" s="64" t="s">
        <v>249</v>
      </c>
      <c r="B61" s="59" t="s">
        <v>248</v>
      </c>
      <c r="C61" s="374">
        <f>405+4050+121992+32416+5325</f>
        <v>164188</v>
      </c>
      <c r="D61" s="374"/>
      <c r="E61" s="374">
        <f t="shared" si="0"/>
        <v>164188</v>
      </c>
    </row>
    <row r="62" spans="1:5" ht="12.75" customHeight="1" x14ac:dyDescent="0.25">
      <c r="A62" s="64" t="s">
        <v>251</v>
      </c>
      <c r="B62" s="59" t="s">
        <v>250</v>
      </c>
      <c r="C62" s="374">
        <v>4350</v>
      </c>
      <c r="D62" s="374"/>
      <c r="E62" s="374">
        <f t="shared" si="0"/>
        <v>4350</v>
      </c>
    </row>
    <row r="63" spans="1:5" ht="12.75" customHeight="1" x14ac:dyDescent="0.25">
      <c r="A63" s="64" t="s">
        <v>253</v>
      </c>
      <c r="B63" s="59" t="s">
        <v>252</v>
      </c>
      <c r="C63" s="374"/>
      <c r="D63" s="374"/>
      <c r="E63" s="374">
        <f t="shared" si="0"/>
        <v>0</v>
      </c>
    </row>
    <row r="64" spans="1:5" ht="12.75" customHeight="1" x14ac:dyDescent="0.25">
      <c r="A64" s="64" t="s">
        <v>636</v>
      </c>
      <c r="B64" s="59" t="s">
        <v>254</v>
      </c>
      <c r="C64" s="374"/>
      <c r="D64" s="374"/>
      <c r="E64" s="374">
        <f t="shared" si="0"/>
        <v>0</v>
      </c>
    </row>
    <row r="65" spans="1:5" ht="12.75" customHeight="1" x14ac:dyDescent="0.25">
      <c r="A65" s="71" t="s">
        <v>255</v>
      </c>
      <c r="B65" s="60" t="s">
        <v>280</v>
      </c>
      <c r="C65" s="376">
        <f>SUM(C55:C64)</f>
        <v>215125</v>
      </c>
      <c r="D65" s="376">
        <f t="shared" ref="D65:E65" si="6">SUM(D55:D64)</f>
        <v>0</v>
      </c>
      <c r="E65" s="376">
        <f t="shared" si="6"/>
        <v>215125</v>
      </c>
    </row>
    <row r="66" spans="1:5" ht="12.75" customHeight="1" x14ac:dyDescent="0.25">
      <c r="A66" s="71" t="s">
        <v>256</v>
      </c>
      <c r="B66" s="60" t="s">
        <v>279</v>
      </c>
      <c r="C66" s="376">
        <v>0</v>
      </c>
      <c r="D66" s="374"/>
      <c r="E66" s="374">
        <f t="shared" si="0"/>
        <v>0</v>
      </c>
    </row>
    <row r="67" spans="1:5" ht="12.75" customHeight="1" x14ac:dyDescent="0.25">
      <c r="A67" s="64" t="s">
        <v>640</v>
      </c>
      <c r="B67" s="59" t="s">
        <v>509</v>
      </c>
      <c r="C67" s="374">
        <v>700</v>
      </c>
      <c r="D67" s="374"/>
      <c r="E67" s="374">
        <f t="shared" si="0"/>
        <v>700</v>
      </c>
    </row>
    <row r="68" spans="1:5" ht="12.75" customHeight="1" x14ac:dyDescent="0.25">
      <c r="A68" s="64" t="s">
        <v>639</v>
      </c>
      <c r="B68" s="59" t="s">
        <v>257</v>
      </c>
      <c r="C68" s="374">
        <v>43</v>
      </c>
      <c r="D68" s="374">
        <v>650</v>
      </c>
      <c r="E68" s="374">
        <f t="shared" si="0"/>
        <v>693</v>
      </c>
    </row>
    <row r="69" spans="1:5" ht="12.75" customHeight="1" x14ac:dyDescent="0.25">
      <c r="A69" s="71" t="s">
        <v>259</v>
      </c>
      <c r="B69" s="60" t="s">
        <v>278</v>
      </c>
      <c r="C69" s="376">
        <f>+C68+C67</f>
        <v>743</v>
      </c>
      <c r="D69" s="376">
        <f t="shared" ref="D69:E69" si="7">+D68+D67</f>
        <v>650</v>
      </c>
      <c r="E69" s="376">
        <f t="shared" si="7"/>
        <v>1393</v>
      </c>
    </row>
    <row r="70" spans="1:5" ht="12.75" customHeight="1" x14ac:dyDescent="0.25">
      <c r="A70" s="64" t="s">
        <v>641</v>
      </c>
      <c r="B70" s="59" t="s">
        <v>260</v>
      </c>
      <c r="C70" s="374"/>
      <c r="D70" s="374"/>
      <c r="E70" s="374">
        <f t="shared" ref="E70:E78" si="8">+C70+D70</f>
        <v>0</v>
      </c>
    </row>
    <row r="71" spans="1:5" ht="12.75" customHeight="1" x14ac:dyDescent="0.25">
      <c r="A71" s="71" t="s">
        <v>262</v>
      </c>
      <c r="B71" s="60" t="s">
        <v>284</v>
      </c>
      <c r="C71" s="376">
        <f>+C70</f>
        <v>0</v>
      </c>
      <c r="D71" s="376"/>
      <c r="E71" s="374">
        <f t="shared" si="8"/>
        <v>0</v>
      </c>
    </row>
    <row r="72" spans="1:5" ht="12.75" customHeight="1" x14ac:dyDescent="0.25">
      <c r="A72" s="71" t="s">
        <v>263</v>
      </c>
      <c r="B72" s="60" t="s">
        <v>276</v>
      </c>
      <c r="C72" s="376">
        <f>+C71+C69+C66+C65+C54+C37+C23</f>
        <v>1559955</v>
      </c>
      <c r="D72" s="376">
        <f t="shared" ref="D72:E72" si="9">+D71+D69+D66+D65+D54+D37+D23</f>
        <v>95472</v>
      </c>
      <c r="E72" s="376">
        <f t="shared" si="9"/>
        <v>1655427</v>
      </c>
    </row>
    <row r="73" spans="1:5" ht="12.75" customHeight="1" x14ac:dyDescent="0.25">
      <c r="A73" s="63" t="s">
        <v>573</v>
      </c>
      <c r="B73" s="711" t="s">
        <v>572</v>
      </c>
      <c r="C73" s="376"/>
      <c r="D73" s="376"/>
      <c r="E73" s="376">
        <f t="shared" si="8"/>
        <v>0</v>
      </c>
    </row>
    <row r="74" spans="1:5" s="78" customFormat="1" ht="12.75" customHeight="1" x14ac:dyDescent="0.25">
      <c r="A74" s="63" t="s">
        <v>749</v>
      </c>
      <c r="B74" s="711" t="s">
        <v>748</v>
      </c>
      <c r="C74" s="376">
        <v>380000</v>
      </c>
      <c r="D74" s="376">
        <v>850000</v>
      </c>
      <c r="E74" s="376">
        <f t="shared" si="8"/>
        <v>1230000</v>
      </c>
    </row>
    <row r="75" spans="1:5" x14ac:dyDescent="0.25">
      <c r="A75" s="69" t="s">
        <v>273</v>
      </c>
      <c r="B75" s="59" t="s">
        <v>272</v>
      </c>
      <c r="C75" s="378">
        <f>+C76+C77</f>
        <v>1112070</v>
      </c>
      <c r="D75" s="378">
        <f>+D76+D77</f>
        <v>41943</v>
      </c>
      <c r="E75" s="374">
        <f t="shared" si="8"/>
        <v>1154013</v>
      </c>
    </row>
    <row r="76" spans="1:5" s="94" customFormat="1" x14ac:dyDescent="0.25">
      <c r="A76" s="142"/>
      <c r="B76" s="120" t="s">
        <v>397</v>
      </c>
      <c r="C76" s="377">
        <f>6500+264223+20362+1943+126184+1050+50305+2961+14684+950</f>
        <v>489162</v>
      </c>
      <c r="D76" s="377">
        <v>41943</v>
      </c>
      <c r="E76" s="374">
        <f t="shared" si="8"/>
        <v>531105</v>
      </c>
    </row>
    <row r="77" spans="1:5" s="94" customFormat="1" x14ac:dyDescent="0.25">
      <c r="A77" s="142"/>
      <c r="B77" s="120" t="s">
        <v>398</v>
      </c>
      <c r="C77" s="377">
        <f>180902+75636+74631+195964+89675+6100</f>
        <v>622908</v>
      </c>
      <c r="D77" s="377"/>
      <c r="E77" s="374">
        <f t="shared" si="8"/>
        <v>622908</v>
      </c>
    </row>
    <row r="78" spans="1:5" x14ac:dyDescent="0.25">
      <c r="A78" s="70" t="s">
        <v>274</v>
      </c>
      <c r="B78" s="70" t="s">
        <v>338</v>
      </c>
      <c r="C78" s="376">
        <f>+C75</f>
        <v>1112070</v>
      </c>
      <c r="D78" s="376">
        <f>+D75</f>
        <v>41943</v>
      </c>
      <c r="E78" s="376">
        <f t="shared" si="8"/>
        <v>1154013</v>
      </c>
    </row>
    <row r="79" spans="1:5" x14ac:dyDescent="0.25">
      <c r="A79" s="70" t="s">
        <v>275</v>
      </c>
      <c r="B79" s="63" t="s">
        <v>339</v>
      </c>
      <c r="C79" s="376">
        <f>+C78+C74</f>
        <v>1492070</v>
      </c>
      <c r="D79" s="376">
        <f t="shared" ref="D79:E79" si="10">+D78+D74</f>
        <v>891943</v>
      </c>
      <c r="E79" s="376">
        <f t="shared" si="10"/>
        <v>2384013</v>
      </c>
    </row>
  </sheetData>
  <mergeCells count="5">
    <mergeCell ref="A1:E1"/>
    <mergeCell ref="A3:A4"/>
    <mergeCell ref="B3:B4"/>
    <mergeCell ref="C3:E3"/>
    <mergeCell ref="C2:E2"/>
  </mergeCells>
  <pageMargins left="0.70866141732283472" right="0.70866141732283472" top="0.74803149606299213" bottom="0.74803149606299213" header="0.31496062992125984" footer="0.31496062992125984"/>
  <pageSetup paperSize="9" scale="69" orientation="portrait" cellComments="asDisplayed" errors="blank" r:id="rId1"/>
  <headerFooter>
    <oddHeader>&amp;C&amp;"Times New Roman,Félkövér"&amp;12Martonvásár Város Önkormányzatának bevételei 2018.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zoomScaleNormal="100" workbookViewId="0">
      <selection activeCell="F32" sqref="F32"/>
    </sheetView>
  </sheetViews>
  <sheetFormatPr defaultColWidth="9.109375" defaultRowHeight="13.8" x14ac:dyDescent="0.25"/>
  <cols>
    <col min="1" max="1" width="43.44140625" style="432" customWidth="1"/>
    <col min="2" max="2" width="15.44140625" style="432" customWidth="1"/>
    <col min="3" max="3" width="13" style="432" customWidth="1"/>
    <col min="4" max="4" width="14.44140625" style="432" customWidth="1"/>
    <col min="5" max="16384" width="9.109375" style="432"/>
  </cols>
  <sheetData>
    <row r="1" spans="1:4" ht="14.4" thickBot="1" x14ac:dyDescent="0.3">
      <c r="D1" s="768" t="s">
        <v>390</v>
      </c>
    </row>
    <row r="2" spans="1:4" x14ac:dyDescent="0.25">
      <c r="A2" s="1067" t="s">
        <v>527</v>
      </c>
      <c r="B2" s="1068"/>
      <c r="C2" s="1069"/>
      <c r="D2" s="1070"/>
    </row>
    <row r="3" spans="1:4" ht="14.4" thickBot="1" x14ac:dyDescent="0.3">
      <c r="A3" s="630"/>
      <c r="B3" s="631"/>
      <c r="C3" s="632"/>
      <c r="D3" s="633"/>
    </row>
    <row r="4" spans="1:4" s="468" customFormat="1" ht="27.75" customHeight="1" x14ac:dyDescent="0.25">
      <c r="A4" s="634" t="s">
        <v>283</v>
      </c>
      <c r="B4" s="640" t="s">
        <v>282</v>
      </c>
      <c r="C4" s="770" t="s">
        <v>792</v>
      </c>
      <c r="D4" s="771" t="s">
        <v>305</v>
      </c>
    </row>
    <row r="5" spans="1:4" x14ac:dyDescent="0.25">
      <c r="A5" s="433" t="s">
        <v>646</v>
      </c>
      <c r="B5" s="434">
        <v>1080</v>
      </c>
      <c r="C5" s="561"/>
      <c r="D5" s="562">
        <f>+C5+B5</f>
        <v>1080</v>
      </c>
    </row>
    <row r="6" spans="1:4" x14ac:dyDescent="0.25">
      <c r="A6" s="433" t="s">
        <v>647</v>
      </c>
      <c r="B6" s="434">
        <v>9000</v>
      </c>
      <c r="C6" s="561"/>
      <c r="D6" s="562">
        <f t="shared" ref="D6:D10" si="0">+C6+B6</f>
        <v>9000</v>
      </c>
    </row>
    <row r="7" spans="1:4" x14ac:dyDescent="0.25">
      <c r="A7" s="433" t="s">
        <v>648</v>
      </c>
      <c r="B7" s="434">
        <v>4000</v>
      </c>
      <c r="C7" s="561">
        <v>3087</v>
      </c>
      <c r="D7" s="562">
        <f t="shared" si="0"/>
        <v>7087</v>
      </c>
    </row>
    <row r="8" spans="1:4" x14ac:dyDescent="0.25">
      <c r="A8" s="433" t="s">
        <v>649</v>
      </c>
      <c r="B8" s="434">
        <f>12971+(3*33)</f>
        <v>13070</v>
      </c>
      <c r="C8" s="565"/>
      <c r="D8" s="566">
        <f t="shared" si="0"/>
        <v>13070</v>
      </c>
    </row>
    <row r="9" spans="1:4" x14ac:dyDescent="0.25">
      <c r="A9" s="569" t="s">
        <v>650</v>
      </c>
      <c r="B9" s="570">
        <v>250</v>
      </c>
      <c r="C9" s="565"/>
      <c r="D9" s="566">
        <f t="shared" si="0"/>
        <v>250</v>
      </c>
    </row>
    <row r="10" spans="1:4" x14ac:dyDescent="0.25">
      <c r="A10" s="638" t="s">
        <v>664</v>
      </c>
      <c r="B10" s="561">
        <v>600</v>
      </c>
      <c r="C10" s="565"/>
      <c r="D10" s="566">
        <f t="shared" si="0"/>
        <v>600</v>
      </c>
    </row>
    <row r="11" spans="1:4" x14ac:dyDescent="0.25">
      <c r="A11" s="639"/>
      <c r="B11" s="573"/>
      <c r="C11" s="565"/>
      <c r="D11" s="566"/>
    </row>
    <row r="12" spans="1:4" x14ac:dyDescent="0.25">
      <c r="A12" s="563"/>
      <c r="B12" s="564"/>
      <c r="C12" s="565"/>
      <c r="D12" s="566"/>
    </row>
    <row r="13" spans="1:4" ht="14.4" thickBot="1" x14ac:dyDescent="0.3">
      <c r="A13" s="567" t="s">
        <v>180</v>
      </c>
      <c r="B13" s="568">
        <f>SUM(B5:B12)</f>
        <v>28000</v>
      </c>
      <c r="C13" s="568">
        <f>SUM(C5:C12)</f>
        <v>3087</v>
      </c>
      <c r="D13" s="772">
        <f>SUM(D5:D12)</f>
        <v>31087</v>
      </c>
    </row>
    <row r="14" spans="1:4" x14ac:dyDescent="0.25">
      <c r="A14" s="439"/>
      <c r="B14" s="439"/>
      <c r="C14" s="440"/>
      <c r="D14" s="440"/>
    </row>
    <row r="15" spans="1:4" ht="14.4" thickBot="1" x14ac:dyDescent="0.3">
      <c r="A15" s="441"/>
      <c r="B15" s="441"/>
      <c r="C15" s="441"/>
      <c r="D15" s="442"/>
    </row>
    <row r="16" spans="1:4" x14ac:dyDescent="0.25">
      <c r="A16" s="1067" t="s">
        <v>528</v>
      </c>
      <c r="B16" s="1068"/>
      <c r="C16" s="1069"/>
      <c r="D16" s="1070"/>
    </row>
    <row r="17" spans="1:4" ht="14.4" thickBot="1" x14ac:dyDescent="0.3">
      <c r="A17" s="630"/>
      <c r="B17" s="631"/>
      <c r="C17" s="632"/>
      <c r="D17" s="633"/>
    </row>
    <row r="18" spans="1:4" ht="26.4" x14ac:dyDescent="0.25">
      <c r="A18" s="629" t="s">
        <v>283</v>
      </c>
      <c r="B18" s="640" t="s">
        <v>282</v>
      </c>
      <c r="C18" s="770" t="s">
        <v>792</v>
      </c>
      <c r="D18" s="771" t="s">
        <v>305</v>
      </c>
    </row>
    <row r="19" spans="1:4" x14ac:dyDescent="0.25">
      <c r="A19" s="433" t="s">
        <v>738</v>
      </c>
      <c r="B19" s="434">
        <v>451823</v>
      </c>
      <c r="C19" s="435"/>
      <c r="D19" s="436">
        <f>+C19+B19</f>
        <v>451823</v>
      </c>
    </row>
    <row r="20" spans="1:4" s="468" customFormat="1" ht="15.75" customHeight="1" x14ac:dyDescent="0.25">
      <c r="A20" s="433" t="s">
        <v>739</v>
      </c>
      <c r="B20" s="434">
        <v>122820</v>
      </c>
      <c r="C20" s="435"/>
      <c r="D20" s="436">
        <f>+C20+B20</f>
        <v>122820</v>
      </c>
    </row>
    <row r="21" spans="1:4" x14ac:dyDescent="0.25">
      <c r="A21" s="433" t="s">
        <v>926</v>
      </c>
      <c r="B21" s="434"/>
      <c r="C21" s="435">
        <v>65561</v>
      </c>
      <c r="D21" s="436">
        <f t="shared" ref="D21:D22" si="1">+C21+B21</f>
        <v>65561</v>
      </c>
    </row>
    <row r="22" spans="1:4" x14ac:dyDescent="0.25">
      <c r="A22" s="433" t="s">
        <v>927</v>
      </c>
      <c r="B22" s="434"/>
      <c r="C22" s="435">
        <v>24745</v>
      </c>
      <c r="D22" s="436">
        <f t="shared" si="1"/>
        <v>24745</v>
      </c>
    </row>
    <row r="23" spans="1:4" ht="14.4" thickBot="1" x14ac:dyDescent="0.3">
      <c r="A23" s="437" t="s">
        <v>180</v>
      </c>
      <c r="B23" s="438">
        <f>SUM(B19:B22)</f>
        <v>574643</v>
      </c>
      <c r="C23" s="438">
        <f>SUM(C19:C22)</f>
        <v>90306</v>
      </c>
      <c r="D23" s="773">
        <f>SUM(D19:D22)</f>
        <v>664949</v>
      </c>
    </row>
    <row r="24" spans="1:4" x14ac:dyDescent="0.25">
      <c r="A24" s="443"/>
      <c r="B24" s="443"/>
      <c r="C24" s="444"/>
      <c r="D24" s="444"/>
    </row>
    <row r="25" spans="1:4" ht="14.4" thickBot="1" x14ac:dyDescent="0.3">
      <c r="A25" s="441"/>
      <c r="B25" s="441"/>
      <c r="C25" s="441"/>
      <c r="D25" s="442"/>
    </row>
    <row r="26" spans="1:4" x14ac:dyDescent="0.25">
      <c r="A26" s="1071" t="s">
        <v>529</v>
      </c>
      <c r="B26" s="1072"/>
      <c r="C26" s="1072"/>
      <c r="D26" s="1073"/>
    </row>
    <row r="27" spans="1:4" ht="14.4" thickBot="1" x14ac:dyDescent="0.3">
      <c r="A27" s="635"/>
      <c r="B27" s="636"/>
      <c r="C27" s="636"/>
      <c r="D27" s="637"/>
    </row>
    <row r="28" spans="1:4" ht="26.4" x14ac:dyDescent="0.25">
      <c r="A28" s="629" t="s">
        <v>283</v>
      </c>
      <c r="B28" s="640" t="s">
        <v>282</v>
      </c>
      <c r="C28" s="770" t="s">
        <v>792</v>
      </c>
      <c r="D28" s="771" t="s">
        <v>305</v>
      </c>
    </row>
    <row r="29" spans="1:4" x14ac:dyDescent="0.25">
      <c r="A29" s="433" t="s">
        <v>510</v>
      </c>
      <c r="B29" s="446">
        <v>43</v>
      </c>
      <c r="C29" s="447"/>
      <c r="D29" s="774">
        <f>+C29+B29</f>
        <v>43</v>
      </c>
    </row>
    <row r="30" spans="1:4" s="468" customFormat="1" ht="20.25" customHeight="1" x14ac:dyDescent="0.25">
      <c r="A30" s="751" t="s">
        <v>736</v>
      </c>
      <c r="B30" s="564">
        <v>700</v>
      </c>
      <c r="C30" s="447"/>
      <c r="D30" s="774">
        <f>+C30+B30</f>
        <v>700</v>
      </c>
    </row>
    <row r="31" spans="1:4" s="468" customFormat="1" ht="20.25" customHeight="1" x14ac:dyDescent="0.25">
      <c r="A31" s="1037" t="s">
        <v>928</v>
      </c>
      <c r="B31" s="564"/>
      <c r="C31" s="1038">
        <v>650</v>
      </c>
      <c r="D31" s="1039">
        <f>+C31+B31</f>
        <v>650</v>
      </c>
    </row>
    <row r="32" spans="1:4" ht="14.4" thickBot="1" x14ac:dyDescent="0.3">
      <c r="A32" s="437" t="s">
        <v>180</v>
      </c>
      <c r="B32" s="448">
        <f>SUM(B29:B31)</f>
        <v>743</v>
      </c>
      <c r="C32" s="448">
        <f t="shared" ref="C32:D32" si="2">SUM(C29:C31)</f>
        <v>650</v>
      </c>
      <c r="D32" s="448">
        <f t="shared" si="2"/>
        <v>1393</v>
      </c>
    </row>
    <row r="33" spans="1:4" ht="14.4" thickBot="1" x14ac:dyDescent="0.3">
      <c r="A33" s="441"/>
      <c r="B33" s="441"/>
      <c r="C33" s="441"/>
      <c r="D33" s="441"/>
    </row>
    <row r="34" spans="1:4" x14ac:dyDescent="0.25">
      <c r="A34" s="1071" t="s">
        <v>530</v>
      </c>
      <c r="B34" s="1072"/>
      <c r="C34" s="1072"/>
      <c r="D34" s="1073"/>
    </row>
    <row r="35" spans="1:4" ht="14.4" thickBot="1" x14ac:dyDescent="0.3">
      <c r="A35" s="635"/>
      <c r="B35" s="636"/>
      <c r="C35" s="636"/>
      <c r="D35" s="637"/>
    </row>
    <row r="36" spans="1:4" ht="26.4" x14ac:dyDescent="0.25">
      <c r="A36" s="628" t="s">
        <v>283</v>
      </c>
      <c r="B36" s="640" t="s">
        <v>282</v>
      </c>
      <c r="C36" s="770" t="s">
        <v>792</v>
      </c>
      <c r="D36" s="771" t="s">
        <v>305</v>
      </c>
    </row>
    <row r="37" spans="1:4" x14ac:dyDescent="0.25">
      <c r="A37" s="445"/>
      <c r="B37" s="446"/>
      <c r="C37" s="447"/>
      <c r="D37" s="774"/>
    </row>
    <row r="38" spans="1:4" s="468" customFormat="1" ht="16.5" customHeight="1" x14ac:dyDescent="0.25">
      <c r="A38" s="433"/>
      <c r="B38" s="446"/>
      <c r="C38" s="447"/>
      <c r="D38" s="774"/>
    </row>
    <row r="39" spans="1:4" x14ac:dyDescent="0.25">
      <c r="A39" s="433"/>
      <c r="B39" s="446"/>
      <c r="C39" s="447"/>
      <c r="D39" s="774"/>
    </row>
    <row r="40" spans="1:4" x14ac:dyDescent="0.25">
      <c r="A40" s="433"/>
      <c r="B40" s="446"/>
      <c r="C40" s="447"/>
      <c r="D40" s="774"/>
    </row>
    <row r="41" spans="1:4" ht="14.4" thickBot="1" x14ac:dyDescent="0.3">
      <c r="A41" s="437" t="s">
        <v>180</v>
      </c>
      <c r="B41" s="448">
        <f>SUM(B37:B40)</f>
        <v>0</v>
      </c>
      <c r="C41" s="448">
        <f t="shared" ref="C41:D41" si="3">SUM(C37:C40)</f>
        <v>0</v>
      </c>
      <c r="D41" s="775">
        <f t="shared" si="3"/>
        <v>0</v>
      </c>
    </row>
    <row r="42" spans="1:4" x14ac:dyDescent="0.25">
      <c r="A42" s="441"/>
      <c r="B42" s="441"/>
      <c r="C42" s="441"/>
      <c r="D42" s="441"/>
    </row>
    <row r="43" spans="1:4" x14ac:dyDescent="0.25">
      <c r="A43" s="441"/>
      <c r="B43" s="441"/>
      <c r="C43" s="441"/>
      <c r="D43" s="441"/>
    </row>
  </sheetData>
  <mergeCells count="4">
    <mergeCell ref="A2:D2"/>
    <mergeCell ref="A16:D16"/>
    <mergeCell ref="A26:D26"/>
    <mergeCell ref="A34:D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zoomScaleNormal="100" workbookViewId="0">
      <selection activeCell="F33" sqref="F33"/>
    </sheetView>
  </sheetViews>
  <sheetFormatPr defaultColWidth="9.109375" defaultRowHeight="13.2" x14ac:dyDescent="0.25"/>
  <cols>
    <col min="1" max="1" width="39.88671875" style="449" customWidth="1"/>
    <col min="2" max="2" width="13.109375" style="449" customWidth="1"/>
    <col min="3" max="3" width="14.6640625" style="449" customWidth="1"/>
    <col min="4" max="4" width="13.109375" style="449" customWidth="1"/>
    <col min="5" max="16384" width="9.109375" style="449"/>
  </cols>
  <sheetData>
    <row r="1" spans="1:4" ht="13.5" customHeight="1" thickBot="1" x14ac:dyDescent="0.35">
      <c r="A1" s="505"/>
      <c r="B1" s="505"/>
      <c r="C1" s="1074" t="s">
        <v>390</v>
      </c>
      <c r="D1" s="1074"/>
    </row>
    <row r="2" spans="1:4" s="469" customFormat="1" ht="26.4" x14ac:dyDescent="0.25">
      <c r="A2" s="470" t="s">
        <v>283</v>
      </c>
      <c r="B2" s="640" t="s">
        <v>282</v>
      </c>
      <c r="C2" s="770" t="s">
        <v>792</v>
      </c>
      <c r="D2" s="771" t="s">
        <v>305</v>
      </c>
    </row>
    <row r="3" spans="1:4" x14ac:dyDescent="0.25">
      <c r="A3" s="450" t="s">
        <v>531</v>
      </c>
      <c r="B3" s="451">
        <v>1500</v>
      </c>
      <c r="C3" s="452"/>
      <c r="D3" s="452">
        <f>+C3+B3</f>
        <v>1500</v>
      </c>
    </row>
    <row r="4" spans="1:4" x14ac:dyDescent="0.25">
      <c r="A4" s="450" t="s">
        <v>586</v>
      </c>
      <c r="B4" s="451">
        <v>250</v>
      </c>
      <c r="C4" s="452"/>
      <c r="D4" s="452">
        <f t="shared" ref="D4:D19" si="0">+C4+B4</f>
        <v>250</v>
      </c>
    </row>
    <row r="5" spans="1:4" x14ac:dyDescent="0.25">
      <c r="A5" s="450" t="s">
        <v>767</v>
      </c>
      <c r="B5" s="451">
        <f>14444+2521</f>
        <v>16965</v>
      </c>
      <c r="C5" s="452"/>
      <c r="D5" s="452">
        <f t="shared" si="0"/>
        <v>16965</v>
      </c>
    </row>
    <row r="6" spans="1:4" x14ac:dyDescent="0.25">
      <c r="A6" s="450" t="s">
        <v>532</v>
      </c>
      <c r="B6" s="451">
        <f>15000+400</f>
        <v>15400</v>
      </c>
      <c r="C6" s="452"/>
      <c r="D6" s="452">
        <f t="shared" si="0"/>
        <v>15400</v>
      </c>
    </row>
    <row r="7" spans="1:4" x14ac:dyDescent="0.25">
      <c r="A7" s="450" t="s">
        <v>580</v>
      </c>
      <c r="B7" s="451">
        <f>4050+405+32416+121992+5325</f>
        <v>164188</v>
      </c>
      <c r="C7" s="452"/>
      <c r="D7" s="452">
        <f t="shared" si="0"/>
        <v>164188</v>
      </c>
    </row>
    <row r="8" spans="1:4" ht="15" customHeight="1" x14ac:dyDescent="0.25">
      <c r="A8" s="450" t="s">
        <v>511</v>
      </c>
      <c r="B8" s="451">
        <v>1500</v>
      </c>
      <c r="C8" s="452"/>
      <c r="D8" s="452">
        <f t="shared" si="0"/>
        <v>1500</v>
      </c>
    </row>
    <row r="9" spans="1:4" x14ac:dyDescent="0.25">
      <c r="A9" s="450" t="s">
        <v>512</v>
      </c>
      <c r="B9" s="525">
        <v>4350</v>
      </c>
      <c r="C9" s="452"/>
      <c r="D9" s="452">
        <f t="shared" si="0"/>
        <v>4350</v>
      </c>
    </row>
    <row r="10" spans="1:4" x14ac:dyDescent="0.25">
      <c r="A10" s="450" t="s">
        <v>576</v>
      </c>
      <c r="B10" s="451">
        <f>960+395</f>
        <v>1355</v>
      </c>
      <c r="C10" s="452"/>
      <c r="D10" s="452">
        <f t="shared" si="0"/>
        <v>1355</v>
      </c>
    </row>
    <row r="11" spans="1:4" x14ac:dyDescent="0.25">
      <c r="A11" s="450" t="s">
        <v>536</v>
      </c>
      <c r="B11" s="451">
        <f>68+405+405+4050+108+4581</f>
        <v>9617</v>
      </c>
      <c r="C11" s="452"/>
      <c r="D11" s="452">
        <f t="shared" si="0"/>
        <v>9617</v>
      </c>
    </row>
    <row r="12" spans="1:4" x14ac:dyDescent="0.25">
      <c r="A12" s="450" t="s">
        <v>590</v>
      </c>
      <c r="B12" s="451"/>
      <c r="C12" s="452"/>
      <c r="D12" s="452">
        <f t="shared" si="0"/>
        <v>0</v>
      </c>
    </row>
    <row r="13" spans="1:4" x14ac:dyDescent="0.25">
      <c r="A13" s="450" t="s">
        <v>665</v>
      </c>
      <c r="B13" s="451"/>
      <c r="C13" s="452"/>
      <c r="D13" s="452">
        <f t="shared" si="0"/>
        <v>0</v>
      </c>
    </row>
    <row r="14" spans="1:4" x14ac:dyDescent="0.25">
      <c r="A14" s="450" t="s">
        <v>533</v>
      </c>
      <c r="B14" s="525">
        <v>200</v>
      </c>
      <c r="C14" s="452"/>
      <c r="D14" s="452">
        <f t="shared" si="0"/>
        <v>200</v>
      </c>
    </row>
    <row r="15" spans="1:4" x14ac:dyDescent="0.25">
      <c r="A15" s="450" t="s">
        <v>534</v>
      </c>
      <c r="B15" s="525">
        <v>1600</v>
      </c>
      <c r="C15" s="453"/>
      <c r="D15" s="452">
        <f t="shared" si="0"/>
        <v>1600</v>
      </c>
    </row>
    <row r="16" spans="1:4" x14ac:dyDescent="0.25">
      <c r="A16" s="450" t="s">
        <v>535</v>
      </c>
      <c r="B16" s="525">
        <v>300</v>
      </c>
      <c r="C16" s="453"/>
      <c r="D16" s="452">
        <f t="shared" si="0"/>
        <v>300</v>
      </c>
    </row>
    <row r="17" spans="1:4" x14ac:dyDescent="0.25">
      <c r="A17" s="450" t="s">
        <v>589</v>
      </c>
      <c r="B17" s="525">
        <v>1806</v>
      </c>
      <c r="C17" s="453"/>
      <c r="D17" s="452">
        <f t="shared" si="0"/>
        <v>1806</v>
      </c>
    </row>
    <row r="18" spans="1:4" x14ac:dyDescent="0.25">
      <c r="A18" s="450" t="s">
        <v>536</v>
      </c>
      <c r="B18" s="525">
        <f>54+432+81</f>
        <v>567</v>
      </c>
      <c r="C18" s="453"/>
      <c r="D18" s="452">
        <f t="shared" si="0"/>
        <v>567</v>
      </c>
    </row>
    <row r="19" spans="1:4" x14ac:dyDescent="0.25">
      <c r="A19" s="450" t="s">
        <v>577</v>
      </c>
      <c r="B19" s="525">
        <v>567</v>
      </c>
      <c r="C19" s="453"/>
      <c r="D19" s="452">
        <f t="shared" si="0"/>
        <v>567</v>
      </c>
    </row>
    <row r="20" spans="1:4" x14ac:dyDescent="0.25">
      <c r="A20" s="450"/>
      <c r="B20" s="454"/>
      <c r="C20" s="453"/>
      <c r="D20" s="453"/>
    </row>
    <row r="21" spans="1:4" ht="13.8" thickBot="1" x14ac:dyDescent="0.3">
      <c r="A21" s="455" t="s">
        <v>513</v>
      </c>
      <c r="B21" s="456">
        <f>SUM(B3:B20)</f>
        <v>220165</v>
      </c>
      <c r="C21" s="457">
        <f>SUM(C3:C19)</f>
        <v>0</v>
      </c>
      <c r="D21" s="457">
        <f>SUM(D3:D19)</f>
        <v>220165</v>
      </c>
    </row>
    <row r="23" spans="1:4" ht="13.8" thickBot="1" x14ac:dyDescent="0.3"/>
    <row r="24" spans="1:4" x14ac:dyDescent="0.25">
      <c r="A24" s="641"/>
      <c r="B24" s="642"/>
      <c r="C24" s="643"/>
      <c r="D24" s="644"/>
    </row>
    <row r="25" spans="1:4" x14ac:dyDescent="0.25">
      <c r="A25" s="458"/>
      <c r="B25" s="459"/>
      <c r="C25" s="460"/>
      <c r="D25" s="461"/>
    </row>
    <row r="26" spans="1:4" ht="13.8" thickBot="1" x14ac:dyDescent="0.3">
      <c r="A26" s="455" t="s">
        <v>514</v>
      </c>
      <c r="B26" s="462">
        <f>SUM(B24:B25)</f>
        <v>0</v>
      </c>
      <c r="C26" s="463"/>
      <c r="D26" s="457">
        <f>SUM(D24:D25)</f>
        <v>0</v>
      </c>
    </row>
    <row r="32" spans="1:4" x14ac:dyDescent="0.25">
      <c r="A32" s="449" t="s">
        <v>515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E13" sqref="E13"/>
    </sheetView>
  </sheetViews>
  <sheetFormatPr defaultColWidth="9.109375" defaultRowHeight="13.2" x14ac:dyDescent="0.25"/>
  <cols>
    <col min="1" max="1" width="39.33203125" style="449" customWidth="1"/>
    <col min="2" max="2" width="15.109375" style="449" customWidth="1"/>
    <col min="3" max="3" width="16.6640625" style="449" customWidth="1"/>
    <col min="4" max="4" width="15.6640625" style="449" customWidth="1"/>
    <col min="5" max="16384" width="9.109375" style="449"/>
  </cols>
  <sheetData>
    <row r="1" spans="1:4" ht="15.75" customHeight="1" thickBot="1" x14ac:dyDescent="0.3">
      <c r="D1" s="769" t="s">
        <v>390</v>
      </c>
    </row>
    <row r="2" spans="1:4" s="469" customFormat="1" ht="26.4" x14ac:dyDescent="0.25">
      <c r="A2" s="645" t="s">
        <v>283</v>
      </c>
      <c r="B2" s="776" t="s">
        <v>282</v>
      </c>
      <c r="C2" s="777" t="s">
        <v>792</v>
      </c>
      <c r="D2" s="778" t="s">
        <v>305</v>
      </c>
    </row>
    <row r="3" spans="1:4" x14ac:dyDescent="0.25">
      <c r="A3" s="646" t="s">
        <v>516</v>
      </c>
      <c r="B3" s="453">
        <v>20000</v>
      </c>
      <c r="C3" s="453"/>
      <c r="D3" s="779">
        <f>+C3+B3</f>
        <v>20000</v>
      </c>
    </row>
    <row r="4" spans="1:4" x14ac:dyDescent="0.25">
      <c r="A4" s="646" t="s">
        <v>517</v>
      </c>
      <c r="B4" s="453">
        <v>54000</v>
      </c>
      <c r="C4" s="453"/>
      <c r="D4" s="779">
        <f t="shared" ref="D4:D23" si="0">+C4+B4</f>
        <v>54000</v>
      </c>
    </row>
    <row r="5" spans="1:4" x14ac:dyDescent="0.25">
      <c r="A5" s="646" t="s">
        <v>518</v>
      </c>
      <c r="B5" s="453">
        <v>55000</v>
      </c>
      <c r="C5" s="453"/>
      <c r="D5" s="779">
        <f t="shared" si="0"/>
        <v>55000</v>
      </c>
    </row>
    <row r="6" spans="1:4" x14ac:dyDescent="0.25">
      <c r="A6" s="646" t="s">
        <v>519</v>
      </c>
      <c r="B6" s="453">
        <f>120000</f>
        <v>120000</v>
      </c>
      <c r="C6" s="453"/>
      <c r="D6" s="779">
        <f t="shared" si="0"/>
        <v>120000</v>
      </c>
    </row>
    <row r="7" spans="1:4" x14ac:dyDescent="0.25">
      <c r="A7" s="647" t="s">
        <v>520</v>
      </c>
      <c r="B7" s="464">
        <f>SUM(B3:B6)</f>
        <v>249000</v>
      </c>
      <c r="C7" s="465"/>
      <c r="D7" s="780">
        <f t="shared" si="0"/>
        <v>249000</v>
      </c>
    </row>
    <row r="8" spans="1:4" x14ac:dyDescent="0.25">
      <c r="A8" s="646"/>
      <c r="B8" s="451"/>
      <c r="C8" s="453"/>
      <c r="D8" s="779">
        <f t="shared" si="0"/>
        <v>0</v>
      </c>
    </row>
    <row r="9" spans="1:4" x14ac:dyDescent="0.25">
      <c r="A9" s="646" t="s">
        <v>521</v>
      </c>
      <c r="B9" s="451">
        <v>18000</v>
      </c>
      <c r="C9" s="453"/>
      <c r="D9" s="779">
        <f t="shared" si="0"/>
        <v>18000</v>
      </c>
    </row>
    <row r="10" spans="1:4" x14ac:dyDescent="0.25">
      <c r="A10" s="647" t="s">
        <v>522</v>
      </c>
      <c r="B10" s="464">
        <f>+B9</f>
        <v>18000</v>
      </c>
      <c r="C10" s="465"/>
      <c r="D10" s="780">
        <f t="shared" si="0"/>
        <v>18000</v>
      </c>
    </row>
    <row r="11" spans="1:4" x14ac:dyDescent="0.25">
      <c r="A11" s="646"/>
      <c r="B11" s="451"/>
      <c r="C11" s="453"/>
      <c r="D11" s="779">
        <f t="shared" si="0"/>
        <v>0</v>
      </c>
    </row>
    <row r="12" spans="1:4" x14ac:dyDescent="0.25">
      <c r="A12" s="646" t="s">
        <v>537</v>
      </c>
      <c r="B12" s="525">
        <v>3500</v>
      </c>
      <c r="C12" s="453"/>
      <c r="D12" s="779">
        <f t="shared" si="0"/>
        <v>3500</v>
      </c>
    </row>
    <row r="13" spans="1:4" ht="13.5" customHeight="1" x14ac:dyDescent="0.25">
      <c r="A13" s="646" t="s">
        <v>523</v>
      </c>
      <c r="B13" s="451">
        <v>2000</v>
      </c>
      <c r="C13" s="453"/>
      <c r="D13" s="779">
        <f t="shared" si="0"/>
        <v>2000</v>
      </c>
    </row>
    <row r="14" spans="1:4" ht="13.5" customHeight="1" x14ac:dyDescent="0.25">
      <c r="A14" s="646" t="s">
        <v>524</v>
      </c>
      <c r="B14" s="451"/>
      <c r="C14" s="453"/>
      <c r="D14" s="779">
        <f t="shared" si="0"/>
        <v>0</v>
      </c>
    </row>
    <row r="15" spans="1:4" x14ac:dyDescent="0.25">
      <c r="A15" s="647" t="s">
        <v>525</v>
      </c>
      <c r="B15" s="464">
        <f>SUM(B12:B14)</f>
        <v>5500</v>
      </c>
      <c r="C15" s="465"/>
      <c r="D15" s="780">
        <f t="shared" si="0"/>
        <v>5500</v>
      </c>
    </row>
    <row r="16" spans="1:4" x14ac:dyDescent="0.25">
      <c r="A16" s="646"/>
      <c r="B16" s="454"/>
      <c r="C16" s="453"/>
      <c r="D16" s="779">
        <f t="shared" si="0"/>
        <v>0</v>
      </c>
    </row>
    <row r="17" spans="1:4" x14ac:dyDescent="0.25">
      <c r="A17" s="646" t="s">
        <v>674</v>
      </c>
      <c r="B17" s="453"/>
      <c r="C17" s="453"/>
      <c r="D17" s="779">
        <f t="shared" si="0"/>
        <v>0</v>
      </c>
    </row>
    <row r="18" spans="1:4" x14ac:dyDescent="0.25">
      <c r="A18" s="646" t="s">
        <v>735</v>
      </c>
      <c r="B18" s="453"/>
      <c r="C18" s="453"/>
      <c r="D18" s="779">
        <f t="shared" si="0"/>
        <v>0</v>
      </c>
    </row>
    <row r="19" spans="1:4" x14ac:dyDescent="0.25">
      <c r="A19" s="646" t="s">
        <v>675</v>
      </c>
      <c r="B19" s="453"/>
      <c r="C19" s="453"/>
      <c r="D19" s="779">
        <f t="shared" si="0"/>
        <v>0</v>
      </c>
    </row>
    <row r="20" spans="1:4" x14ac:dyDescent="0.25">
      <c r="A20" s="646" t="s">
        <v>679</v>
      </c>
      <c r="B20" s="453">
        <v>16000</v>
      </c>
      <c r="C20" s="453"/>
      <c r="D20" s="779">
        <f t="shared" si="0"/>
        <v>16000</v>
      </c>
    </row>
    <row r="21" spans="1:4" x14ac:dyDescent="0.25">
      <c r="A21" s="647" t="s">
        <v>673</v>
      </c>
      <c r="B21" s="464">
        <f>SUM(B17:B20)</f>
        <v>16000</v>
      </c>
      <c r="C21" s="465"/>
      <c r="D21" s="780">
        <f t="shared" si="0"/>
        <v>16000</v>
      </c>
    </row>
    <row r="22" spans="1:4" x14ac:dyDescent="0.25">
      <c r="A22" s="646"/>
      <c r="B22" s="464"/>
      <c r="C22" s="465"/>
      <c r="D22" s="780">
        <f t="shared" si="0"/>
        <v>0</v>
      </c>
    </row>
    <row r="23" spans="1:4" ht="13.8" thickBot="1" x14ac:dyDescent="0.3">
      <c r="A23" s="648" t="s">
        <v>526</v>
      </c>
      <c r="B23" s="456">
        <f>+B15+B10+B7+B21</f>
        <v>288500</v>
      </c>
      <c r="C23" s="457"/>
      <c r="D23" s="781">
        <f t="shared" si="0"/>
        <v>288500</v>
      </c>
    </row>
    <row r="24" spans="1:4" x14ac:dyDescent="0.25">
      <c r="D24" s="466"/>
    </row>
    <row r="25" spans="1:4" x14ac:dyDescent="0.25">
      <c r="D25" s="466"/>
    </row>
    <row r="26" spans="1:4" x14ac:dyDescent="0.25">
      <c r="D26" s="466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16" zoomScale="90" zoomScaleNormal="90" zoomScalePageLayoutView="70" workbookViewId="0">
      <selection activeCell="F46" sqref="F46"/>
    </sheetView>
  </sheetViews>
  <sheetFormatPr defaultColWidth="9.109375" defaultRowHeight="13.2" x14ac:dyDescent="0.3"/>
  <cols>
    <col min="1" max="1" width="36.6640625" style="382" customWidth="1"/>
    <col min="2" max="4" width="12.6640625" style="384" customWidth="1"/>
    <col min="5" max="7" width="14.33203125" style="382" customWidth="1"/>
    <col min="8" max="10" width="14.33203125" style="383" customWidth="1"/>
    <col min="11" max="16384" width="9.109375" style="382"/>
  </cols>
  <sheetData>
    <row r="1" spans="1:10" ht="53.25" customHeight="1" x14ac:dyDescent="0.3">
      <c r="A1" s="1075" t="s">
        <v>538</v>
      </c>
      <c r="B1" s="1077" t="s">
        <v>608</v>
      </c>
      <c r="C1" s="1077"/>
      <c r="D1" s="1078"/>
      <c r="E1" s="1077" t="s">
        <v>609</v>
      </c>
      <c r="F1" s="1077"/>
      <c r="G1" s="1077"/>
      <c r="H1" s="1079" t="s">
        <v>929</v>
      </c>
      <c r="I1" s="1079" t="s">
        <v>797</v>
      </c>
      <c r="J1" s="1079" t="s">
        <v>930</v>
      </c>
    </row>
    <row r="2" spans="1:10" s="383" customFormat="1" ht="39.75" customHeight="1" x14ac:dyDescent="0.3">
      <c r="A2" s="1076"/>
      <c r="B2" s="388" t="s">
        <v>929</v>
      </c>
      <c r="C2" s="388" t="s">
        <v>797</v>
      </c>
      <c r="D2" s="388" t="s">
        <v>930</v>
      </c>
      <c r="E2" s="388" t="s">
        <v>929</v>
      </c>
      <c r="F2" s="388" t="s">
        <v>797</v>
      </c>
      <c r="G2" s="388" t="s">
        <v>930</v>
      </c>
      <c r="H2" s="1080"/>
      <c r="I2" s="1080"/>
      <c r="J2" s="1080"/>
    </row>
    <row r="3" spans="1:10" ht="16.5" customHeight="1" x14ac:dyDescent="0.3">
      <c r="A3" s="389" t="s">
        <v>539</v>
      </c>
      <c r="B3" s="725">
        <v>100714200</v>
      </c>
      <c r="C3" s="725"/>
      <c r="D3" s="725">
        <f>+C3+B3</f>
        <v>100714200</v>
      </c>
      <c r="E3" s="391">
        <v>0</v>
      </c>
      <c r="F3" s="391"/>
      <c r="G3" s="391">
        <f>+F3+E3</f>
        <v>0</v>
      </c>
      <c r="H3" s="531">
        <f>+B3+E3</f>
        <v>100714200</v>
      </c>
      <c r="I3" s="531">
        <f t="shared" ref="I3:J3" si="0">+C3+F3</f>
        <v>0</v>
      </c>
      <c r="J3" s="531">
        <f t="shared" si="0"/>
        <v>100714200</v>
      </c>
    </row>
    <row r="4" spans="1:10" ht="16.5" customHeight="1" x14ac:dyDescent="0.3">
      <c r="A4" s="392" t="s">
        <v>540</v>
      </c>
      <c r="B4" s="393">
        <v>25387472</v>
      </c>
      <c r="C4" s="393"/>
      <c r="D4" s="393">
        <f t="shared" ref="D4:D45" si="1">+C4+B4</f>
        <v>25387472</v>
      </c>
      <c r="E4" s="394">
        <v>0</v>
      </c>
      <c r="F4" s="394"/>
      <c r="G4" s="394">
        <f t="shared" ref="G4:G45" si="2">+F4+E4</f>
        <v>0</v>
      </c>
      <c r="H4" s="531">
        <f t="shared" ref="H4:H46" si="3">+B4+E4</f>
        <v>25387472</v>
      </c>
      <c r="I4" s="531">
        <f t="shared" ref="I4:I46" si="4">+C4+F4</f>
        <v>0</v>
      </c>
      <c r="J4" s="531">
        <f t="shared" ref="J4:J46" si="5">+D4+G4</f>
        <v>25387472</v>
      </c>
    </row>
    <row r="5" spans="1:10" s="420" customFormat="1" ht="16.5" customHeight="1" x14ac:dyDescent="0.3">
      <c r="A5" s="417" t="s">
        <v>568</v>
      </c>
      <c r="B5" s="418">
        <v>7900890</v>
      </c>
      <c r="C5" s="418"/>
      <c r="D5" s="418">
        <f t="shared" si="1"/>
        <v>7900890</v>
      </c>
      <c r="E5" s="419">
        <v>0</v>
      </c>
      <c r="F5" s="419"/>
      <c r="G5" s="419">
        <f t="shared" si="2"/>
        <v>0</v>
      </c>
      <c r="H5" s="531">
        <f t="shared" si="3"/>
        <v>7900890</v>
      </c>
      <c r="I5" s="531">
        <f t="shared" si="4"/>
        <v>0</v>
      </c>
      <c r="J5" s="531">
        <f t="shared" si="5"/>
        <v>7900890</v>
      </c>
    </row>
    <row r="6" spans="1:10" s="420" customFormat="1" ht="16.5" customHeight="1" x14ac:dyDescent="0.3">
      <c r="A6" s="417" t="s">
        <v>570</v>
      </c>
      <c r="B6" s="418">
        <v>10880000</v>
      </c>
      <c r="C6" s="418"/>
      <c r="D6" s="418">
        <f t="shared" si="1"/>
        <v>10880000</v>
      </c>
      <c r="E6" s="419">
        <v>0</v>
      </c>
      <c r="F6" s="419"/>
      <c r="G6" s="419">
        <f t="shared" si="2"/>
        <v>0</v>
      </c>
      <c r="H6" s="531">
        <f t="shared" si="3"/>
        <v>10880000</v>
      </c>
      <c r="I6" s="531">
        <f t="shared" si="4"/>
        <v>0</v>
      </c>
      <c r="J6" s="531">
        <f t="shared" si="5"/>
        <v>10880000</v>
      </c>
    </row>
    <row r="7" spans="1:10" s="420" customFormat="1" ht="16.5" customHeight="1" x14ac:dyDescent="0.3">
      <c r="A7" s="417" t="s">
        <v>571</v>
      </c>
      <c r="B7" s="418">
        <v>1539942</v>
      </c>
      <c r="C7" s="418"/>
      <c r="D7" s="418">
        <f t="shared" si="1"/>
        <v>1539942</v>
      </c>
      <c r="E7" s="419">
        <v>0</v>
      </c>
      <c r="F7" s="419"/>
      <c r="G7" s="419">
        <f t="shared" si="2"/>
        <v>0</v>
      </c>
      <c r="H7" s="531">
        <f t="shared" si="3"/>
        <v>1539942</v>
      </c>
      <c r="I7" s="531">
        <f t="shared" si="4"/>
        <v>0</v>
      </c>
      <c r="J7" s="531">
        <f t="shared" si="5"/>
        <v>1539942</v>
      </c>
    </row>
    <row r="8" spans="1:10" s="420" customFormat="1" ht="16.5" customHeight="1" x14ac:dyDescent="0.3">
      <c r="A8" s="417" t="s">
        <v>569</v>
      </c>
      <c r="B8" s="418">
        <v>5066640</v>
      </c>
      <c r="C8" s="418"/>
      <c r="D8" s="418">
        <f t="shared" si="1"/>
        <v>5066640</v>
      </c>
      <c r="E8" s="419">
        <v>0</v>
      </c>
      <c r="F8" s="419"/>
      <c r="G8" s="419">
        <f t="shared" si="2"/>
        <v>0</v>
      </c>
      <c r="H8" s="531">
        <f t="shared" si="3"/>
        <v>5066640</v>
      </c>
      <c r="I8" s="531">
        <f t="shared" si="4"/>
        <v>0</v>
      </c>
      <c r="J8" s="531">
        <f t="shared" si="5"/>
        <v>5066640</v>
      </c>
    </row>
    <row r="9" spans="1:10" ht="26.25" customHeight="1" x14ac:dyDescent="0.3">
      <c r="A9" s="558" t="s">
        <v>541</v>
      </c>
      <c r="B9" s="559">
        <v>-15402975</v>
      </c>
      <c r="C9" s="559"/>
      <c r="D9" s="559">
        <f t="shared" si="1"/>
        <v>-15402975</v>
      </c>
      <c r="E9" s="560">
        <v>0</v>
      </c>
      <c r="F9" s="560"/>
      <c r="G9" s="560">
        <f t="shared" si="2"/>
        <v>0</v>
      </c>
      <c r="H9" s="656">
        <f t="shared" si="3"/>
        <v>-15402975</v>
      </c>
      <c r="I9" s="656">
        <f t="shared" si="4"/>
        <v>0</v>
      </c>
      <c r="J9" s="656">
        <f t="shared" si="5"/>
        <v>-15402975</v>
      </c>
    </row>
    <row r="10" spans="1:10" ht="16.5" customHeight="1" x14ac:dyDescent="0.3">
      <c r="A10" s="395" t="s">
        <v>542</v>
      </c>
      <c r="B10" s="396">
        <v>15403500</v>
      </c>
      <c r="C10" s="396"/>
      <c r="D10" s="396">
        <f t="shared" si="1"/>
        <v>15403500</v>
      </c>
      <c r="E10" s="397">
        <v>0</v>
      </c>
      <c r="F10" s="397"/>
      <c r="G10" s="397">
        <f t="shared" si="2"/>
        <v>0</v>
      </c>
      <c r="H10" s="657">
        <f t="shared" si="3"/>
        <v>15403500</v>
      </c>
      <c r="I10" s="657">
        <f t="shared" si="4"/>
        <v>0</v>
      </c>
      <c r="J10" s="657">
        <f t="shared" si="5"/>
        <v>15403500</v>
      </c>
    </row>
    <row r="11" spans="1:10" s="383" customFormat="1" ht="16.5" customHeight="1" x14ac:dyDescent="0.3">
      <c r="A11" s="398" t="s">
        <v>557</v>
      </c>
      <c r="B11" s="399">
        <v>0</v>
      </c>
      <c r="C11" s="399"/>
      <c r="D11" s="399">
        <f t="shared" si="1"/>
        <v>0</v>
      </c>
      <c r="E11" s="400">
        <v>0</v>
      </c>
      <c r="F11" s="400"/>
      <c r="G11" s="400">
        <f t="shared" si="2"/>
        <v>0</v>
      </c>
      <c r="H11" s="658">
        <f t="shared" si="3"/>
        <v>0</v>
      </c>
      <c r="I11" s="658">
        <f t="shared" si="4"/>
        <v>0</v>
      </c>
      <c r="J11" s="658">
        <f t="shared" si="5"/>
        <v>0</v>
      </c>
    </row>
    <row r="12" spans="1:10" s="383" customFormat="1" ht="16.5" customHeight="1" x14ac:dyDescent="0.3">
      <c r="A12" s="538" t="s">
        <v>559</v>
      </c>
      <c r="B12" s="539">
        <v>897600</v>
      </c>
      <c r="C12" s="539"/>
      <c r="D12" s="539">
        <f t="shared" si="1"/>
        <v>897600</v>
      </c>
      <c r="E12" s="540">
        <v>0</v>
      </c>
      <c r="F12" s="540"/>
      <c r="G12" s="540">
        <f t="shared" si="2"/>
        <v>0</v>
      </c>
      <c r="H12" s="532">
        <f t="shared" si="3"/>
        <v>897600</v>
      </c>
      <c r="I12" s="532">
        <f t="shared" si="4"/>
        <v>0</v>
      </c>
      <c r="J12" s="532">
        <f t="shared" si="5"/>
        <v>897600</v>
      </c>
    </row>
    <row r="13" spans="1:10" s="383" customFormat="1" ht="16.5" customHeight="1" thickBot="1" x14ac:dyDescent="0.35">
      <c r="A13" s="730" t="s">
        <v>765</v>
      </c>
      <c r="B13" s="731">
        <v>1756400</v>
      </c>
      <c r="C13" s="731"/>
      <c r="D13" s="731">
        <f t="shared" si="1"/>
        <v>1756400</v>
      </c>
      <c r="E13" s="732"/>
      <c r="F13" s="732"/>
      <c r="G13" s="732">
        <f t="shared" si="2"/>
        <v>0</v>
      </c>
      <c r="H13" s="659">
        <f t="shared" si="3"/>
        <v>1756400</v>
      </c>
      <c r="I13" s="659">
        <f t="shared" si="4"/>
        <v>0</v>
      </c>
      <c r="J13" s="659">
        <f t="shared" si="5"/>
        <v>1756400</v>
      </c>
    </row>
    <row r="14" spans="1:10" s="383" customFormat="1" ht="13.8" thickBot="1" x14ac:dyDescent="0.35">
      <c r="A14" s="533" t="s">
        <v>544</v>
      </c>
      <c r="B14" s="724">
        <f>+B3+B4+B9+B10+B11+B12+B13</f>
        <v>128756197</v>
      </c>
      <c r="C14" s="724"/>
      <c r="D14" s="724">
        <f t="shared" si="1"/>
        <v>128756197</v>
      </c>
      <c r="E14" s="416">
        <f t="shared" ref="E14" si="6">+E3+E4+E9+E10+E11+E12</f>
        <v>0</v>
      </c>
      <c r="F14" s="416"/>
      <c r="G14" s="416">
        <f t="shared" si="2"/>
        <v>0</v>
      </c>
      <c r="H14" s="724">
        <f t="shared" si="3"/>
        <v>128756197</v>
      </c>
      <c r="I14" s="724">
        <f t="shared" si="4"/>
        <v>0</v>
      </c>
      <c r="J14" s="724">
        <f t="shared" si="5"/>
        <v>128756197</v>
      </c>
    </row>
    <row r="15" spans="1:10" ht="16.5" customHeight="1" x14ac:dyDescent="0.3">
      <c r="A15" s="404" t="s">
        <v>726</v>
      </c>
      <c r="B15" s="725">
        <v>63928200</v>
      </c>
      <c r="C15" s="725"/>
      <c r="D15" s="725">
        <f t="shared" si="1"/>
        <v>63928200</v>
      </c>
      <c r="E15" s="391"/>
      <c r="F15" s="391"/>
      <c r="G15" s="391">
        <f t="shared" si="2"/>
        <v>0</v>
      </c>
      <c r="H15" s="531">
        <f t="shared" si="3"/>
        <v>63928200</v>
      </c>
      <c r="I15" s="531">
        <f t="shared" si="4"/>
        <v>0</v>
      </c>
      <c r="J15" s="531">
        <f t="shared" si="5"/>
        <v>63928200</v>
      </c>
    </row>
    <row r="16" spans="1:10" ht="16.5" customHeight="1" x14ac:dyDescent="0.3">
      <c r="A16" s="405" t="s">
        <v>727</v>
      </c>
      <c r="B16" s="726">
        <v>30933000</v>
      </c>
      <c r="C16" s="726"/>
      <c r="D16" s="726">
        <f t="shared" si="1"/>
        <v>30933000</v>
      </c>
      <c r="E16" s="397"/>
      <c r="F16" s="397"/>
      <c r="G16" s="397">
        <f t="shared" si="2"/>
        <v>0</v>
      </c>
      <c r="H16" s="532">
        <f t="shared" si="3"/>
        <v>30933000</v>
      </c>
      <c r="I16" s="532">
        <f t="shared" si="4"/>
        <v>0</v>
      </c>
      <c r="J16" s="532">
        <f t="shared" si="5"/>
        <v>30933000</v>
      </c>
    </row>
    <row r="17" spans="1:10" s="383" customFormat="1" ht="16.5" customHeight="1" x14ac:dyDescent="0.3">
      <c r="A17" s="552" t="s">
        <v>545</v>
      </c>
      <c r="B17" s="655">
        <f>SUM(B15:B16)</f>
        <v>94861200</v>
      </c>
      <c r="C17" s="655"/>
      <c r="D17" s="655">
        <f t="shared" si="1"/>
        <v>94861200</v>
      </c>
      <c r="E17" s="402">
        <f t="shared" ref="E17" si="7">SUM(E15:E16)</f>
        <v>0</v>
      </c>
      <c r="F17" s="402"/>
      <c r="G17" s="402">
        <f t="shared" si="2"/>
        <v>0</v>
      </c>
      <c r="H17" s="657">
        <f t="shared" si="3"/>
        <v>94861200</v>
      </c>
      <c r="I17" s="657">
        <f t="shared" si="4"/>
        <v>0</v>
      </c>
      <c r="J17" s="657">
        <f t="shared" si="5"/>
        <v>94861200</v>
      </c>
    </row>
    <row r="18" spans="1:10" s="383" customFormat="1" ht="16.5" customHeight="1" x14ac:dyDescent="0.3">
      <c r="A18" s="552" t="s">
        <v>546</v>
      </c>
      <c r="B18" s="655"/>
      <c r="C18" s="655"/>
      <c r="D18" s="655">
        <f t="shared" si="1"/>
        <v>0</v>
      </c>
      <c r="E18" s="403"/>
      <c r="F18" s="403"/>
      <c r="G18" s="403">
        <f t="shared" si="2"/>
        <v>0</v>
      </c>
      <c r="H18" s="657">
        <f t="shared" si="3"/>
        <v>0</v>
      </c>
      <c r="I18" s="657">
        <f t="shared" si="4"/>
        <v>0</v>
      </c>
      <c r="J18" s="657">
        <f t="shared" si="5"/>
        <v>0</v>
      </c>
    </row>
    <row r="19" spans="1:10" s="383" customFormat="1" ht="33.75" customHeight="1" x14ac:dyDescent="0.3">
      <c r="A19" s="557" t="s">
        <v>564</v>
      </c>
      <c r="B19" s="655">
        <v>1604000</v>
      </c>
      <c r="C19" s="655"/>
      <c r="D19" s="655">
        <f t="shared" si="1"/>
        <v>1604000</v>
      </c>
      <c r="E19" s="403"/>
      <c r="F19" s="403"/>
      <c r="G19" s="403">
        <f t="shared" si="2"/>
        <v>0</v>
      </c>
      <c r="H19" s="657">
        <f t="shared" si="3"/>
        <v>1604000</v>
      </c>
      <c r="I19" s="657">
        <f t="shared" si="4"/>
        <v>0</v>
      </c>
      <c r="J19" s="657">
        <f t="shared" si="5"/>
        <v>1604000</v>
      </c>
    </row>
    <row r="20" spans="1:10" ht="16.5" customHeight="1" x14ac:dyDescent="0.3">
      <c r="A20" s="404" t="s">
        <v>728</v>
      </c>
      <c r="B20" s="725">
        <v>20580000</v>
      </c>
      <c r="C20" s="725"/>
      <c r="D20" s="725">
        <f t="shared" si="1"/>
        <v>20580000</v>
      </c>
      <c r="E20" s="391"/>
      <c r="F20" s="391"/>
      <c r="G20" s="391">
        <f t="shared" si="2"/>
        <v>0</v>
      </c>
      <c r="H20" s="531">
        <f t="shared" si="3"/>
        <v>20580000</v>
      </c>
      <c r="I20" s="531">
        <f t="shared" si="4"/>
        <v>0</v>
      </c>
      <c r="J20" s="531">
        <f t="shared" si="5"/>
        <v>20580000</v>
      </c>
    </row>
    <row r="21" spans="1:10" ht="16.5" customHeight="1" x14ac:dyDescent="0.3">
      <c r="A21" s="405" t="s">
        <v>727</v>
      </c>
      <c r="B21" s="726">
        <v>10290000</v>
      </c>
      <c r="C21" s="726"/>
      <c r="D21" s="726">
        <f t="shared" si="1"/>
        <v>10290000</v>
      </c>
      <c r="E21" s="397"/>
      <c r="F21" s="397"/>
      <c r="G21" s="397">
        <f t="shared" si="2"/>
        <v>0</v>
      </c>
      <c r="H21" s="532">
        <f t="shared" si="3"/>
        <v>10290000</v>
      </c>
      <c r="I21" s="532">
        <f t="shared" si="4"/>
        <v>0</v>
      </c>
      <c r="J21" s="532">
        <f t="shared" si="5"/>
        <v>10290000</v>
      </c>
    </row>
    <row r="22" spans="1:10" s="383" customFormat="1" ht="29.25" customHeight="1" x14ac:dyDescent="0.3">
      <c r="A22" s="553" t="s">
        <v>729</v>
      </c>
      <c r="B22" s="655">
        <f t="shared" ref="B22" si="8">SUM(B20:B21)</f>
        <v>30870000</v>
      </c>
      <c r="C22" s="655"/>
      <c r="D22" s="655">
        <f t="shared" si="1"/>
        <v>30870000</v>
      </c>
      <c r="E22" s="403">
        <f t="shared" ref="E22" si="9">SUM(E20:E21)</f>
        <v>0</v>
      </c>
      <c r="F22" s="403"/>
      <c r="G22" s="403">
        <f t="shared" si="2"/>
        <v>0</v>
      </c>
      <c r="H22" s="657">
        <f t="shared" si="3"/>
        <v>30870000</v>
      </c>
      <c r="I22" s="657">
        <f t="shared" si="4"/>
        <v>0</v>
      </c>
      <c r="J22" s="657">
        <f t="shared" si="5"/>
        <v>30870000</v>
      </c>
    </row>
    <row r="23" spans="1:10" ht="16.5" customHeight="1" x14ac:dyDescent="0.3">
      <c r="A23" s="404" t="s">
        <v>728</v>
      </c>
      <c r="B23" s="725">
        <v>13072000</v>
      </c>
      <c r="C23" s="725"/>
      <c r="D23" s="725">
        <f t="shared" si="1"/>
        <v>13072000</v>
      </c>
      <c r="E23" s="391"/>
      <c r="F23" s="391"/>
      <c r="G23" s="391">
        <f t="shared" si="2"/>
        <v>0</v>
      </c>
      <c r="H23" s="531">
        <f t="shared" si="3"/>
        <v>13072000</v>
      </c>
      <c r="I23" s="531">
        <f t="shared" si="4"/>
        <v>0</v>
      </c>
      <c r="J23" s="531">
        <f t="shared" si="5"/>
        <v>13072000</v>
      </c>
    </row>
    <row r="24" spans="1:10" ht="16.5" customHeight="1" x14ac:dyDescent="0.3">
      <c r="A24" s="405" t="s">
        <v>727</v>
      </c>
      <c r="B24" s="726">
        <v>6263667</v>
      </c>
      <c r="C24" s="726"/>
      <c r="D24" s="726">
        <f t="shared" si="1"/>
        <v>6263667</v>
      </c>
      <c r="E24" s="397"/>
      <c r="F24" s="397"/>
      <c r="G24" s="397">
        <f t="shared" si="2"/>
        <v>0</v>
      </c>
      <c r="H24" s="532">
        <f t="shared" si="3"/>
        <v>6263667</v>
      </c>
      <c r="I24" s="532">
        <f t="shared" si="4"/>
        <v>0</v>
      </c>
      <c r="J24" s="532">
        <f t="shared" si="5"/>
        <v>6263667</v>
      </c>
    </row>
    <row r="25" spans="1:10" s="383" customFormat="1" ht="16.5" customHeight="1" x14ac:dyDescent="0.3">
      <c r="A25" s="552" t="s">
        <v>547</v>
      </c>
      <c r="B25" s="655">
        <f t="shared" ref="B25" si="10">+B23+B24</f>
        <v>19335667</v>
      </c>
      <c r="C25" s="655"/>
      <c r="D25" s="655">
        <f t="shared" si="1"/>
        <v>19335667</v>
      </c>
      <c r="E25" s="403">
        <f t="shared" ref="E25" si="11">+E23+E24</f>
        <v>0</v>
      </c>
      <c r="F25" s="403"/>
      <c r="G25" s="403">
        <f t="shared" si="2"/>
        <v>0</v>
      </c>
      <c r="H25" s="657">
        <f t="shared" si="3"/>
        <v>19335667</v>
      </c>
      <c r="I25" s="657">
        <f t="shared" si="4"/>
        <v>0</v>
      </c>
      <c r="J25" s="657">
        <f t="shared" si="5"/>
        <v>19335667</v>
      </c>
    </row>
    <row r="26" spans="1:10" ht="16.5" customHeight="1" x14ac:dyDescent="0.3">
      <c r="A26" s="406" t="s">
        <v>548</v>
      </c>
      <c r="B26" s="727">
        <v>31654000</v>
      </c>
      <c r="C26" s="727"/>
      <c r="D26" s="727">
        <f t="shared" si="1"/>
        <v>31654000</v>
      </c>
      <c r="E26" s="407"/>
      <c r="F26" s="407"/>
      <c r="G26" s="407">
        <f t="shared" si="2"/>
        <v>0</v>
      </c>
      <c r="H26" s="531">
        <f t="shared" si="3"/>
        <v>31654000</v>
      </c>
      <c r="I26" s="531">
        <f t="shared" si="4"/>
        <v>0</v>
      </c>
      <c r="J26" s="531">
        <f t="shared" si="5"/>
        <v>31654000</v>
      </c>
    </row>
    <row r="27" spans="1:10" ht="16.5" customHeight="1" x14ac:dyDescent="0.3">
      <c r="A27" s="408" t="s">
        <v>549</v>
      </c>
      <c r="B27" s="729">
        <v>32530540</v>
      </c>
      <c r="C27" s="729"/>
      <c r="D27" s="729">
        <f t="shared" si="1"/>
        <v>32530540</v>
      </c>
      <c r="E27" s="409"/>
      <c r="F27" s="409"/>
      <c r="G27" s="409">
        <f t="shared" si="2"/>
        <v>0</v>
      </c>
      <c r="H27" s="532">
        <f t="shared" si="3"/>
        <v>32530540</v>
      </c>
      <c r="I27" s="532">
        <f t="shared" si="4"/>
        <v>0</v>
      </c>
      <c r="J27" s="532">
        <f t="shared" si="5"/>
        <v>32530540</v>
      </c>
    </row>
    <row r="28" spans="1:10" s="383" customFormat="1" ht="16.5" customHeight="1" thickBot="1" x14ac:dyDescent="0.35">
      <c r="A28" s="554" t="s">
        <v>550</v>
      </c>
      <c r="B28" s="728">
        <f t="shared" ref="B28" si="12">SUM(B26:B27)</f>
        <v>64184540</v>
      </c>
      <c r="C28" s="728"/>
      <c r="D28" s="728">
        <f t="shared" si="1"/>
        <v>64184540</v>
      </c>
      <c r="E28" s="555">
        <f t="shared" ref="E28" si="13">SUM(E26:E27)</f>
        <v>0</v>
      </c>
      <c r="F28" s="555"/>
      <c r="G28" s="555">
        <f t="shared" si="2"/>
        <v>0</v>
      </c>
      <c r="H28" s="659">
        <f t="shared" si="3"/>
        <v>64184540</v>
      </c>
      <c r="I28" s="659">
        <f t="shared" si="4"/>
        <v>0</v>
      </c>
      <c r="J28" s="659">
        <f t="shared" si="5"/>
        <v>64184540</v>
      </c>
    </row>
    <row r="29" spans="1:10" ht="16.5" customHeight="1" thickBot="1" x14ac:dyDescent="0.35">
      <c r="A29" s="533" t="s">
        <v>551</v>
      </c>
      <c r="B29" s="415">
        <f>+B28+B25+B22+B19+B18+B17</f>
        <v>210855407</v>
      </c>
      <c r="C29" s="415"/>
      <c r="D29" s="415">
        <f t="shared" si="1"/>
        <v>210855407</v>
      </c>
      <c r="E29" s="416">
        <f t="shared" ref="E29" si="14">+E28+E25+E22+E19+E18+E17</f>
        <v>0</v>
      </c>
      <c r="F29" s="416"/>
      <c r="G29" s="416">
        <f t="shared" si="2"/>
        <v>0</v>
      </c>
      <c r="H29" s="534">
        <f t="shared" si="3"/>
        <v>210855407</v>
      </c>
      <c r="I29" s="534">
        <f t="shared" si="4"/>
        <v>0</v>
      </c>
      <c r="J29" s="534">
        <f t="shared" si="5"/>
        <v>210855407</v>
      </c>
    </row>
    <row r="30" spans="1:10" ht="16.5" customHeight="1" x14ac:dyDescent="0.3">
      <c r="A30" s="412" t="s">
        <v>615</v>
      </c>
      <c r="B30" s="390"/>
      <c r="C30" s="390"/>
      <c r="D30" s="390">
        <f t="shared" si="1"/>
        <v>0</v>
      </c>
      <c r="E30" s="723">
        <v>17000000</v>
      </c>
      <c r="F30" s="723"/>
      <c r="G30" s="723">
        <f t="shared" si="2"/>
        <v>17000000</v>
      </c>
      <c r="H30" s="531">
        <f t="shared" si="3"/>
        <v>17000000</v>
      </c>
      <c r="I30" s="531">
        <f t="shared" si="4"/>
        <v>0</v>
      </c>
      <c r="J30" s="531">
        <f t="shared" si="5"/>
        <v>17000000</v>
      </c>
    </row>
    <row r="31" spans="1:10" ht="16.5" customHeight="1" x14ac:dyDescent="0.3">
      <c r="A31" s="412" t="s">
        <v>616</v>
      </c>
      <c r="B31" s="390"/>
      <c r="C31" s="390"/>
      <c r="D31" s="390">
        <f t="shared" si="1"/>
        <v>0</v>
      </c>
      <c r="E31" s="723">
        <v>10890000</v>
      </c>
      <c r="F31" s="723"/>
      <c r="G31" s="723">
        <f t="shared" si="2"/>
        <v>10890000</v>
      </c>
      <c r="H31" s="531">
        <f t="shared" si="3"/>
        <v>10890000</v>
      </c>
      <c r="I31" s="531">
        <f t="shared" si="4"/>
        <v>0</v>
      </c>
      <c r="J31" s="531">
        <f t="shared" si="5"/>
        <v>10890000</v>
      </c>
    </row>
    <row r="32" spans="1:10" ht="16.5" customHeight="1" x14ac:dyDescent="0.3">
      <c r="A32" s="412" t="s">
        <v>617</v>
      </c>
      <c r="B32" s="556"/>
      <c r="C32" s="556"/>
      <c r="D32" s="556">
        <f t="shared" si="1"/>
        <v>0</v>
      </c>
      <c r="E32" s="723">
        <v>387520</v>
      </c>
      <c r="F32" s="723"/>
      <c r="G32" s="723">
        <f t="shared" si="2"/>
        <v>387520</v>
      </c>
      <c r="H32" s="531">
        <f t="shared" si="3"/>
        <v>387520</v>
      </c>
      <c r="I32" s="531">
        <f t="shared" si="4"/>
        <v>0</v>
      </c>
      <c r="J32" s="531">
        <f t="shared" si="5"/>
        <v>387520</v>
      </c>
    </row>
    <row r="33" spans="1:10" ht="16.5" customHeight="1" x14ac:dyDescent="0.3">
      <c r="A33" s="392" t="s">
        <v>552</v>
      </c>
      <c r="B33" s="393"/>
      <c r="C33" s="393"/>
      <c r="D33" s="393">
        <f t="shared" si="1"/>
        <v>0</v>
      </c>
      <c r="E33" s="419">
        <f>50000+26598000</f>
        <v>26648000</v>
      </c>
      <c r="F33" s="419"/>
      <c r="G33" s="419">
        <f t="shared" si="2"/>
        <v>26648000</v>
      </c>
      <c r="H33" s="531">
        <f t="shared" si="3"/>
        <v>26648000</v>
      </c>
      <c r="I33" s="531">
        <f t="shared" si="4"/>
        <v>0</v>
      </c>
      <c r="J33" s="531">
        <f t="shared" si="5"/>
        <v>26648000</v>
      </c>
    </row>
    <row r="34" spans="1:10" ht="16.5" customHeight="1" x14ac:dyDescent="0.3">
      <c r="A34" s="392" t="s">
        <v>554</v>
      </c>
      <c r="B34" s="393"/>
      <c r="C34" s="393"/>
      <c r="D34" s="393">
        <f t="shared" si="1"/>
        <v>0</v>
      </c>
      <c r="E34" s="394">
        <v>163500</v>
      </c>
      <c r="F34" s="394"/>
      <c r="G34" s="394">
        <f t="shared" si="2"/>
        <v>163500</v>
      </c>
      <c r="H34" s="531">
        <f t="shared" si="3"/>
        <v>163500</v>
      </c>
      <c r="I34" s="531">
        <f t="shared" si="4"/>
        <v>0</v>
      </c>
      <c r="J34" s="531">
        <f t="shared" si="5"/>
        <v>163500</v>
      </c>
    </row>
    <row r="35" spans="1:10" ht="16.5" customHeight="1" x14ac:dyDescent="0.3">
      <c r="A35" s="392" t="s">
        <v>553</v>
      </c>
      <c r="B35" s="393"/>
      <c r="C35" s="393"/>
      <c r="D35" s="393">
        <f t="shared" si="1"/>
        <v>0</v>
      </c>
      <c r="E35" s="394">
        <v>3100000</v>
      </c>
      <c r="F35" s="394"/>
      <c r="G35" s="394">
        <f t="shared" si="2"/>
        <v>3100000</v>
      </c>
      <c r="H35" s="531">
        <f t="shared" si="3"/>
        <v>3100000</v>
      </c>
      <c r="I35" s="531">
        <f t="shared" si="4"/>
        <v>0</v>
      </c>
      <c r="J35" s="531">
        <f t="shared" si="5"/>
        <v>3100000</v>
      </c>
    </row>
    <row r="36" spans="1:10" ht="16.5" customHeight="1" x14ac:dyDescent="0.3">
      <c r="A36" s="392" t="s">
        <v>670</v>
      </c>
      <c r="B36" s="393"/>
      <c r="C36" s="393"/>
      <c r="D36" s="393">
        <f t="shared" si="1"/>
        <v>0</v>
      </c>
      <c r="E36" s="394">
        <v>4680000</v>
      </c>
      <c r="F36" s="394"/>
      <c r="G36" s="394">
        <f t="shared" si="2"/>
        <v>4680000</v>
      </c>
      <c r="H36" s="531">
        <f t="shared" si="3"/>
        <v>4680000</v>
      </c>
      <c r="I36" s="531">
        <f t="shared" si="4"/>
        <v>0</v>
      </c>
      <c r="J36" s="531">
        <f t="shared" si="5"/>
        <v>4680000</v>
      </c>
    </row>
    <row r="37" spans="1:10" ht="16.5" customHeight="1" x14ac:dyDescent="0.3">
      <c r="A37" s="541" t="s">
        <v>618</v>
      </c>
      <c r="B37" s="410"/>
      <c r="C37" s="410"/>
      <c r="D37" s="410">
        <f t="shared" si="1"/>
        <v>0</v>
      </c>
      <c r="E37" s="411">
        <f>4100000+5940000</f>
        <v>10040000</v>
      </c>
      <c r="F37" s="411"/>
      <c r="G37" s="411">
        <f t="shared" si="2"/>
        <v>10040000</v>
      </c>
      <c r="H37" s="532">
        <f t="shared" si="3"/>
        <v>10040000</v>
      </c>
      <c r="I37" s="532">
        <f t="shared" si="4"/>
        <v>0</v>
      </c>
      <c r="J37" s="532">
        <f t="shared" si="5"/>
        <v>10040000</v>
      </c>
    </row>
    <row r="38" spans="1:10" s="383" customFormat="1" ht="16.5" customHeight="1" x14ac:dyDescent="0.3">
      <c r="A38" s="413" t="s">
        <v>555</v>
      </c>
      <c r="B38" s="402">
        <v>0</v>
      </c>
      <c r="C38" s="402"/>
      <c r="D38" s="402">
        <f t="shared" si="1"/>
        <v>0</v>
      </c>
      <c r="E38" s="403">
        <f>SUM(E30:E37)</f>
        <v>72909020</v>
      </c>
      <c r="F38" s="403"/>
      <c r="G38" s="403">
        <f t="shared" si="2"/>
        <v>72909020</v>
      </c>
      <c r="H38" s="657">
        <f t="shared" si="3"/>
        <v>72909020</v>
      </c>
      <c r="I38" s="657">
        <f t="shared" si="4"/>
        <v>0</v>
      </c>
      <c r="J38" s="657">
        <f t="shared" si="5"/>
        <v>72909020</v>
      </c>
    </row>
    <row r="39" spans="1:10" s="383" customFormat="1" ht="16.5" customHeight="1" x14ac:dyDescent="0.3">
      <c r="A39" s="413" t="s">
        <v>614</v>
      </c>
      <c r="B39" s="655">
        <v>262200</v>
      </c>
      <c r="C39" s="655"/>
      <c r="D39" s="655">
        <f t="shared" si="1"/>
        <v>262200</v>
      </c>
      <c r="E39" s="403"/>
      <c r="F39" s="403"/>
      <c r="G39" s="403">
        <f t="shared" si="2"/>
        <v>0</v>
      </c>
      <c r="H39" s="657">
        <f t="shared" si="3"/>
        <v>262200</v>
      </c>
      <c r="I39" s="657">
        <f t="shared" si="4"/>
        <v>0</v>
      </c>
      <c r="J39" s="657">
        <f t="shared" si="5"/>
        <v>262200</v>
      </c>
    </row>
    <row r="40" spans="1:10" s="383" customFormat="1" ht="29.25" customHeight="1" x14ac:dyDescent="0.3">
      <c r="A40" s="401" t="s">
        <v>543</v>
      </c>
      <c r="B40" s="655">
        <v>33258000</v>
      </c>
      <c r="C40" s="655"/>
      <c r="D40" s="655">
        <f t="shared" si="1"/>
        <v>33258000</v>
      </c>
      <c r="E40" s="403"/>
      <c r="F40" s="403"/>
      <c r="G40" s="403">
        <f t="shared" si="2"/>
        <v>0</v>
      </c>
      <c r="H40" s="657">
        <f t="shared" si="3"/>
        <v>33258000</v>
      </c>
      <c r="I40" s="657">
        <f t="shared" si="4"/>
        <v>0</v>
      </c>
      <c r="J40" s="657">
        <f t="shared" si="5"/>
        <v>33258000</v>
      </c>
    </row>
    <row r="41" spans="1:10" s="383" customFormat="1" ht="30.75" customHeight="1" x14ac:dyDescent="0.3">
      <c r="A41" s="401" t="s">
        <v>556</v>
      </c>
      <c r="B41" s="655">
        <v>6903050</v>
      </c>
      <c r="C41" s="655"/>
      <c r="D41" s="655">
        <f t="shared" si="1"/>
        <v>6903050</v>
      </c>
      <c r="E41" s="403"/>
      <c r="F41" s="403"/>
      <c r="G41" s="403">
        <f t="shared" si="2"/>
        <v>0</v>
      </c>
      <c r="H41" s="657">
        <f t="shared" si="3"/>
        <v>6903050</v>
      </c>
      <c r="I41" s="657">
        <f t="shared" si="4"/>
        <v>0</v>
      </c>
      <c r="J41" s="657">
        <f t="shared" si="5"/>
        <v>6903050</v>
      </c>
    </row>
    <row r="42" spans="1:10" s="383" customFormat="1" ht="16.5" customHeight="1" x14ac:dyDescent="0.3">
      <c r="A42" s="401" t="s">
        <v>558</v>
      </c>
      <c r="B42" s="402"/>
      <c r="C42" s="402"/>
      <c r="D42" s="402">
        <f t="shared" si="1"/>
        <v>0</v>
      </c>
      <c r="E42" s="403"/>
      <c r="F42" s="403"/>
      <c r="G42" s="403">
        <f t="shared" si="2"/>
        <v>0</v>
      </c>
      <c r="H42" s="657">
        <f t="shared" si="3"/>
        <v>0</v>
      </c>
      <c r="I42" s="657">
        <f t="shared" si="4"/>
        <v>0</v>
      </c>
      <c r="J42" s="657">
        <f t="shared" si="5"/>
        <v>0</v>
      </c>
    </row>
    <row r="43" spans="1:10" s="383" customFormat="1" ht="16.5" customHeight="1" x14ac:dyDescent="0.3">
      <c r="A43" s="413" t="s">
        <v>560</v>
      </c>
      <c r="B43" s="402"/>
      <c r="C43" s="402"/>
      <c r="D43" s="402">
        <f t="shared" si="1"/>
        <v>0</v>
      </c>
      <c r="E43" s="403"/>
      <c r="F43" s="403"/>
      <c r="G43" s="403">
        <f t="shared" si="2"/>
        <v>0</v>
      </c>
      <c r="H43" s="657">
        <f t="shared" si="3"/>
        <v>0</v>
      </c>
      <c r="I43" s="657">
        <f t="shared" si="4"/>
        <v>0</v>
      </c>
      <c r="J43" s="657">
        <f t="shared" si="5"/>
        <v>0</v>
      </c>
    </row>
    <row r="44" spans="1:10" s="383" customFormat="1" ht="16.5" customHeight="1" x14ac:dyDescent="0.3">
      <c r="A44" s="535" t="s">
        <v>931</v>
      </c>
      <c r="B44" s="536"/>
      <c r="C44" s="536">
        <v>756000</v>
      </c>
      <c r="D44" s="402">
        <f t="shared" si="1"/>
        <v>756000</v>
      </c>
      <c r="E44" s="537"/>
      <c r="F44" s="537"/>
      <c r="G44" s="537"/>
      <c r="H44" s="657">
        <f t="shared" si="3"/>
        <v>0</v>
      </c>
      <c r="I44" s="657">
        <f t="shared" si="4"/>
        <v>756000</v>
      </c>
      <c r="J44" s="657">
        <f t="shared" si="5"/>
        <v>756000</v>
      </c>
    </row>
    <row r="45" spans="1:10" s="383" customFormat="1" ht="16.5" customHeight="1" thickBot="1" x14ac:dyDescent="0.35">
      <c r="A45" s="535" t="s">
        <v>561</v>
      </c>
      <c r="B45" s="536"/>
      <c r="C45" s="536">
        <v>182000</v>
      </c>
      <c r="D45" s="536">
        <f t="shared" si="1"/>
        <v>182000</v>
      </c>
      <c r="E45" s="537"/>
      <c r="F45" s="537">
        <v>491000</v>
      </c>
      <c r="G45" s="537">
        <f t="shared" si="2"/>
        <v>491000</v>
      </c>
      <c r="H45" s="657">
        <f t="shared" si="3"/>
        <v>0</v>
      </c>
      <c r="I45" s="659">
        <f t="shared" si="4"/>
        <v>673000</v>
      </c>
      <c r="J45" s="659">
        <f t="shared" si="5"/>
        <v>673000</v>
      </c>
    </row>
    <row r="46" spans="1:10" s="383" customFormat="1" ht="16.5" customHeight="1" thickBot="1" x14ac:dyDescent="0.35">
      <c r="A46" s="414" t="s">
        <v>562</v>
      </c>
      <c r="B46" s="415">
        <f>+B42+B41+B40+B29+B14+B39+B43+B44+B45</f>
        <v>380034854</v>
      </c>
      <c r="C46" s="415">
        <f t="shared" ref="C46:D46" si="15">+C42+C41+C40+C29+C14+C39+C43+C44+C45</f>
        <v>938000</v>
      </c>
      <c r="D46" s="415">
        <f t="shared" si="15"/>
        <v>380972854</v>
      </c>
      <c r="E46" s="416">
        <f>+E38+E29+E45</f>
        <v>72909020</v>
      </c>
      <c r="F46" s="416">
        <f t="shared" ref="F46:G46" si="16">+F38+F29+F45</f>
        <v>491000</v>
      </c>
      <c r="G46" s="416">
        <f t="shared" si="16"/>
        <v>73400020</v>
      </c>
      <c r="H46" s="534">
        <f t="shared" si="3"/>
        <v>452943874</v>
      </c>
      <c r="I46" s="534">
        <f t="shared" si="4"/>
        <v>1429000</v>
      </c>
      <c r="J46" s="534">
        <f t="shared" si="5"/>
        <v>454372874</v>
      </c>
    </row>
    <row r="47" spans="1:10" hidden="1" x14ac:dyDescent="0.3"/>
    <row r="48" spans="1:10" hidden="1" x14ac:dyDescent="0.3"/>
    <row r="49" spans="1:7" hidden="1" x14ac:dyDescent="0.3">
      <c r="E49" s="385"/>
      <c r="F49" s="385"/>
      <c r="G49" s="385"/>
    </row>
    <row r="50" spans="1:7" ht="25.5" hidden="1" customHeight="1" x14ac:dyDescent="0.3">
      <c r="E50" s="386"/>
      <c r="F50" s="386"/>
      <c r="G50" s="386"/>
    </row>
    <row r="51" spans="1:7" hidden="1" x14ac:dyDescent="0.3"/>
    <row r="52" spans="1:7" hidden="1" x14ac:dyDescent="0.3"/>
    <row r="53" spans="1:7" hidden="1" x14ac:dyDescent="0.3"/>
    <row r="54" spans="1:7" hidden="1" x14ac:dyDescent="0.3"/>
    <row r="55" spans="1:7" hidden="1" x14ac:dyDescent="0.3">
      <c r="E55" s="385"/>
      <c r="F55" s="385"/>
      <c r="G55" s="385"/>
    </row>
    <row r="56" spans="1:7" ht="12.75" hidden="1" customHeight="1" x14ac:dyDescent="0.3">
      <c r="E56" s="386"/>
      <c r="F56" s="386"/>
      <c r="G56" s="386"/>
    </row>
    <row r="57" spans="1:7" hidden="1" x14ac:dyDescent="0.3"/>
    <row r="58" spans="1:7" hidden="1" x14ac:dyDescent="0.3"/>
    <row r="59" spans="1:7" hidden="1" x14ac:dyDescent="0.3"/>
    <row r="60" spans="1:7" hidden="1" x14ac:dyDescent="0.3"/>
    <row r="61" spans="1:7" hidden="1" x14ac:dyDescent="0.3"/>
    <row r="62" spans="1:7" hidden="1" x14ac:dyDescent="0.3"/>
    <row r="63" spans="1:7" hidden="1" x14ac:dyDescent="0.3"/>
    <row r="64" spans="1:7" hidden="1" x14ac:dyDescent="0.3">
      <c r="A64" s="382" t="s">
        <v>565</v>
      </c>
    </row>
    <row r="65" spans="1:10" ht="26.4" hidden="1" x14ac:dyDescent="0.3">
      <c r="B65" s="384" t="s">
        <v>566</v>
      </c>
      <c r="D65" s="384" t="s">
        <v>566</v>
      </c>
      <c r="E65" s="387"/>
      <c r="F65" s="387"/>
      <c r="G65" s="387"/>
      <c r="H65" s="383" t="s">
        <v>567</v>
      </c>
      <c r="J65" s="383" t="s">
        <v>567</v>
      </c>
    </row>
    <row r="66" spans="1:10" hidden="1" x14ac:dyDescent="0.3">
      <c r="B66" s="384">
        <v>26</v>
      </c>
      <c r="D66" s="384">
        <v>26</v>
      </c>
      <c r="H66" s="383" t="e">
        <f>+#REF!+E66</f>
        <v>#REF!</v>
      </c>
      <c r="J66" s="383">
        <f>+E66+G66</f>
        <v>0</v>
      </c>
    </row>
    <row r="67" spans="1:10" hidden="1" x14ac:dyDescent="0.3"/>
    <row r="68" spans="1:10" hidden="1" x14ac:dyDescent="0.3"/>
    <row r="69" spans="1:10" hidden="1" x14ac:dyDescent="0.3"/>
    <row r="70" spans="1:10" hidden="1" x14ac:dyDescent="0.3"/>
    <row r="72" spans="1:10" x14ac:dyDescent="0.3">
      <c r="A72" s="383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4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E23" activeCellId="5" sqref="E5 E7 E14 E18 E21 E23"/>
    </sheetView>
  </sheetViews>
  <sheetFormatPr defaultColWidth="9.109375" defaultRowHeight="14.4" x14ac:dyDescent="0.3"/>
  <cols>
    <col min="1" max="1" width="6.33203125" style="352" customWidth="1"/>
    <col min="2" max="2" width="7.109375" style="122" customWidth="1"/>
    <col min="3" max="3" width="22" style="122" customWidth="1"/>
    <col min="4" max="4" width="9.5546875" style="61" customWidth="1"/>
    <col min="5" max="5" width="7.88671875" style="61" customWidth="1"/>
    <col min="6" max="6" width="8.88671875" style="61" bestFit="1" customWidth="1"/>
    <col min="7" max="7" width="8.5546875" style="61" customWidth="1"/>
    <col min="8" max="8" width="7.109375" style="61" customWidth="1"/>
    <col min="9" max="9" width="6.5546875" style="61" customWidth="1"/>
    <col min="10" max="17" width="9.5546875" style="61" customWidth="1"/>
    <col min="18" max="18" width="7.6640625" style="61" customWidth="1"/>
    <col min="19" max="19" width="10.33203125" style="61" bestFit="1" customWidth="1"/>
    <col min="20" max="24" width="7.6640625" style="61" customWidth="1"/>
    <col min="25" max="25" width="9.44140625" style="61" customWidth="1"/>
    <col min="26" max="27" width="7.6640625" style="61" customWidth="1"/>
    <col min="28" max="29" width="9.109375" style="354"/>
    <col min="30" max="30" width="9.109375" style="1"/>
    <col min="31" max="16384" width="9.109375" style="18"/>
  </cols>
  <sheetData>
    <row r="1" spans="1:29" s="33" customFormat="1" ht="12.75" customHeight="1" x14ac:dyDescent="0.3">
      <c r="A1" s="1096" t="s">
        <v>0</v>
      </c>
      <c r="B1" s="1098" t="s">
        <v>182</v>
      </c>
      <c r="C1" s="1099"/>
      <c r="D1" s="1102" t="s">
        <v>180</v>
      </c>
      <c r="E1" s="1103"/>
      <c r="F1" s="1103"/>
      <c r="G1" s="1102" t="s">
        <v>264</v>
      </c>
      <c r="H1" s="1103"/>
      <c r="I1" s="1104"/>
      <c r="J1" s="1102" t="s">
        <v>504</v>
      </c>
      <c r="K1" s="1103"/>
      <c r="L1" s="1104"/>
      <c r="M1" s="1102" t="s">
        <v>505</v>
      </c>
      <c r="N1" s="1103"/>
      <c r="O1" s="1104"/>
      <c r="P1" s="1105" t="s">
        <v>506</v>
      </c>
      <c r="Q1" s="1103"/>
      <c r="R1" s="1106"/>
      <c r="S1" s="1102" t="s">
        <v>265</v>
      </c>
      <c r="T1" s="1103"/>
      <c r="U1" s="1104"/>
      <c r="V1" s="1102" t="s">
        <v>507</v>
      </c>
      <c r="W1" s="1103"/>
      <c r="X1" s="1104"/>
      <c r="Y1" s="1105" t="s">
        <v>266</v>
      </c>
      <c r="Z1" s="1103"/>
      <c r="AA1" s="1104"/>
      <c r="AB1" s="346"/>
      <c r="AC1" s="346"/>
    </row>
    <row r="2" spans="1:29" s="17" customFormat="1" ht="27" thickBot="1" x14ac:dyDescent="0.35">
      <c r="A2" s="1097"/>
      <c r="B2" s="1100"/>
      <c r="C2" s="1101"/>
      <c r="D2" s="379" t="s">
        <v>177</v>
      </c>
      <c r="E2" s="355" t="s">
        <v>792</v>
      </c>
      <c r="F2" s="355" t="s">
        <v>795</v>
      </c>
      <c r="G2" s="379" t="s">
        <v>177</v>
      </c>
      <c r="H2" s="355" t="s">
        <v>792</v>
      </c>
      <c r="I2" s="355" t="s">
        <v>795</v>
      </c>
      <c r="J2" s="379" t="s">
        <v>177</v>
      </c>
      <c r="K2" s="355" t="s">
        <v>792</v>
      </c>
      <c r="L2" s="355" t="s">
        <v>795</v>
      </c>
      <c r="M2" s="379" t="s">
        <v>177</v>
      </c>
      <c r="N2" s="355" t="s">
        <v>792</v>
      </c>
      <c r="O2" s="355" t="s">
        <v>795</v>
      </c>
      <c r="P2" s="379" t="s">
        <v>177</v>
      </c>
      <c r="Q2" s="355" t="s">
        <v>792</v>
      </c>
      <c r="R2" s="355" t="s">
        <v>795</v>
      </c>
      <c r="S2" s="379" t="s">
        <v>177</v>
      </c>
      <c r="T2" s="355" t="s">
        <v>792</v>
      </c>
      <c r="U2" s="355" t="s">
        <v>795</v>
      </c>
      <c r="V2" s="379" t="s">
        <v>177</v>
      </c>
      <c r="W2" s="355" t="s">
        <v>792</v>
      </c>
      <c r="X2" s="355" t="s">
        <v>795</v>
      </c>
      <c r="Y2" s="379" t="s">
        <v>177</v>
      </c>
      <c r="Z2" s="355" t="s">
        <v>792</v>
      </c>
      <c r="AA2" s="355" t="s">
        <v>795</v>
      </c>
      <c r="AB2" s="353"/>
      <c r="AC2" s="353"/>
    </row>
    <row r="3" spans="1:29" s="44" customFormat="1" ht="13.2" x14ac:dyDescent="0.25">
      <c r="A3" s="471" t="s">
        <v>27</v>
      </c>
      <c r="B3" s="1081" t="s">
        <v>174</v>
      </c>
      <c r="C3" s="1082"/>
      <c r="D3" s="478">
        <f>+G3+J3+M3+P3+S3+V3+Y3</f>
        <v>19193</v>
      </c>
      <c r="E3" s="479">
        <f>+H3+K3+N3+Q3+T3+W3+Z3</f>
        <v>-1193</v>
      </c>
      <c r="F3" s="479">
        <f>+I3+L3+O3+R3+U3+X3+AA3</f>
        <v>18000</v>
      </c>
      <c r="G3" s="478">
        <f>+'5.a. mell. Jogalkotás'!D5</f>
        <v>0</v>
      </c>
      <c r="H3" s="479">
        <f>+'5.a. mell. Jogalkotás'!E5</f>
        <v>0</v>
      </c>
      <c r="I3" s="480">
        <f>+'5.a. mell. Jogalkotás'!F5</f>
        <v>0</v>
      </c>
      <c r="J3" s="478">
        <f>+'5.b. mell. VF saját forrásból'!D5</f>
        <v>0</v>
      </c>
      <c r="K3" s="478">
        <f>+'5.b. mell. VF saját forrásból'!E5</f>
        <v>0</v>
      </c>
      <c r="L3" s="478">
        <f>+'5.b. mell. VF saját forrásból'!F5</f>
        <v>0</v>
      </c>
      <c r="M3" s="478">
        <f>+'5.c. mell. VF Eu forrásból'!D5</f>
        <v>0</v>
      </c>
      <c r="N3" s="479">
        <f>+'5.c. mell. VF Eu forrásból'!E5</f>
        <v>0</v>
      </c>
      <c r="O3" s="480">
        <f>+'5.c. mell. VF Eu forrásból'!F5</f>
        <v>0</v>
      </c>
      <c r="P3" s="481">
        <f>+'5.d. mell. Védőnő, EÜ'!D5</f>
        <v>11428</v>
      </c>
      <c r="Q3" s="479">
        <f>+'5.d. mell. Védőnő, EÜ'!E5</f>
        <v>-993</v>
      </c>
      <c r="R3" s="482">
        <f>+'5.d. mell. Védőnő, EÜ'!F5</f>
        <v>10435</v>
      </c>
      <c r="S3" s="478"/>
      <c r="T3" s="479"/>
      <c r="U3" s="480"/>
      <c r="V3" s="478"/>
      <c r="W3" s="479"/>
      <c r="X3" s="480"/>
      <c r="Y3" s="481">
        <f>+'5.g. mell. Egyéb tev.'!D6</f>
        <v>7765</v>
      </c>
      <c r="Z3" s="479">
        <f>+'5.g. mell. Egyéb tev.'!E6</f>
        <v>-200</v>
      </c>
      <c r="AA3" s="480">
        <f>+'5.g. mell. Egyéb tev.'!F6</f>
        <v>7565</v>
      </c>
      <c r="AB3" s="246"/>
      <c r="AC3" s="246"/>
    </row>
    <row r="4" spans="1:29" s="44" customFormat="1" ht="12.75" customHeight="1" x14ac:dyDescent="0.25">
      <c r="A4" s="472" t="s">
        <v>33</v>
      </c>
      <c r="B4" s="1085" t="s">
        <v>173</v>
      </c>
      <c r="C4" s="1086"/>
      <c r="D4" s="478">
        <f t="shared" ref="D4:D5" si="0">+G4+J4+M4+P4+S4+V4+Y4</f>
        <v>20120</v>
      </c>
      <c r="E4" s="483">
        <f t="shared" ref="E4:E29" si="1">+H4+K4+N4+Q4+T4+W4+Z4</f>
        <v>1013</v>
      </c>
      <c r="F4" s="483">
        <f t="shared" ref="F4:F29" si="2">+I4+L4+O4+R4+U4+X4+AA4</f>
        <v>21133</v>
      </c>
      <c r="G4" s="484">
        <f>+'5.a. mell. Jogalkotás'!D6</f>
        <v>18229</v>
      </c>
      <c r="H4" s="483">
        <f>+'5.a. mell. Jogalkotás'!E6</f>
        <v>-330</v>
      </c>
      <c r="I4" s="485">
        <f>+'5.a. mell. Jogalkotás'!F6</f>
        <v>17899</v>
      </c>
      <c r="J4" s="484">
        <f>+'5.b. mell. VF saját forrásból'!D6</f>
        <v>244</v>
      </c>
      <c r="K4" s="484">
        <f>+'5.b. mell. VF saját forrásból'!E6</f>
        <v>78</v>
      </c>
      <c r="L4" s="484">
        <f>+'5.b. mell. VF saját forrásból'!F6</f>
        <v>322</v>
      </c>
      <c r="M4" s="484">
        <f>+'5.c. mell. VF Eu forrásból'!D6</f>
        <v>794</v>
      </c>
      <c r="N4" s="483">
        <f>+'5.c. mell. VF Eu forrásból'!E6</f>
        <v>257</v>
      </c>
      <c r="O4" s="485">
        <f>+'5.c. mell. VF Eu forrásból'!F6</f>
        <v>1051</v>
      </c>
      <c r="P4" s="486">
        <f>+'5.d. mell. Védőnő, EÜ'!D6</f>
        <v>853</v>
      </c>
      <c r="Q4" s="483">
        <f>+'5.d. mell. Védőnő, EÜ'!E6</f>
        <v>1008</v>
      </c>
      <c r="R4" s="487">
        <f>+'5.d. mell. Védőnő, EÜ'!F6</f>
        <v>1861</v>
      </c>
      <c r="S4" s="484"/>
      <c r="T4" s="483"/>
      <c r="U4" s="485"/>
      <c r="V4" s="484"/>
      <c r="W4" s="483"/>
      <c r="X4" s="485"/>
      <c r="Y4" s="486">
        <f>+'5.g. mell. Egyéb tev.'!D7</f>
        <v>0</v>
      </c>
      <c r="Z4" s="483">
        <f>+'5.g. mell. Egyéb tev.'!E7</f>
        <v>0</v>
      </c>
      <c r="AA4" s="485">
        <f>+'5.g. mell. Egyéb tev.'!F7</f>
        <v>0</v>
      </c>
      <c r="AB4" s="246"/>
      <c r="AC4" s="246"/>
    </row>
    <row r="5" spans="1:29" s="44" customFormat="1" ht="12.75" customHeight="1" x14ac:dyDescent="0.25">
      <c r="A5" s="473" t="s">
        <v>34</v>
      </c>
      <c r="B5" s="1083" t="s">
        <v>172</v>
      </c>
      <c r="C5" s="1084"/>
      <c r="D5" s="478">
        <f t="shared" si="0"/>
        <v>39313</v>
      </c>
      <c r="E5" s="483">
        <f t="shared" si="1"/>
        <v>-180</v>
      </c>
      <c r="F5" s="483">
        <f t="shared" si="2"/>
        <v>39133</v>
      </c>
      <c r="G5" s="484">
        <f>+G3+G4</f>
        <v>18229</v>
      </c>
      <c r="H5" s="483">
        <f t="shared" ref="H5:I5" si="3">+H3+H4</f>
        <v>-330</v>
      </c>
      <c r="I5" s="485">
        <f t="shared" si="3"/>
        <v>17899</v>
      </c>
      <c r="J5" s="782">
        <f>+'5.b. mell. VF saját forrásból'!D7</f>
        <v>244</v>
      </c>
      <c r="K5" s="782">
        <f>+'5.b. mell. VF saját forrásból'!E7</f>
        <v>78</v>
      </c>
      <c r="L5" s="782">
        <f>+'5.b. mell. VF saját forrásból'!F7</f>
        <v>322</v>
      </c>
      <c r="M5" s="782">
        <f>+M3+M4</f>
        <v>794</v>
      </c>
      <c r="N5" s="783">
        <f t="shared" ref="N5:O5" si="4">+N3+N4</f>
        <v>257</v>
      </c>
      <c r="O5" s="784">
        <f t="shared" si="4"/>
        <v>1051</v>
      </c>
      <c r="P5" s="785">
        <f>+P3+P4</f>
        <v>12281</v>
      </c>
      <c r="Q5" s="783">
        <f t="shared" ref="Q5:R5" si="5">+Q3+Q4</f>
        <v>15</v>
      </c>
      <c r="R5" s="487">
        <f t="shared" si="5"/>
        <v>12296</v>
      </c>
      <c r="S5" s="484"/>
      <c r="T5" s="483"/>
      <c r="U5" s="485"/>
      <c r="V5" s="484"/>
      <c r="W5" s="483"/>
      <c r="X5" s="485"/>
      <c r="Y5" s="486">
        <f>+'5.g. mell. Egyéb tev.'!D8</f>
        <v>7765</v>
      </c>
      <c r="Z5" s="483">
        <f>+'5.g. mell. Egyéb tev.'!E8</f>
        <v>-200</v>
      </c>
      <c r="AA5" s="485">
        <f>+'5.g. mell. Egyéb tev.'!F8</f>
        <v>7565</v>
      </c>
      <c r="AB5" s="246"/>
      <c r="AC5" s="246"/>
    </row>
    <row r="6" spans="1:29" x14ac:dyDescent="0.3">
      <c r="A6" s="103"/>
      <c r="B6" s="476"/>
      <c r="C6" s="356"/>
      <c r="D6" s="488"/>
      <c r="E6" s="489"/>
      <c r="F6" s="489"/>
      <c r="G6" s="490"/>
      <c r="H6" s="489"/>
      <c r="I6" s="491"/>
      <c r="J6" s="786"/>
      <c r="K6" s="787"/>
      <c r="L6" s="788"/>
      <c r="M6" s="786"/>
      <c r="N6" s="787"/>
      <c r="O6" s="788"/>
      <c r="P6" s="787"/>
      <c r="Q6" s="787"/>
      <c r="R6" s="489"/>
      <c r="S6" s="490"/>
      <c r="T6" s="489"/>
      <c r="U6" s="491"/>
      <c r="V6" s="490"/>
      <c r="W6" s="489"/>
      <c r="X6" s="491"/>
      <c r="Y6" s="489"/>
      <c r="Z6" s="489"/>
      <c r="AA6" s="491"/>
    </row>
    <row r="7" spans="1:29" s="44" customFormat="1" ht="12.75" customHeight="1" x14ac:dyDescent="0.25">
      <c r="A7" s="473" t="s">
        <v>35</v>
      </c>
      <c r="B7" s="1083" t="s">
        <v>171</v>
      </c>
      <c r="C7" s="1084"/>
      <c r="D7" s="484">
        <f>+G7+J7+M7+P7+S7+V7+Y7</f>
        <v>8343</v>
      </c>
      <c r="E7" s="483">
        <f t="shared" si="1"/>
        <v>-70</v>
      </c>
      <c r="F7" s="483">
        <f t="shared" si="2"/>
        <v>8273</v>
      </c>
      <c r="G7" s="484">
        <f>+'5.a. mell. Jogalkotás'!D9</f>
        <v>3702</v>
      </c>
      <c r="H7" s="483">
        <f>+'5.a. mell. Jogalkotás'!E9</f>
        <v>0</v>
      </c>
      <c r="I7" s="485">
        <f>+'5.a. mell. Jogalkotás'!F9</f>
        <v>3702</v>
      </c>
      <c r="J7" s="782">
        <f>+'5.b. mell. VF saját forrásból'!D9</f>
        <v>349</v>
      </c>
      <c r="K7" s="782">
        <f>+'5.b. mell. VF saját forrásból'!E9</f>
        <v>-78</v>
      </c>
      <c r="L7" s="782">
        <f>+'5.b. mell. VF saját forrásból'!F9</f>
        <v>271</v>
      </c>
      <c r="M7" s="782">
        <f>+'5.c. mell. VF Eu forrásból'!D9</f>
        <v>309</v>
      </c>
      <c r="N7" s="783">
        <f>+'5.c. mell. VF Eu forrásból'!E9</f>
        <v>23</v>
      </c>
      <c r="O7" s="784">
        <f>+'5.c. mell. VF Eu forrásból'!F9</f>
        <v>332</v>
      </c>
      <c r="P7" s="785">
        <f>+'5.d. mell. Védőnő, EÜ'!D9</f>
        <v>2453</v>
      </c>
      <c r="Q7" s="783">
        <f>+'5.d. mell. Védőnő, EÜ'!E9</f>
        <v>-15</v>
      </c>
      <c r="R7" s="487">
        <f>+'5.d. mell. Védőnő, EÜ'!F9</f>
        <v>2438</v>
      </c>
      <c r="S7" s="484"/>
      <c r="T7" s="483"/>
      <c r="U7" s="485"/>
      <c r="V7" s="484"/>
      <c r="W7" s="483"/>
      <c r="X7" s="485"/>
      <c r="Y7" s="486">
        <f>+'5.g. mell. Egyéb tev.'!D10</f>
        <v>1530</v>
      </c>
      <c r="Z7" s="483">
        <f>+'5.g. mell. Egyéb tev.'!E10</f>
        <v>0</v>
      </c>
      <c r="AA7" s="485">
        <f>+'5.g. mell. Egyéb tev.'!F10</f>
        <v>1530</v>
      </c>
      <c r="AB7" s="246"/>
      <c r="AC7" s="246"/>
    </row>
    <row r="8" spans="1:29" x14ac:dyDescent="0.3">
      <c r="A8" s="103"/>
      <c r="B8" s="477"/>
      <c r="C8" s="357"/>
      <c r="D8" s="488"/>
      <c r="E8" s="489"/>
      <c r="F8" s="489"/>
      <c r="G8" s="490"/>
      <c r="H8" s="489"/>
      <c r="I8" s="491"/>
      <c r="J8" s="786"/>
      <c r="K8" s="787"/>
      <c r="L8" s="788"/>
      <c r="M8" s="786"/>
      <c r="N8" s="787"/>
      <c r="O8" s="788"/>
      <c r="P8" s="787"/>
      <c r="Q8" s="787"/>
      <c r="R8" s="489"/>
      <c r="S8" s="490"/>
      <c r="T8" s="489"/>
      <c r="U8" s="491"/>
      <c r="V8" s="490"/>
      <c r="W8" s="489"/>
      <c r="X8" s="491"/>
      <c r="Y8" s="489"/>
      <c r="Z8" s="489"/>
      <c r="AA8" s="491"/>
    </row>
    <row r="9" spans="1:29" s="44" customFormat="1" ht="12.75" customHeight="1" x14ac:dyDescent="0.25">
      <c r="A9" s="472" t="s">
        <v>47</v>
      </c>
      <c r="B9" s="1085" t="s">
        <v>170</v>
      </c>
      <c r="C9" s="1086"/>
      <c r="D9" s="484">
        <f>+G9+J9+M9+P9+S9+V9+Y9</f>
        <v>3268</v>
      </c>
      <c r="E9" s="492">
        <f t="shared" si="1"/>
        <v>103</v>
      </c>
      <c r="F9" s="492">
        <f t="shared" si="2"/>
        <v>3371</v>
      </c>
      <c r="G9" s="493">
        <f>+'5.a. mell. Jogalkotás'!D14</f>
        <v>1180</v>
      </c>
      <c r="H9" s="492">
        <f>+'5.a. mell. Jogalkotás'!E14</f>
        <v>0</v>
      </c>
      <c r="I9" s="494">
        <f>+'5.a. mell. Jogalkotás'!F14</f>
        <v>1180</v>
      </c>
      <c r="J9" s="789">
        <f>+'5.b. mell. VF saját forrásból'!D14</f>
        <v>0</v>
      </c>
      <c r="K9" s="790">
        <f>+'5.b. mell. VF saját forrásból'!E14</f>
        <v>0</v>
      </c>
      <c r="L9" s="791">
        <f>+'5.b. mell. VF saját forrásból'!F14</f>
        <v>0</v>
      </c>
      <c r="M9" s="789">
        <f>+'5.c. mell. VF Eu forrásból'!D14</f>
        <v>0</v>
      </c>
      <c r="N9" s="790">
        <f>+'5.c. mell. VF Eu forrásból'!E14</f>
        <v>103</v>
      </c>
      <c r="O9" s="791">
        <f>+'5.c. mell. VF Eu forrásból'!F14</f>
        <v>103</v>
      </c>
      <c r="P9" s="792">
        <f>+'5.d. mell. Védőnő, EÜ'!D14</f>
        <v>320</v>
      </c>
      <c r="Q9" s="790">
        <f>+'5.d. mell. Védőnő, EÜ'!E14</f>
        <v>0</v>
      </c>
      <c r="R9" s="496">
        <f>+'5.d. mell. Védőnő, EÜ'!F14</f>
        <v>320</v>
      </c>
      <c r="S9" s="493"/>
      <c r="T9" s="492"/>
      <c r="U9" s="494"/>
      <c r="V9" s="493"/>
      <c r="W9" s="492"/>
      <c r="X9" s="494"/>
      <c r="Y9" s="495">
        <f>+'5.g. mell. Egyéb tev.'!D15</f>
        <v>1768</v>
      </c>
      <c r="Z9" s="492">
        <f>+'5.g. mell. Egyéb tev.'!E15</f>
        <v>0</v>
      </c>
      <c r="AA9" s="494">
        <f>+'5.g. mell. Egyéb tev.'!F15</f>
        <v>1768</v>
      </c>
      <c r="AB9" s="246"/>
      <c r="AC9" s="246"/>
    </row>
    <row r="10" spans="1:29" s="44" customFormat="1" ht="12.75" customHeight="1" x14ac:dyDescent="0.25">
      <c r="A10" s="472" t="s">
        <v>52</v>
      </c>
      <c r="B10" s="1085" t="s">
        <v>169</v>
      </c>
      <c r="C10" s="1086"/>
      <c r="D10" s="484">
        <f t="shared" ref="D10:D12" si="6">+G10+J10+M10+P10+S10+V10+Y10</f>
        <v>3520</v>
      </c>
      <c r="E10" s="492">
        <f t="shared" si="1"/>
        <v>0</v>
      </c>
      <c r="F10" s="492">
        <f t="shared" si="2"/>
        <v>3520</v>
      </c>
      <c r="G10" s="493">
        <f>+'5.a. mell. Jogalkotás'!D17</f>
        <v>420</v>
      </c>
      <c r="H10" s="492">
        <f>+'5.a. mell. Jogalkotás'!E17</f>
        <v>0</v>
      </c>
      <c r="I10" s="494">
        <f>+'5.a. mell. Jogalkotás'!F17</f>
        <v>420</v>
      </c>
      <c r="J10" s="789">
        <f>+'5.b. mell. VF saját forrásból'!D17</f>
        <v>0</v>
      </c>
      <c r="K10" s="790">
        <f>+'5.b. mell. VF saját forrásból'!E17</f>
        <v>0</v>
      </c>
      <c r="L10" s="790">
        <f>+'5.b. mell. VF saját forrásból'!F17</f>
        <v>0</v>
      </c>
      <c r="M10" s="789">
        <f>+'5.c. mell. VF Eu forrásból'!D17</f>
        <v>0</v>
      </c>
      <c r="N10" s="790">
        <f>+'5.c. mell. VF Eu forrásból'!E17</f>
        <v>0</v>
      </c>
      <c r="O10" s="791">
        <f>+'5.c. mell. VF Eu forrásból'!F17</f>
        <v>0</v>
      </c>
      <c r="P10" s="792">
        <f>+'5.d. mell. Védőnő, EÜ'!D17</f>
        <v>220</v>
      </c>
      <c r="Q10" s="790">
        <f>+'5.d. mell. Védőnő, EÜ'!E17</f>
        <v>0</v>
      </c>
      <c r="R10" s="496">
        <f>+'5.d. mell. Védőnő, EÜ'!F17</f>
        <v>220</v>
      </c>
      <c r="S10" s="493"/>
      <c r="T10" s="492"/>
      <c r="U10" s="494"/>
      <c r="V10" s="493"/>
      <c r="W10" s="492"/>
      <c r="X10" s="494"/>
      <c r="Y10" s="495">
        <f>+'5.g. mell. Egyéb tev.'!D18</f>
        <v>2880</v>
      </c>
      <c r="Z10" s="492">
        <f>+'5.g. mell. Egyéb tev.'!E18</f>
        <v>0</v>
      </c>
      <c r="AA10" s="494">
        <f>+'5.g. mell. Egyéb tev.'!F18</f>
        <v>2880</v>
      </c>
      <c r="AB10" s="246"/>
      <c r="AC10" s="246"/>
    </row>
    <row r="11" spans="1:29" s="44" customFormat="1" ht="12.75" customHeight="1" x14ac:dyDescent="0.25">
      <c r="A11" s="472" t="s">
        <v>66</v>
      </c>
      <c r="B11" s="1085" t="s">
        <v>156</v>
      </c>
      <c r="C11" s="1086"/>
      <c r="D11" s="484">
        <f t="shared" si="6"/>
        <v>83101</v>
      </c>
      <c r="E11" s="492">
        <f t="shared" si="1"/>
        <v>68868</v>
      </c>
      <c r="F11" s="492">
        <f t="shared" si="2"/>
        <v>151969</v>
      </c>
      <c r="G11" s="493">
        <f>+'5.a. mell. Jogalkotás'!D25</f>
        <v>6090</v>
      </c>
      <c r="H11" s="492">
        <f>+'5.a. mell. Jogalkotás'!E25</f>
        <v>0</v>
      </c>
      <c r="I11" s="494">
        <f>+'5.a. mell. Jogalkotás'!F25</f>
        <v>6090</v>
      </c>
      <c r="J11" s="789">
        <f>+'5.b. mell. VF saját forrásból'!D25</f>
        <v>1642</v>
      </c>
      <c r="K11" s="790">
        <f>+'5.b. mell. VF saját forrásból'!E25</f>
        <v>2969</v>
      </c>
      <c r="L11" s="790">
        <f>+'5.b. mell. VF saját forrásból'!F25</f>
        <v>4611</v>
      </c>
      <c r="M11" s="789">
        <f>+'5.c. mell. VF Eu forrásból'!D25</f>
        <v>5695</v>
      </c>
      <c r="N11" s="790">
        <f>+'5.c. mell. VF Eu forrásból'!E25</f>
        <v>64783</v>
      </c>
      <c r="O11" s="791">
        <f>+'5.c. mell. VF Eu forrásból'!F25</f>
        <v>70478</v>
      </c>
      <c r="P11" s="792">
        <f>+'5.d. mell. Védőnő, EÜ'!D25</f>
        <v>997</v>
      </c>
      <c r="Q11" s="790">
        <f>+'5.d. mell. Védőnő, EÜ'!E25</f>
        <v>0</v>
      </c>
      <c r="R11" s="496">
        <f>+'5.d. mell. Védőnő, EÜ'!F25</f>
        <v>997</v>
      </c>
      <c r="S11" s="493"/>
      <c r="T11" s="492"/>
      <c r="U11" s="494"/>
      <c r="V11" s="493"/>
      <c r="W11" s="492"/>
      <c r="X11" s="494"/>
      <c r="Y11" s="495">
        <f>+'5.g. mell. Egyéb tev.'!D26</f>
        <v>68677</v>
      </c>
      <c r="Z11" s="492">
        <f>+'5.g. mell. Egyéb tev.'!E26</f>
        <v>1116</v>
      </c>
      <c r="AA11" s="494">
        <f>+'5.g. mell. Egyéb tev.'!F26</f>
        <v>69793</v>
      </c>
      <c r="AB11" s="246"/>
      <c r="AC11" s="246"/>
    </row>
    <row r="12" spans="1:29" s="44" customFormat="1" ht="12.75" customHeight="1" x14ac:dyDescent="0.25">
      <c r="A12" s="472" t="s">
        <v>71</v>
      </c>
      <c r="B12" s="1085" t="s">
        <v>155</v>
      </c>
      <c r="C12" s="1086"/>
      <c r="D12" s="484">
        <f t="shared" si="6"/>
        <v>2251</v>
      </c>
      <c r="E12" s="492">
        <f t="shared" si="1"/>
        <v>189</v>
      </c>
      <c r="F12" s="492">
        <f t="shared" si="2"/>
        <v>2440</v>
      </c>
      <c r="G12" s="493">
        <f>+'5.a. mell. Jogalkotás'!D28</f>
        <v>0</v>
      </c>
      <c r="H12" s="492">
        <f>+'5.a. mell. Jogalkotás'!E28</f>
        <v>0</v>
      </c>
      <c r="I12" s="494">
        <f>+'5.a. mell. Jogalkotás'!F28</f>
        <v>0</v>
      </c>
      <c r="J12" s="789">
        <f>+'5.b. mell. VF saját forrásból'!D28</f>
        <v>1574</v>
      </c>
      <c r="K12" s="790">
        <f>+'5.b. mell. VF saját forrásból'!E28</f>
        <v>77</v>
      </c>
      <c r="L12" s="791">
        <f>+'5.b. mell. VF saját forrásból'!F28</f>
        <v>1651</v>
      </c>
      <c r="M12" s="789">
        <f>+'5.c. mell. VF Eu forrásból'!D28</f>
        <v>517</v>
      </c>
      <c r="N12" s="790">
        <f>+'5.c. mell. VF Eu forrásból'!E28</f>
        <v>90</v>
      </c>
      <c r="O12" s="791">
        <f>+'5.c. mell. VF Eu forrásból'!F28</f>
        <v>607</v>
      </c>
      <c r="P12" s="792">
        <f>+'5.d. mell. Védőnő, EÜ'!D28</f>
        <v>160</v>
      </c>
      <c r="Q12" s="790">
        <f>+'5.d. mell. Védőnő, EÜ'!E28</f>
        <v>0</v>
      </c>
      <c r="R12" s="496">
        <f>+'5.d. mell. Védőnő, EÜ'!F28</f>
        <v>160</v>
      </c>
      <c r="S12" s="493"/>
      <c r="T12" s="492"/>
      <c r="U12" s="494"/>
      <c r="V12" s="493"/>
      <c r="W12" s="492"/>
      <c r="X12" s="494"/>
      <c r="Y12" s="495">
        <f>+'5.g. mell. Egyéb tev.'!D29</f>
        <v>0</v>
      </c>
      <c r="Z12" s="492">
        <f>+'5.g. mell. Egyéb tev.'!E29</f>
        <v>22</v>
      </c>
      <c r="AA12" s="494">
        <f>+'5.g. mell. Egyéb tev.'!F29</f>
        <v>22</v>
      </c>
      <c r="AB12" s="246"/>
      <c r="AC12" s="246"/>
    </row>
    <row r="13" spans="1:29" s="44" customFormat="1" ht="28.5" customHeight="1" x14ac:dyDescent="0.25">
      <c r="A13" s="472" t="s">
        <v>80</v>
      </c>
      <c r="B13" s="1085" t="s">
        <v>152</v>
      </c>
      <c r="C13" s="1086"/>
      <c r="D13" s="484">
        <f>+G13+J13+M13+P13+S13+V13+Y13</f>
        <v>347870</v>
      </c>
      <c r="E13" s="492">
        <f t="shared" si="1"/>
        <v>1318</v>
      </c>
      <c r="F13" s="492">
        <f t="shared" si="2"/>
        <v>349188</v>
      </c>
      <c r="G13" s="493">
        <f>+'5.a. mell. Jogalkotás'!D34</f>
        <v>570</v>
      </c>
      <c r="H13" s="492">
        <f>+'5.a. mell. Jogalkotás'!E34</f>
        <v>0</v>
      </c>
      <c r="I13" s="494">
        <f>+'5.a. mell. Jogalkotás'!F34</f>
        <v>570</v>
      </c>
      <c r="J13" s="789">
        <f>+'5.b. mell. VF saját forrásból'!D34</f>
        <v>122968</v>
      </c>
      <c r="K13" s="790">
        <f>+'5.b. mell. VF saját forrásból'!E34</f>
        <v>813</v>
      </c>
      <c r="L13" s="791">
        <f>+'5.b. mell. VF saját forrásból'!F34</f>
        <v>123781</v>
      </c>
      <c r="M13" s="789">
        <f>+'5.c. mell. VF Eu forrásból'!D34</f>
        <v>197017</v>
      </c>
      <c r="N13" s="790">
        <f>+'5.c. mell. VF Eu forrásból'!E34</f>
        <v>305</v>
      </c>
      <c r="O13" s="791">
        <f>+'5.c. mell. VF Eu forrásból'!F34</f>
        <v>197322</v>
      </c>
      <c r="P13" s="792">
        <f>+'5.d. mell. Védőnő, EÜ'!D34</f>
        <v>158</v>
      </c>
      <c r="Q13" s="790">
        <f>+'5.d. mell. Védőnő, EÜ'!E34</f>
        <v>0</v>
      </c>
      <c r="R13" s="496">
        <f>+'5.d. mell. Védőnő, EÜ'!F34</f>
        <v>158</v>
      </c>
      <c r="S13" s="493"/>
      <c r="T13" s="492"/>
      <c r="U13" s="494"/>
      <c r="V13" s="493"/>
      <c r="W13" s="492"/>
      <c r="X13" s="494"/>
      <c r="Y13" s="495">
        <f>+'5.g. mell. Egyéb tev.'!D35</f>
        <v>27157</v>
      </c>
      <c r="Z13" s="492">
        <f>+'5.g. mell. Egyéb tev.'!E35</f>
        <v>200</v>
      </c>
      <c r="AA13" s="494">
        <f>+'5.g. mell. Egyéb tev.'!F35</f>
        <v>27357</v>
      </c>
      <c r="AB13" s="246"/>
      <c r="AC13" s="246"/>
    </row>
    <row r="14" spans="1:29" s="44" customFormat="1" ht="12.75" customHeight="1" x14ac:dyDescent="0.25">
      <c r="A14" s="473" t="s">
        <v>81</v>
      </c>
      <c r="B14" s="1083" t="s">
        <v>151</v>
      </c>
      <c r="C14" s="1084"/>
      <c r="D14" s="484">
        <f>+G14+J14+M14+P14+S14+V14+Y14</f>
        <v>440010</v>
      </c>
      <c r="E14" s="483">
        <f t="shared" si="1"/>
        <v>70478</v>
      </c>
      <c r="F14" s="483">
        <f t="shared" si="2"/>
        <v>510488</v>
      </c>
      <c r="G14" s="484">
        <f>SUM(G9:G13)</f>
        <v>8260</v>
      </c>
      <c r="H14" s="483">
        <f t="shared" ref="H14:I14" si="7">SUM(H9:H13)</f>
        <v>0</v>
      </c>
      <c r="I14" s="485">
        <f t="shared" si="7"/>
        <v>8260</v>
      </c>
      <c r="J14" s="484">
        <f>+'5.b. mell. VF saját forrásból'!D35</f>
        <v>126184</v>
      </c>
      <c r="K14" s="483">
        <f>+'5.b. mell. VF saját forrásból'!E35</f>
        <v>3859</v>
      </c>
      <c r="L14" s="485">
        <f>+'5.b. mell. VF saját forrásból'!F35</f>
        <v>130043</v>
      </c>
      <c r="M14" s="484">
        <f>SUM(M9:M13)</f>
        <v>203229</v>
      </c>
      <c r="N14" s="483">
        <f t="shared" ref="N14:O14" si="8">SUM(N9:N13)</f>
        <v>65281</v>
      </c>
      <c r="O14" s="485">
        <f t="shared" si="8"/>
        <v>268510</v>
      </c>
      <c r="P14" s="486">
        <f>SUM(P9:P13)</f>
        <v>1855</v>
      </c>
      <c r="Q14" s="483">
        <f t="shared" ref="Q14:R14" si="9">SUM(Q9:Q13)</f>
        <v>0</v>
      </c>
      <c r="R14" s="487">
        <f t="shared" si="9"/>
        <v>1855</v>
      </c>
      <c r="S14" s="484"/>
      <c r="T14" s="483"/>
      <c r="U14" s="485"/>
      <c r="V14" s="484"/>
      <c r="W14" s="483"/>
      <c r="X14" s="485"/>
      <c r="Y14" s="486">
        <f>SUM(Y9:Y13)</f>
        <v>100482</v>
      </c>
      <c r="Z14" s="483">
        <f t="shared" ref="Z14:AA14" si="10">SUM(Z9:Z13)</f>
        <v>1338</v>
      </c>
      <c r="AA14" s="485">
        <f t="shared" si="10"/>
        <v>101820</v>
      </c>
      <c r="AB14" s="246"/>
      <c r="AC14" s="246"/>
    </row>
    <row r="15" spans="1:29" x14ac:dyDescent="0.3">
      <c r="A15" s="103"/>
      <c r="B15" s="476"/>
      <c r="C15" s="356"/>
      <c r="D15" s="488"/>
      <c r="E15" s="489"/>
      <c r="F15" s="489"/>
      <c r="G15" s="490"/>
      <c r="H15" s="489"/>
      <c r="I15" s="491"/>
      <c r="J15" s="490"/>
      <c r="K15" s="489"/>
      <c r="L15" s="491"/>
      <c r="M15" s="490"/>
      <c r="N15" s="489"/>
      <c r="O15" s="491"/>
      <c r="P15" s="489"/>
      <c r="Q15" s="489"/>
      <c r="R15" s="489"/>
      <c r="S15" s="490"/>
      <c r="T15" s="489"/>
      <c r="U15" s="491"/>
      <c r="V15" s="490"/>
      <c r="W15" s="489"/>
      <c r="X15" s="491"/>
      <c r="Y15" s="489"/>
      <c r="Z15" s="489"/>
      <c r="AA15" s="491"/>
    </row>
    <row r="16" spans="1:29" s="44" customFormat="1" ht="12.75" customHeight="1" x14ac:dyDescent="0.25">
      <c r="A16" s="473" t="s">
        <v>94</v>
      </c>
      <c r="B16" s="1090" t="s">
        <v>150</v>
      </c>
      <c r="C16" s="1091"/>
      <c r="D16" s="484">
        <f>+G16+J16+M16+P16+S16+V16+Y16</f>
        <v>23333</v>
      </c>
      <c r="E16" s="483">
        <f t="shared" si="1"/>
        <v>0</v>
      </c>
      <c r="F16" s="483">
        <f t="shared" si="2"/>
        <v>23333</v>
      </c>
      <c r="G16" s="484"/>
      <c r="H16" s="483"/>
      <c r="I16" s="485"/>
      <c r="J16" s="484"/>
      <c r="K16" s="483"/>
      <c r="L16" s="485"/>
      <c r="M16" s="484"/>
      <c r="N16" s="483"/>
      <c r="O16" s="485"/>
      <c r="P16" s="486"/>
      <c r="Q16" s="483"/>
      <c r="R16" s="487"/>
      <c r="S16" s="484">
        <f>+'5.e. mell. Szociális ellátások'!C7</f>
        <v>23333</v>
      </c>
      <c r="T16" s="483">
        <f>+'5.e. mell. Szociális ellátások'!D7</f>
        <v>0</v>
      </c>
      <c r="U16" s="485">
        <f>+'5.e. mell. Szociális ellátások'!E7</f>
        <v>23333</v>
      </c>
      <c r="V16" s="484"/>
      <c r="W16" s="483"/>
      <c r="X16" s="485"/>
      <c r="Y16" s="486"/>
      <c r="Z16" s="483"/>
      <c r="AA16" s="485"/>
      <c r="AB16" s="246"/>
      <c r="AC16" s="246"/>
    </row>
    <row r="17" spans="1:29" x14ac:dyDescent="0.3">
      <c r="A17" s="103"/>
      <c r="B17" s="1092"/>
      <c r="C17" s="1093"/>
      <c r="D17" s="488"/>
      <c r="E17" s="489"/>
      <c r="F17" s="489"/>
      <c r="G17" s="490"/>
      <c r="H17" s="489"/>
      <c r="I17" s="491"/>
      <c r="J17" s="490"/>
      <c r="K17" s="489"/>
      <c r="L17" s="491"/>
      <c r="M17" s="490"/>
      <c r="N17" s="489"/>
      <c r="O17" s="491"/>
      <c r="P17" s="489"/>
      <c r="Q17" s="489"/>
      <c r="R17" s="489"/>
      <c r="S17" s="490"/>
      <c r="T17" s="489"/>
      <c r="U17" s="491"/>
      <c r="V17" s="490"/>
      <c r="W17" s="489"/>
      <c r="X17" s="491"/>
      <c r="Y17" s="489"/>
      <c r="Z17" s="489"/>
      <c r="AA17" s="491"/>
    </row>
    <row r="18" spans="1:29" s="44" customFormat="1" ht="12.75" customHeight="1" x14ac:dyDescent="0.25">
      <c r="A18" s="473" t="s">
        <v>108</v>
      </c>
      <c r="B18" s="1083" t="s">
        <v>163</v>
      </c>
      <c r="C18" s="1084"/>
      <c r="D18" s="484">
        <f>+G18+J18+M18+P18+S18+V18+Y18</f>
        <v>546522</v>
      </c>
      <c r="E18" s="483">
        <f t="shared" si="1"/>
        <v>27032</v>
      </c>
      <c r="F18" s="483">
        <f t="shared" si="2"/>
        <v>573554</v>
      </c>
      <c r="G18" s="484"/>
      <c r="H18" s="483"/>
      <c r="I18" s="485"/>
      <c r="J18" s="484"/>
      <c r="K18" s="483"/>
      <c r="L18" s="485"/>
      <c r="M18" s="484"/>
      <c r="N18" s="483"/>
      <c r="O18" s="485"/>
      <c r="P18" s="486"/>
      <c r="Q18" s="483"/>
      <c r="R18" s="487"/>
      <c r="S18" s="484"/>
      <c r="T18" s="483"/>
      <c r="U18" s="485"/>
      <c r="V18" s="484">
        <f>+'5.f. mell. Átadott pénzeszk.'!L39</f>
        <v>208282</v>
      </c>
      <c r="W18" s="483">
        <f>+'5.f. mell. Átadott pénzeszk.'!M39</f>
        <v>-446</v>
      </c>
      <c r="X18" s="485">
        <f>+'5.f. mell. Átadott pénzeszk.'!N39</f>
        <v>207836</v>
      </c>
      <c r="Y18" s="486">
        <f>+'5.g. mell. Egyéb tev.'!D75</f>
        <v>338240</v>
      </c>
      <c r="Z18" s="483">
        <f>+'5.g. mell. Egyéb tev.'!E75</f>
        <v>27478</v>
      </c>
      <c r="AA18" s="485">
        <f>+'5.g. mell. Egyéb tev.'!F75</f>
        <v>365718</v>
      </c>
      <c r="AB18" s="246"/>
      <c r="AC18" s="246"/>
    </row>
    <row r="19" spans="1:29" s="44" customFormat="1" ht="12.75" customHeight="1" x14ac:dyDescent="0.25">
      <c r="A19" s="473"/>
      <c r="B19" s="1085" t="s">
        <v>563</v>
      </c>
      <c r="C19" s="1086"/>
      <c r="D19" s="484">
        <f>+G19+J19+M19+P19+S19+V19+Y19</f>
        <v>338240</v>
      </c>
      <c r="E19" s="483">
        <f t="shared" si="1"/>
        <v>26445</v>
      </c>
      <c r="F19" s="483">
        <f t="shared" si="2"/>
        <v>364685</v>
      </c>
      <c r="G19" s="484"/>
      <c r="H19" s="483"/>
      <c r="I19" s="485"/>
      <c r="J19" s="484"/>
      <c r="K19" s="483"/>
      <c r="L19" s="485"/>
      <c r="M19" s="484"/>
      <c r="N19" s="483"/>
      <c r="O19" s="485"/>
      <c r="P19" s="486"/>
      <c r="Q19" s="483"/>
      <c r="R19" s="487"/>
      <c r="S19" s="484"/>
      <c r="T19" s="483"/>
      <c r="U19" s="485"/>
      <c r="V19" s="484"/>
      <c r="W19" s="483"/>
      <c r="X19" s="485"/>
      <c r="Y19" s="486">
        <f>+'5.g. mell. Egyéb tev.'!D63</f>
        <v>338240</v>
      </c>
      <c r="Z19" s="483">
        <f>+'5.g. mell. Egyéb tev.'!E63</f>
        <v>26445</v>
      </c>
      <c r="AA19" s="485">
        <f>+'5.g. mell. Egyéb tev.'!F63</f>
        <v>364685</v>
      </c>
      <c r="AB19" s="246"/>
      <c r="AC19" s="246"/>
    </row>
    <row r="20" spans="1:29" x14ac:dyDescent="0.3">
      <c r="A20" s="103"/>
      <c r="B20" s="476"/>
      <c r="C20" s="356"/>
      <c r="D20" s="488"/>
      <c r="E20" s="489"/>
      <c r="F20" s="489"/>
      <c r="G20" s="490"/>
      <c r="H20" s="489"/>
      <c r="I20" s="491"/>
      <c r="J20" s="490"/>
      <c r="K20" s="489"/>
      <c r="L20" s="491"/>
      <c r="M20" s="490"/>
      <c r="N20" s="489"/>
      <c r="O20" s="491"/>
      <c r="P20" s="489"/>
      <c r="Q20" s="489"/>
      <c r="R20" s="489"/>
      <c r="S20" s="490"/>
      <c r="T20" s="489"/>
      <c r="U20" s="491"/>
      <c r="V20" s="490"/>
      <c r="W20" s="489"/>
      <c r="X20" s="491"/>
      <c r="Y20" s="489"/>
      <c r="Z20" s="489"/>
      <c r="AA20" s="491"/>
    </row>
    <row r="21" spans="1:29" s="44" customFormat="1" ht="12.75" customHeight="1" x14ac:dyDescent="0.25">
      <c r="A21" s="473" t="s">
        <v>123</v>
      </c>
      <c r="B21" s="1083" t="s">
        <v>161</v>
      </c>
      <c r="C21" s="1084"/>
      <c r="D21" s="484">
        <f>+G21+J21+M21+P21+S21+V21+Y21</f>
        <v>1459664</v>
      </c>
      <c r="E21" s="483">
        <f t="shared" si="1"/>
        <v>-3562</v>
      </c>
      <c r="F21" s="483">
        <f t="shared" si="2"/>
        <v>1456102</v>
      </c>
      <c r="G21" s="484"/>
      <c r="H21" s="483"/>
      <c r="I21" s="485"/>
      <c r="J21" s="484">
        <f>+'5.b. mell. VF saját forrásból'!D53</f>
        <v>523692</v>
      </c>
      <c r="K21" s="483">
        <f>+'5.b. mell. VF saját forrásból'!E53</f>
        <v>-5991</v>
      </c>
      <c r="L21" s="485">
        <f>+'5.b. mell. VF saját forrásból'!F53</f>
        <v>517701</v>
      </c>
      <c r="M21" s="484">
        <f>+'5.c. mell. VF Eu forrásból'!D52</f>
        <v>935812</v>
      </c>
      <c r="N21" s="483">
        <f>+'5.c. mell. VF Eu forrásból'!E52</f>
        <v>2429</v>
      </c>
      <c r="O21" s="485">
        <f>+'5.c. mell. VF Eu forrásból'!F52</f>
        <v>938241</v>
      </c>
      <c r="P21" s="486">
        <f>+'5.d. mell. Védőnő, EÜ'!D45</f>
        <v>160</v>
      </c>
      <c r="Q21" s="483">
        <f>+'5.d. mell. Védőnő, EÜ'!E45</f>
        <v>0</v>
      </c>
      <c r="R21" s="487">
        <f>+'5.d. mell. Védőnő, EÜ'!F45</f>
        <v>160</v>
      </c>
      <c r="S21" s="484"/>
      <c r="T21" s="483"/>
      <c r="U21" s="485"/>
      <c r="V21" s="484"/>
      <c r="W21" s="483"/>
      <c r="X21" s="485"/>
      <c r="Y21" s="486"/>
      <c r="Z21" s="483"/>
      <c r="AA21" s="485"/>
      <c r="AB21" s="246"/>
      <c r="AC21" s="246"/>
    </row>
    <row r="22" spans="1:29" x14ac:dyDescent="0.3">
      <c r="A22" s="103"/>
      <c r="B22" s="476"/>
      <c r="C22" s="356"/>
      <c r="D22" s="488"/>
      <c r="E22" s="489"/>
      <c r="F22" s="489"/>
      <c r="G22" s="490"/>
      <c r="H22" s="489"/>
      <c r="I22" s="491"/>
      <c r="J22" s="490"/>
      <c r="K22" s="489"/>
      <c r="L22" s="491"/>
      <c r="M22" s="490"/>
      <c r="N22" s="489"/>
      <c r="O22" s="491"/>
      <c r="P22" s="489"/>
      <c r="Q22" s="489"/>
      <c r="R22" s="489"/>
      <c r="S22" s="490"/>
      <c r="T22" s="489"/>
      <c r="U22" s="491"/>
      <c r="V22" s="490"/>
      <c r="W22" s="489"/>
      <c r="X22" s="491"/>
      <c r="Y22" s="489"/>
      <c r="Z22" s="489"/>
      <c r="AA22" s="491"/>
    </row>
    <row r="23" spans="1:29" s="44" customFormat="1" ht="12.75" customHeight="1" x14ac:dyDescent="0.25">
      <c r="A23" s="473" t="s">
        <v>132</v>
      </c>
      <c r="B23" s="1083" t="s">
        <v>160</v>
      </c>
      <c r="C23" s="1084"/>
      <c r="D23" s="484">
        <f>+G23+J23+M23+P23+S23+V23+Y23</f>
        <v>84582</v>
      </c>
      <c r="E23" s="483">
        <f t="shared" si="1"/>
        <v>24745</v>
      </c>
      <c r="F23" s="483">
        <f t="shared" si="2"/>
        <v>109327</v>
      </c>
      <c r="G23" s="484"/>
      <c r="H23" s="483"/>
      <c r="I23" s="485"/>
      <c r="J23" s="484">
        <f>+'5.b. mell. VF saját forrásból'!D59</f>
        <v>84582</v>
      </c>
      <c r="K23" s="483">
        <f>+'5.b. mell. VF saját forrásból'!E59</f>
        <v>0</v>
      </c>
      <c r="L23" s="485">
        <f>+'5.b. mell. VF saját forrásból'!F59</f>
        <v>84582</v>
      </c>
      <c r="M23" s="484">
        <f>+'5.c. mell. VF Eu forrásból'!D58</f>
        <v>0</v>
      </c>
      <c r="N23" s="483">
        <f>+'5.c. mell. VF Eu forrásból'!E58</f>
        <v>24745</v>
      </c>
      <c r="O23" s="485">
        <f>+'5.c. mell. VF Eu forrásból'!F58</f>
        <v>24745</v>
      </c>
      <c r="P23" s="486"/>
      <c r="Q23" s="483"/>
      <c r="R23" s="487"/>
      <c r="S23" s="484"/>
      <c r="T23" s="483"/>
      <c r="U23" s="485"/>
      <c r="V23" s="484"/>
      <c r="W23" s="483"/>
      <c r="X23" s="485"/>
      <c r="Y23" s="486"/>
      <c r="Z23" s="483"/>
      <c r="AA23" s="485"/>
      <c r="AB23" s="246"/>
      <c r="AC23" s="246"/>
    </row>
    <row r="24" spans="1:29" x14ac:dyDescent="0.3">
      <c r="A24" s="103"/>
      <c r="B24" s="476"/>
      <c r="C24" s="356"/>
      <c r="D24" s="488"/>
      <c r="E24" s="489"/>
      <c r="F24" s="489"/>
      <c r="G24" s="490"/>
      <c r="H24" s="489"/>
      <c r="I24" s="491"/>
      <c r="J24" s="490"/>
      <c r="K24" s="489"/>
      <c r="L24" s="491"/>
      <c r="M24" s="490"/>
      <c r="N24" s="489"/>
      <c r="O24" s="491"/>
      <c r="P24" s="489"/>
      <c r="Q24" s="489"/>
      <c r="R24" s="489"/>
      <c r="S24" s="490"/>
      <c r="T24" s="489"/>
      <c r="U24" s="491"/>
      <c r="V24" s="490"/>
      <c r="W24" s="489"/>
      <c r="X24" s="491"/>
      <c r="Y24" s="489"/>
      <c r="Z24" s="489"/>
      <c r="AA24" s="491"/>
    </row>
    <row r="25" spans="1:29" s="44" customFormat="1" ht="12.75" customHeight="1" x14ac:dyDescent="0.25">
      <c r="A25" s="473" t="s">
        <v>134</v>
      </c>
      <c r="B25" s="1083" t="s">
        <v>158</v>
      </c>
      <c r="C25" s="1084"/>
      <c r="D25" s="484">
        <f>+G25+J25+M25+P25+S25+V25+Y25</f>
        <v>0</v>
      </c>
      <c r="E25" s="483">
        <f t="shared" si="1"/>
        <v>0</v>
      </c>
      <c r="F25" s="483">
        <f t="shared" si="2"/>
        <v>0</v>
      </c>
      <c r="G25" s="484"/>
      <c r="H25" s="483"/>
      <c r="I25" s="485"/>
      <c r="J25" s="484"/>
      <c r="K25" s="483"/>
      <c r="L25" s="485"/>
      <c r="M25" s="484"/>
      <c r="N25" s="483"/>
      <c r="O25" s="485"/>
      <c r="P25" s="486"/>
      <c r="Q25" s="483"/>
      <c r="R25" s="487"/>
      <c r="S25" s="484"/>
      <c r="T25" s="483"/>
      <c r="U25" s="485"/>
      <c r="V25" s="484"/>
      <c r="W25" s="483"/>
      <c r="X25" s="485"/>
      <c r="Y25" s="486"/>
      <c r="Z25" s="483"/>
      <c r="AA25" s="485"/>
      <c r="AB25" s="246"/>
      <c r="AC25" s="246"/>
    </row>
    <row r="26" spans="1:29" x14ac:dyDescent="0.3">
      <c r="A26" s="103"/>
      <c r="B26" s="476"/>
      <c r="C26" s="356"/>
      <c r="D26" s="488"/>
      <c r="E26" s="489"/>
      <c r="F26" s="489"/>
      <c r="G26" s="490"/>
      <c r="H26" s="489"/>
      <c r="I26" s="491"/>
      <c r="J26" s="490"/>
      <c r="K26" s="489"/>
      <c r="L26" s="491"/>
      <c r="M26" s="490"/>
      <c r="N26" s="489"/>
      <c r="O26" s="491"/>
      <c r="P26" s="489"/>
      <c r="Q26" s="489"/>
      <c r="R26" s="489"/>
      <c r="S26" s="490"/>
      <c r="T26" s="489"/>
      <c r="U26" s="491"/>
      <c r="V26" s="490"/>
      <c r="W26" s="489"/>
      <c r="X26" s="491"/>
      <c r="Y26" s="489"/>
      <c r="Z26" s="489"/>
      <c r="AA26" s="491"/>
    </row>
    <row r="27" spans="1:29" s="44" customFormat="1" ht="12.75" customHeight="1" x14ac:dyDescent="0.25">
      <c r="A27" s="474" t="s">
        <v>135</v>
      </c>
      <c r="B27" s="1083" t="s">
        <v>157</v>
      </c>
      <c r="C27" s="1084"/>
      <c r="D27" s="484">
        <f>+G27+J27+M27+P27+S27+V27+Y27</f>
        <v>2601767</v>
      </c>
      <c r="E27" s="483">
        <f t="shared" si="1"/>
        <v>118443</v>
      </c>
      <c r="F27" s="483">
        <f t="shared" si="2"/>
        <v>2720210</v>
      </c>
      <c r="G27" s="484">
        <f>+G25+G23+G21+G18+G16+G14+G7+G5</f>
        <v>30191</v>
      </c>
      <c r="H27" s="483">
        <f t="shared" ref="H27:AA27" si="11">+H25+H23+H21+H18+H16+H14+H7+H5</f>
        <v>-330</v>
      </c>
      <c r="I27" s="485">
        <f t="shared" si="11"/>
        <v>29861</v>
      </c>
      <c r="J27" s="484">
        <f t="shared" si="11"/>
        <v>735051</v>
      </c>
      <c r="K27" s="483">
        <f t="shared" si="11"/>
        <v>-2132</v>
      </c>
      <c r="L27" s="485">
        <f t="shared" si="11"/>
        <v>732919</v>
      </c>
      <c r="M27" s="484">
        <f t="shared" si="11"/>
        <v>1140144</v>
      </c>
      <c r="N27" s="483">
        <f t="shared" si="11"/>
        <v>92735</v>
      </c>
      <c r="O27" s="485">
        <f t="shared" si="11"/>
        <v>1232879</v>
      </c>
      <c r="P27" s="486">
        <f t="shared" si="11"/>
        <v>16749</v>
      </c>
      <c r="Q27" s="483">
        <f t="shared" si="11"/>
        <v>0</v>
      </c>
      <c r="R27" s="487">
        <f t="shared" si="11"/>
        <v>16749</v>
      </c>
      <c r="S27" s="484">
        <f t="shared" si="11"/>
        <v>23333</v>
      </c>
      <c r="T27" s="483">
        <f t="shared" si="11"/>
        <v>0</v>
      </c>
      <c r="U27" s="485">
        <f t="shared" si="11"/>
        <v>23333</v>
      </c>
      <c r="V27" s="484">
        <f t="shared" si="11"/>
        <v>208282</v>
      </c>
      <c r="W27" s="483">
        <f t="shared" si="11"/>
        <v>-446</v>
      </c>
      <c r="X27" s="485">
        <f t="shared" si="11"/>
        <v>207836</v>
      </c>
      <c r="Y27" s="486">
        <f t="shared" si="11"/>
        <v>448017</v>
      </c>
      <c r="Z27" s="483">
        <f t="shared" si="11"/>
        <v>28616</v>
      </c>
      <c r="AA27" s="483">
        <f t="shared" si="11"/>
        <v>476633</v>
      </c>
      <c r="AB27" s="246"/>
      <c r="AC27" s="246"/>
    </row>
    <row r="28" spans="1:29" ht="9.75" customHeight="1" x14ac:dyDescent="0.3">
      <c r="A28" s="104"/>
      <c r="B28" s="477"/>
      <c r="C28" s="358"/>
      <c r="D28" s="488"/>
      <c r="E28" s="489"/>
      <c r="F28" s="489"/>
      <c r="G28" s="490"/>
      <c r="H28" s="489"/>
      <c r="I28" s="491"/>
      <c r="J28" s="490"/>
      <c r="K28" s="489"/>
      <c r="L28" s="491"/>
      <c r="M28" s="490"/>
      <c r="N28" s="489"/>
      <c r="O28" s="491"/>
      <c r="P28" s="489"/>
      <c r="Q28" s="489"/>
      <c r="R28" s="489"/>
      <c r="S28" s="490"/>
      <c r="T28" s="489"/>
      <c r="U28" s="491"/>
      <c r="V28" s="490"/>
      <c r="W28" s="489"/>
      <c r="X28" s="491"/>
      <c r="Y28" s="489"/>
      <c r="Z28" s="489"/>
      <c r="AA28" s="491"/>
    </row>
    <row r="29" spans="1:29" s="44" customFormat="1" ht="13.8" thickBot="1" x14ac:dyDescent="0.3">
      <c r="A29" s="475" t="s">
        <v>271</v>
      </c>
      <c r="B29" s="1094" t="s">
        <v>277</v>
      </c>
      <c r="C29" s="1095"/>
      <c r="D29" s="497">
        <f>+G29+J29+M29+P29+S29+V29+Y29</f>
        <v>450258</v>
      </c>
      <c r="E29" s="498">
        <f t="shared" si="1"/>
        <v>868972</v>
      </c>
      <c r="F29" s="498">
        <f t="shared" si="2"/>
        <v>1319230</v>
      </c>
      <c r="G29" s="499"/>
      <c r="H29" s="500"/>
      <c r="I29" s="501"/>
      <c r="J29" s="497">
        <f>+'5.b. mell. VF saját forrásból'!D68</f>
        <v>2268</v>
      </c>
      <c r="K29" s="497">
        <f>+'5.b. mell. VF saját forrásból'!E68</f>
        <v>0</v>
      </c>
      <c r="L29" s="497">
        <f>+'5.b. mell. VF saját forrásból'!F68</f>
        <v>2268</v>
      </c>
      <c r="M29" s="497"/>
      <c r="N29" s="498"/>
      <c r="O29" s="501"/>
      <c r="P29" s="502"/>
      <c r="Q29" s="498"/>
      <c r="R29" s="503"/>
      <c r="S29" s="497"/>
      <c r="T29" s="498"/>
      <c r="U29" s="501"/>
      <c r="V29" s="497"/>
      <c r="W29" s="498"/>
      <c r="X29" s="501"/>
      <c r="Y29" s="502">
        <f>+'5.g. mell. Egyéb tev.'!AE107</f>
        <v>447990</v>
      </c>
      <c r="Z29" s="498">
        <f>+'5.g. mell. Egyéb tev.'!AF107</f>
        <v>868972</v>
      </c>
      <c r="AA29" s="501">
        <f>+'5.g. mell. Egyéb tev.'!AG107</f>
        <v>1316962</v>
      </c>
      <c r="AB29" s="246"/>
      <c r="AC29" s="246"/>
    </row>
    <row r="30" spans="1:29" s="44" customFormat="1" ht="18.75" customHeight="1" thickBot="1" x14ac:dyDescent="0.3">
      <c r="A30" s="1087" t="s">
        <v>591</v>
      </c>
      <c r="B30" s="1088"/>
      <c r="C30" s="1089"/>
      <c r="D30" s="504">
        <f t="shared" ref="D30:AA30" si="12">+D29+D27</f>
        <v>3052025</v>
      </c>
      <c r="E30" s="504">
        <f t="shared" si="12"/>
        <v>987415</v>
      </c>
      <c r="F30" s="504">
        <f t="shared" si="12"/>
        <v>4039440</v>
      </c>
      <c r="G30" s="504">
        <f t="shared" si="12"/>
        <v>30191</v>
      </c>
      <c r="H30" s="504">
        <f t="shared" si="12"/>
        <v>-330</v>
      </c>
      <c r="I30" s="504">
        <f t="shared" si="12"/>
        <v>29861</v>
      </c>
      <c r="J30" s="504">
        <f t="shared" si="12"/>
        <v>737319</v>
      </c>
      <c r="K30" s="504">
        <f t="shared" si="12"/>
        <v>-2132</v>
      </c>
      <c r="L30" s="504">
        <f t="shared" si="12"/>
        <v>735187</v>
      </c>
      <c r="M30" s="504">
        <f t="shared" si="12"/>
        <v>1140144</v>
      </c>
      <c r="N30" s="504">
        <f t="shared" si="12"/>
        <v>92735</v>
      </c>
      <c r="O30" s="504">
        <f t="shared" si="12"/>
        <v>1232879</v>
      </c>
      <c r="P30" s="504">
        <f t="shared" si="12"/>
        <v>16749</v>
      </c>
      <c r="Q30" s="504">
        <f t="shared" si="12"/>
        <v>0</v>
      </c>
      <c r="R30" s="504">
        <f t="shared" si="12"/>
        <v>16749</v>
      </c>
      <c r="S30" s="504">
        <f t="shared" si="12"/>
        <v>23333</v>
      </c>
      <c r="T30" s="504">
        <f t="shared" si="12"/>
        <v>0</v>
      </c>
      <c r="U30" s="504">
        <f t="shared" si="12"/>
        <v>23333</v>
      </c>
      <c r="V30" s="504">
        <f t="shared" si="12"/>
        <v>208282</v>
      </c>
      <c r="W30" s="504">
        <f t="shared" si="12"/>
        <v>-446</v>
      </c>
      <c r="X30" s="504">
        <f t="shared" si="12"/>
        <v>207836</v>
      </c>
      <c r="Y30" s="504">
        <f t="shared" si="12"/>
        <v>896007</v>
      </c>
      <c r="Z30" s="504">
        <f t="shared" si="12"/>
        <v>897588</v>
      </c>
      <c r="AA30" s="504">
        <f t="shared" si="12"/>
        <v>1793595</v>
      </c>
      <c r="AB30" s="246"/>
      <c r="AC30" s="246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80" orientation="landscape" r:id="rId1"/>
  <headerFooter>
    <oddHeader>&amp;C&amp;"Times New Roman,Félkövér"&amp;12Martonvásár Város Önkormányzatának kiadásai 2017.
&amp;"Times New Roman,Dőlt"(intézmények nélkül)&amp;R&amp;"Times New Roman,Félkövér"&amp;12 5.melléklet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13</vt:i4>
      </vt:variant>
    </vt:vector>
  </HeadingPairs>
  <TitlesOfParts>
    <vt:vector size="43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'12.e Konszolidált módosítás'!Nyomtatási_terület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2018-06-09T13:46:21Z</cp:lastPrinted>
  <dcterms:created xsi:type="dcterms:W3CDTF">2014-01-29T08:39:20Z</dcterms:created>
  <dcterms:modified xsi:type="dcterms:W3CDTF">2018-06-29T09:10:55Z</dcterms:modified>
</cp:coreProperties>
</file>