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1016" tabRatio="842" activeTab="0"/>
  </bookViews>
  <sheets>
    <sheet name="1.1. sz. mell." sheetId="1" r:id="rId1"/>
    <sheet name="1.2. sz. mell." sheetId="2" r:id="rId2"/>
    <sheet name="1.4. sz. mell." sheetId="3" r:id="rId3"/>
    <sheet name="2.1.sz.mell  " sheetId="4" r:id="rId4"/>
    <sheet name="2.2.sz.mell  " sheetId="5" r:id="rId5"/>
    <sheet name="4.sz.mell." sheetId="6" r:id="rId6"/>
    <sheet name="6.sz.mell." sheetId="7" r:id="rId7"/>
    <sheet name="7.sz.mell." sheetId="8" r:id="rId8"/>
    <sheet name="9.1. sz. mell" sheetId="9" r:id="rId9"/>
    <sheet name="9.1.1. sz. mell" sheetId="10" r:id="rId10"/>
    <sheet name="9.2. sz. mell" sheetId="11" r:id="rId11"/>
    <sheet name="9.2.1. sz. mell" sheetId="12" r:id="rId12"/>
    <sheet name="9.2.2. sz. mell" sheetId="13" r:id="rId13"/>
    <sheet name="9.3. sz. mell" sheetId="14" r:id="rId14"/>
    <sheet name="9.3.1. sz. mell" sheetId="15" r:id="rId15"/>
    <sheet name="9.4. sz. mell " sheetId="16" r:id="rId16"/>
    <sheet name="9.4.1. sz. mell" sheetId="17" r:id="rId17"/>
    <sheet name="9.5. sz. mell " sheetId="18" r:id="rId18"/>
    <sheet name="9.5.1. sz. mell " sheetId="19" r:id="rId19"/>
  </sheets>
  <externalReferences>
    <externalReference r:id="rId22"/>
  </externalReferences>
  <definedNames>
    <definedName name="_xlfn.IFERROR" hidden="1">#NAME?</definedName>
    <definedName name="Excel_BuiltIn_Print_Titles_10">#REF!</definedName>
    <definedName name="Excel_BuiltIn_Print_Titles_11">#REF!</definedName>
    <definedName name="Excel_BuiltIn_Print_Titles_6">#REF!</definedName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mell'!$1:$6</definedName>
    <definedName name="_xlnm.Print_Titles" localSheetId="12">'9.2.2. sz. mell'!$1:$6</definedName>
    <definedName name="_xlnm.Print_Titles" localSheetId="13">'9.3. sz. mell'!$1:$6</definedName>
    <definedName name="_xlnm.Print_Titles" localSheetId="14">'9.3.1. sz. mell'!$1:$6</definedName>
    <definedName name="_xlnm.Print_Titles" localSheetId="15">'9.4. sz. mell '!$1:$6</definedName>
    <definedName name="_xlnm.Print_Titles" localSheetId="16">'9.4.1. sz. mell'!$1:$6</definedName>
    <definedName name="_xlnm.Print_Titles" localSheetId="17">'9.5. sz. mell '!$1:$6</definedName>
    <definedName name="_xlnm.Print_Titles" localSheetId="18">'9.5.1. sz. mell '!$1:$6</definedName>
    <definedName name="_xlnm.Print_Area" localSheetId="0">'1.1. sz. mell.'!$A$1:$F$153</definedName>
    <definedName name="_xlnm.Print_Area" localSheetId="1">'1.2. sz. mell.'!$A$1:$F$152</definedName>
    <definedName name="_xlnm.Print_Area" localSheetId="2">'1.4. sz. mell.'!$A$1:$F$151</definedName>
    <definedName name="_xlnm.Print_Area" localSheetId="3">'2.1.sz.mell  '!$A$1:$L$33</definedName>
    <definedName name="_xlnm.Print_Area" localSheetId="4">'2.2.sz.mell  '!$A$1:$L$36</definedName>
  </definedNames>
  <calcPr fullCalcOnLoad="1"/>
</workbook>
</file>

<file path=xl/comments1.xml><?xml version="1.0" encoding="utf-8"?>
<comments xmlns="http://schemas.openxmlformats.org/spreadsheetml/2006/main">
  <authors>
    <author>user010</author>
  </authors>
  <commentList>
    <comment ref="G26" authorId="0">
      <text>
        <r>
          <rPr>
            <b/>
            <sz val="9"/>
            <rFont val="Tahoma"/>
            <family val="2"/>
          </rPr>
          <t>ÉMOP-3.1.2. Árvízi úthelyreállítás 119 564 E Ft szállítói finanszírozás,</t>
        </r>
        <r>
          <rPr>
            <sz val="9"/>
            <rFont val="Tahoma"/>
            <family val="2"/>
          </rPr>
          <t xml:space="preserve">
Szoc. Pályázat 22 112 E Ft,
Kultúrház pályázat 1 816  E Ft</t>
        </r>
      </text>
    </comment>
    <comment ref="D26" authorId="0">
      <text>
        <r>
          <rPr>
            <b/>
            <sz val="9"/>
            <rFont val="Tahoma"/>
            <family val="2"/>
          </rPr>
          <t>Árvízi úthelyreállítás 118 807 E Ft
Szoc. Pályázat 22 112 E Ft,
Kultúrház pályázat 1 816 E Ft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<sst xmlns="http://schemas.openxmlformats.org/spreadsheetml/2006/main" count="4316" uniqueCount="475">
  <si>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</si>
  <si>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</si>
  <si>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</si>
  <si>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</si>
  <si>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</si>
  <si>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</si>
  <si>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</si>
  <si>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</si>
  <si>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</si>
  <si>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</si>
  <si>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</si>
  <si>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</si>
  <si>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</si>
  <si>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</si>
  <si>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</si>
  <si>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</si>
  <si>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</si>
  <si>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</si>
  <si>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</si>
  <si>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</si>
  <si>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</si>
  <si>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</si>
  <si>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</si>
  <si>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</si>
  <si>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</si>
  <si>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</si>
  <si>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</si>
  <si>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</si>
  <si>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</si>
  <si>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</si>
  <si>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</si>
  <si>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</si>
  <si>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</si>
  <si>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</si>
  <si>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</si>
  <si>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</si>
  <si>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</si>
  <si>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--------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</si>
  <si>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</si>
  <si>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</si>
  <si>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</si>
  <si>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</si>
  <si>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</si>
  <si>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</si>
  <si>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</si>
  <si>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</si>
  <si>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</si>
  <si>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</si>
  <si>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</si>
  <si>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</si>
  <si>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</si>
  <si>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</si>
  <si>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</si>
  <si>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</si>
  <si>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</si>
  <si>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</si>
  <si>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</si>
  <si>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</si>
  <si>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</si>
  <si>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</si>
  <si>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</si>
  <si>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</si>
  <si>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</si>
  <si>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</si>
  <si>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</si>
  <si>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</si>
  <si>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</si>
  <si>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</si>
  <si>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</si>
  <si>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</si>
  <si>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</si>
  <si>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</si>
  <si>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</si>
  <si>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</si>
  <si>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</si>
  <si>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</si>
  <si>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</si>
  <si>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</si>
  <si>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</si>
  <si>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</si>
  <si>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</si>
  <si>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</si>
  <si>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</si>
  <si>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</si>
  <si>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</si>
  <si>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</si>
  <si>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</si>
  <si>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</si>
  <si>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</si>
  <si>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</si>
  <si>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</si>
  <si>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</si>
  <si>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</si>
  <si>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</si>
  <si>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</si>
  <si>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</si>
  <si>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</si>
  <si>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</si>
  <si>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</si>
  <si>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</si>
  <si>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</si>
  <si>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</si>
  <si>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</si>
  <si>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</si>
  <si>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</si>
  <si>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</si>
  <si>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</si>
  <si>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</si>
  <si>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</si>
  <si>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</si>
  <si>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</si>
  <si>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</si>
  <si>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</si>
  <si>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</si>
  <si>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</si>
  <si>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</si>
  <si>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</si>
  <si>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</si>
  <si>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</si>
  <si>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</si>
  <si>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</si>
  <si>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</si>
  <si>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</si>
  <si>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</si>
  <si>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</si>
  <si>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</si>
  <si>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SAJÁT BEVÉTELEK ÖSSZESEN*</t>
  </si>
  <si>
    <t>Feladat megnevezése</t>
  </si>
  <si>
    <t>Száma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</si>
  <si>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</si>
  <si>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</si>
  <si>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</si>
  <si>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</si>
  <si>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</si>
  <si>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</si>
  <si>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</si>
  <si>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</si>
  <si>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</si>
  <si>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</si>
  <si>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</si>
  <si>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</si>
  <si>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</si>
  <si>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</si>
  <si>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</si>
  <si>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</si>
  <si>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</si>
  <si>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</si>
  <si>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</si>
  <si>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</si>
  <si>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</si>
  <si>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</si>
  <si>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</si>
  <si>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</si>
  <si>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</si>
  <si>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</si>
  <si>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</si>
  <si>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</si>
  <si>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</si>
  <si>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Eredeti előirányzat</t>
  </si>
  <si>
    <t>Módosított előirányzat</t>
  </si>
  <si>
    <t>7=(4+6)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</si>
  <si>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</si>
  <si>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</si>
  <si>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</si>
  <si>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</si>
  <si>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</si>
  <si>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</si>
  <si>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</si>
  <si>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</si>
  <si>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</si>
  <si>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</si>
  <si>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 kölcsönök visszatérülése </t>
  </si>
  <si>
    <t>Működési célú visszatérítendő támogatások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</si>
  <si>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</si>
  <si>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</si>
  <si>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</si>
  <si>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</si>
  <si>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</si>
  <si>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 kölcsönök visszatérülése</t>
  </si>
  <si>
    <t>Felhalmozási célú visszatérítendő támogatások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</si>
  <si>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</si>
  <si>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</si>
  <si>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</si>
  <si>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</si>
  <si>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</si>
  <si>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</si>
  <si>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</si>
  <si>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</si>
  <si>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</si>
  <si>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</si>
  <si>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</si>
  <si>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</si>
  <si>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</si>
  <si>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</si>
  <si>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</si>
  <si>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</si>
  <si>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</si>
  <si>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</si>
  <si>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</si>
  <si>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</si>
  <si>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</si>
  <si>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</si>
  <si>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</si>
  <si>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</si>
  <si>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</si>
  <si>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</si>
  <si>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</si>
  <si>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</si>
  <si>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</si>
  <si>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</si>
  <si>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</si>
  <si>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</si>
  <si>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</si>
  <si>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</si>
  <si>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</si>
  <si>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</si>
  <si>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</si>
  <si>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</si>
  <si>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</si>
  <si>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</si>
  <si>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</si>
  <si>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</si>
  <si>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</si>
  <si>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</si>
  <si>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</si>
  <si>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</si>
  <si>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</si>
  <si>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</si>
  <si>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</si>
  <si>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</si>
  <si>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</si>
  <si>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</si>
  <si>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</si>
  <si>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</si>
  <si>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</si>
  <si>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</si>
  <si>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</si>
  <si>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</si>
  <si>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</si>
  <si>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</si>
  <si>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</si>
  <si>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</si>
  <si>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</si>
  <si>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</si>
  <si>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</si>
  <si>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</si>
  <si>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</si>
  <si>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</si>
  <si>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</si>
  <si>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</si>
  <si>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</si>
  <si>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</si>
  <si>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</si>
  <si>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</si>
  <si>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</si>
  <si>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</si>
  <si>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</si>
  <si>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</si>
  <si>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</si>
  <si>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</si>
  <si>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</si>
  <si>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</si>
  <si>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</si>
  <si>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</si>
  <si>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</si>
  <si>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</si>
  <si>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</si>
  <si>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</si>
  <si>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</si>
  <si>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</si>
  <si>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</si>
  <si>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</si>
  <si>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</si>
  <si>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</si>
  <si>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</si>
  <si>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</si>
  <si>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</si>
  <si>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</si>
  <si>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</si>
  <si>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</si>
  <si>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</si>
  <si>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</si>
  <si>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</si>
  <si>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</si>
  <si>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</si>
  <si>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</si>
  <si>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</si>
  <si>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</si>
  <si>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</si>
  <si>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</si>
  <si>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</si>
  <si>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</si>
  <si>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</si>
  <si>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</si>
  <si>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</si>
  <si>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</si>
  <si>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</si>
  <si>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</si>
  <si>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</si>
  <si>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</si>
  <si>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</si>
  <si>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</si>
  <si>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</si>
  <si>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</si>
  <si>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</si>
  <si>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</si>
  <si>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</si>
  <si>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</si>
  <si>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</si>
  <si>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</si>
  <si>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</si>
  <si>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</si>
  <si>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</si>
  <si>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</si>
  <si>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</si>
  <si>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</si>
  <si>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</si>
  <si>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</si>
  <si>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</si>
  <si>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</si>
  <si>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</si>
  <si>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</si>
  <si>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</si>
  <si>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</si>
  <si>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</si>
  <si>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2014. VI. 30. teljesítés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</si>
  <si>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</si>
  <si>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</si>
  <si>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</si>
  <si>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</si>
  <si>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</si>
  <si>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</si>
  <si>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</si>
  <si>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</si>
  <si>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</si>
  <si>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</si>
  <si>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</si>
  <si>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</si>
  <si>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</si>
  <si>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</si>
  <si>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</si>
  <si>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</si>
  <si>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</si>
  <si>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</si>
  <si>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</si>
  <si>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</si>
  <si>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</si>
  <si>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</si>
  <si>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</si>
  <si>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</si>
  <si>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</si>
  <si>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</si>
  <si>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</si>
  <si>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</si>
  <si>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</si>
  <si>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</si>
  <si>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</si>
  <si>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</si>
  <si>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</si>
  <si>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</si>
  <si>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</si>
  <si>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Felhasználás
2013. XII.31-ig</t>
  </si>
  <si>
    <t>Teljesítés
2014. VI.30.</t>
  </si>
  <si>
    <t>Összes teljesítés 2014. VI. 30-ig</t>
  </si>
  <si>
    <t>Összes bevétel, kiadás</t>
  </si>
  <si>
    <t>Teljesítés 
2014. VI. 30.</t>
  </si>
  <si>
    <t xml:space="preserve"> 10.</t>
  </si>
  <si>
    <t>BEVÉTELEK ÖSSZESEN: (9+16)</t>
  </si>
  <si>
    <t>Kötelező feladatok bevételei, kiadásai</t>
  </si>
  <si>
    <t>Állami (államigazgatási) feladatok bevételei, kiadásai</t>
  </si>
  <si>
    <t>Polgármesteri /közös/ hivatal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</si>
  <si>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</si>
  <si>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</si>
  <si>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</si>
  <si>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</si>
  <si>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</si>
  <si>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</si>
  <si>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</si>
  <si>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</si>
  <si>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</si>
  <si>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</si>
  <si>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</si>
  <si>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</si>
  <si>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</si>
  <si>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</si>
  <si>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</si>
  <si>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</si>
  <si>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</si>
  <si>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</si>
  <si>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 xml:space="preserve">Osztalék, a koncessziós díj és a hozambevétel
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</si>
  <si>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</si>
  <si>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</si>
  <si>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</si>
  <si>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</si>
  <si>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LEADER pályázat piactér</t>
  </si>
  <si>
    <t>2014.</t>
  </si>
  <si>
    <t>KEOP-1.2.0/09-11-2013-0041. Szennyvízelvezetés és tisztítás</t>
  </si>
  <si>
    <t>LEADER Molnárkalácsház pályázat</t>
  </si>
  <si>
    <t>Köztársaság út 13. 541. hrsz. felújítása</t>
  </si>
  <si>
    <t>Petőfi Művelődési Ház felújítása</t>
  </si>
  <si>
    <t>Óvoda felújítása</t>
  </si>
  <si>
    <t>Volt rendőrőrs épületének felújítása</t>
  </si>
  <si>
    <t>Érdekeltségnövelő pályázat 2013.</t>
  </si>
  <si>
    <t>Téli átmeneti közfoglalkoztatás szerszámok</t>
  </si>
  <si>
    <t>START mezőgazdasági program eszközbeszerzés</t>
  </si>
  <si>
    <t>ÉMOP-4.2.1/A Szoc. Pályázat eszközök és bútorok</t>
  </si>
  <si>
    <t>Kültéri és beltéri kamerarendszer</t>
  </si>
  <si>
    <t>Egyéb eszközök (zárt kontérner, hűtőgép, stb.)</t>
  </si>
  <si>
    <t>2013-2014.</t>
  </si>
  <si>
    <t>ÉMOP-3.1.2. árvízi településrekonstrukció</t>
  </si>
  <si>
    <t>ÉMOP-4.2.1/A-11. BNSZAK szociális alapszolgáltatások fejlesztése</t>
  </si>
  <si>
    <t>2012-2014.</t>
  </si>
  <si>
    <t>Sport öltöző építési engedély</t>
  </si>
  <si>
    <t>Polgármesteri hivatal</t>
  </si>
  <si>
    <t>Irányító szervi támogatása</t>
  </si>
  <si>
    <t xml:space="preserve">                       - Hivatal normatív támogatása</t>
  </si>
  <si>
    <t xml:space="preserve">                       - Segélyek visszaigénylése</t>
  </si>
  <si>
    <t xml:space="preserve">                       - Szociális ellátás alapfin.</t>
  </si>
  <si>
    <t xml:space="preserve">                       - Önkormányzati finanszírozás</t>
  </si>
  <si>
    <t>16 fő</t>
  </si>
  <si>
    <t>16fő</t>
  </si>
  <si>
    <t>Borsodnádasdi Szociális Alapszolgáltatási Központ</t>
  </si>
  <si>
    <t>Irányítószeri támogatás</t>
  </si>
  <si>
    <t>17 fő</t>
  </si>
  <si>
    <t>Közösségi Ház és Könyvtár</t>
  </si>
  <si>
    <t>3 fő</t>
  </si>
  <si>
    <t>Mesekert Óvoda</t>
  </si>
  <si>
    <t>9 fő</t>
  </si>
  <si>
    <t>1.3.1.</t>
  </si>
  <si>
    <t>Segélyek visszaigénylése</t>
  </si>
  <si>
    <t>Előző év költségvetési maradványának igénybevétele működésre</t>
  </si>
  <si>
    <t>Előző év költségvetési maradványának igénybevétele felhalmozásra</t>
  </si>
  <si>
    <t xml:space="preserve">   - BLASE pályázati önerő támogatása</t>
  </si>
  <si>
    <t>Céltartalék felhalmozási</t>
  </si>
  <si>
    <t>Intézményfinanszírozás átadása</t>
  </si>
  <si>
    <t>5 fő</t>
  </si>
  <si>
    <t>190fő</t>
  </si>
  <si>
    <t>Közfoglalkoztatottak létszáma</t>
  </si>
  <si>
    <t>1.3.1</t>
  </si>
  <si>
    <t>Előző év költségvetési maradványának igénybevétele (működési)</t>
  </si>
  <si>
    <t>Előző év költségvetési maradványának igénybevétele (felhalmozási)</t>
  </si>
  <si>
    <t xml:space="preserve">   - BLASE pályázati önrész támogatása</t>
  </si>
  <si>
    <t>Közhasznú foglalkoztatás</t>
  </si>
  <si>
    <t>Közműv.érdekeltségnövelő pályázat és 50 E Ft könyvtári állománygyarapítás</t>
  </si>
  <si>
    <t>1. sz. táblázat        kötelező feladatok</t>
  </si>
  <si>
    <t>Önkormányzatok segélyek visszaigénylése</t>
  </si>
  <si>
    <t>WIN7, memóriák, számítógépek beszerzés</t>
  </si>
  <si>
    <t>Borsodnádasd  Önkormányzat saját bevételeinek részletezése az adósságot keletkeztető ügyletből származó tárgyévi fizetési kötelezettség megállapításához</t>
  </si>
  <si>
    <t>I. sz. módosítás 2014. 06.30.</t>
  </si>
  <si>
    <t>Bérkompenzáció</t>
  </si>
  <si>
    <t>Szociális ágazati pótlék</t>
  </si>
  <si>
    <t>Nyári gyermekétkeztetés</t>
  </si>
  <si>
    <t>Lakossági ivóvíz támogatás</t>
  </si>
  <si>
    <t>Központosított támogatások</t>
  </si>
  <si>
    <t>Oktatási épület fenntartása</t>
  </si>
  <si>
    <t>Lakott külterület tám.</t>
  </si>
  <si>
    <t>Választásra kapott pe.</t>
  </si>
  <si>
    <t>Működési célú támogatások</t>
  </si>
  <si>
    <t>A módosítás a 2013. évi rendezőmérleg alapján megállapított követelésekkel kellett megemelni a bevételeket.</t>
  </si>
  <si>
    <t xml:space="preserve"> kamatbevétel emelése intézményeknél</t>
  </si>
  <si>
    <t>Közfoglalkoztatottak bérének emelése miatt</t>
  </si>
  <si>
    <t>Nyári gyermekétkeztetés dologi kiadása</t>
  </si>
  <si>
    <t xml:space="preserve">fizetendő áfa </t>
  </si>
  <si>
    <t>Temetési segély</t>
  </si>
  <si>
    <t>2013. évi beszámoló elszámolása visszafizetendő normatíva</t>
  </si>
  <si>
    <t>ÉRV-nek átadott ivóvíz támogatás</t>
  </si>
  <si>
    <t>Nádasd-völgyi Háziorvosi ügyeleti ÖT támogatás</t>
  </si>
  <si>
    <t>6. sz. melléklet szerinti részletezésben</t>
  </si>
  <si>
    <t>7. sz. melléklet szerinti részletezésben</t>
  </si>
  <si>
    <t>Korábbi kezességvállalás miatti törlesztés</t>
  </si>
  <si>
    <t>ÉRV értékpapír megvásárlása</t>
  </si>
  <si>
    <t>I. sz. módosítás</t>
  </si>
  <si>
    <t>2.1. melléklet   ………………. Önkormányzati rendelethez</t>
  </si>
  <si>
    <t>Civil szervezetek támogatása</t>
  </si>
  <si>
    <t>2.2. melléklet ………………önkormányzati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</si>
</sst>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.5"/>
      <name val="Times New Roman CE"/>
      <family val="0"/>
    </font>
    <font>
      <b/>
      <i/>
      <sz val="10.5"/>
      <name val="Times New Roman CE"/>
      <family val="0"/>
    </font>
    <font>
      <b/>
      <sz val="10.5"/>
      <name val="Times New Roman CE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2" fillId="0" borderId="0" xfId="59" applyFill="1">
      <alignment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3" fillId="0" borderId="20" xfId="59" applyFont="1" applyFill="1" applyBorder="1" applyAlignment="1" applyProtection="1">
      <alignment horizontal="center" vertical="center" wrapText="1"/>
      <protection/>
    </xf>
    <xf numFmtId="0" fontId="13" fillId="0" borderId="13" xfId="59" applyFont="1" applyFill="1" applyBorder="1" applyAlignment="1" applyProtection="1">
      <alignment horizontal="center" vertical="center" wrapText="1"/>
      <protection/>
    </xf>
    <xf numFmtId="0" fontId="13" fillId="0" borderId="31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Fill="1" applyBorder="1" applyAlignment="1" applyProtection="1">
      <alignment horizontal="center" vertical="center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0" xfId="59" applyFont="1" applyFill="1" applyBorder="1" applyAlignment="1" applyProtection="1">
      <alignment horizontal="center" vertical="center"/>
      <protection/>
    </xf>
    <xf numFmtId="0" fontId="14" fillId="0" borderId="17" xfId="59" applyFont="1" applyFill="1" applyBorder="1" applyAlignment="1" applyProtection="1">
      <alignment horizontal="center" vertical="center"/>
      <protection/>
    </xf>
    <xf numFmtId="0" fontId="14" fillId="0" borderId="19" xfId="59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164" fontId="13" fillId="0" borderId="32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44" xfId="40" applyNumberFormat="1" applyFont="1" applyFill="1" applyBorder="1" applyAlignment="1" applyProtection="1">
      <alignment/>
      <protection locked="0"/>
    </xf>
    <xf numFmtId="166" fontId="14" fillId="0" borderId="45" xfId="40" applyNumberFormat="1" applyFont="1" applyFill="1" applyBorder="1" applyAlignment="1" applyProtection="1">
      <alignment/>
      <protection locked="0"/>
    </xf>
    <xf numFmtId="166" fontId="14" fillId="0" borderId="46" xfId="40" applyNumberFormat="1" applyFont="1" applyFill="1" applyBorder="1" applyAlignment="1" applyProtection="1">
      <alignment/>
      <protection locked="0"/>
    </xf>
    <xf numFmtId="0" fontId="14" fillId="0" borderId="12" xfId="59" applyFont="1" applyFill="1" applyBorder="1" applyProtection="1">
      <alignment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47" xfId="0" applyFont="1" applyFill="1" applyBorder="1" applyAlignment="1" applyProtection="1">
      <alignment horizontal="right" vertical="center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2" fillId="0" borderId="11" xfId="0" applyFont="1" applyBorder="1" applyAlignment="1">
      <alignment horizontal="justify" wrapText="1"/>
    </xf>
    <xf numFmtId="0" fontId="22" fillId="0" borderId="11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0" xfId="59" applyFont="1" applyFill="1" applyBorder="1" applyAlignment="1" applyProtection="1">
      <alignment horizontal="center" vertical="center" wrapText="1"/>
      <protection/>
    </xf>
    <xf numFmtId="0" fontId="7" fillId="0" borderId="36" xfId="59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13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3" xfId="59" applyFont="1" applyFill="1" applyBorder="1" applyAlignment="1" applyProtection="1">
      <alignment horizontal="center" vertical="center"/>
      <protection/>
    </xf>
    <xf numFmtId="166" fontId="13" fillId="0" borderId="43" xfId="40" applyNumberFormat="1" applyFont="1" applyFill="1" applyBorder="1" applyAlignment="1" applyProtection="1">
      <alignment/>
      <protection/>
    </xf>
    <xf numFmtId="166" fontId="14" fillId="0" borderId="13" xfId="40" applyNumberFormat="1" applyFont="1" applyFill="1" applyBorder="1" applyAlignment="1" applyProtection="1">
      <alignment/>
      <protection locked="0"/>
    </xf>
    <xf numFmtId="166" fontId="14" fillId="0" borderId="11" xfId="40" applyNumberFormat="1" applyFont="1" applyFill="1" applyBorder="1" applyAlignment="1" applyProtection="1">
      <alignment/>
      <protection locked="0"/>
    </xf>
    <xf numFmtId="166" fontId="14" fillId="0" borderId="15" xfId="40" applyNumberFormat="1" applyFont="1" applyFill="1" applyBorder="1" applyAlignment="1" applyProtection="1">
      <alignment/>
      <protection locked="0"/>
    </xf>
    <xf numFmtId="166" fontId="13" fillId="0" borderId="23" xfId="40" applyNumberFormat="1" applyFont="1" applyFill="1" applyBorder="1" applyAlignment="1" applyProtection="1">
      <alignment/>
      <protection/>
    </xf>
    <xf numFmtId="164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7" xfId="59" applyNumberFormat="1" applyFont="1" applyFill="1" applyBorder="1" applyAlignment="1" applyProtection="1">
      <alignment horizontal="left" vertical="center"/>
      <protection/>
    </xf>
    <xf numFmtId="0" fontId="13" fillId="0" borderId="43" xfId="59" applyFont="1" applyFill="1" applyBorder="1" applyAlignment="1" applyProtection="1">
      <alignment horizontal="center" vertical="center" wrapText="1"/>
      <protection/>
    </xf>
    <xf numFmtId="164" fontId="13" fillId="0" borderId="43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164" fontId="1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left" wrapText="1" indent="1"/>
      <protection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11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wrapText="1" indent="1"/>
      <protection/>
    </xf>
    <xf numFmtId="164" fontId="14" fillId="34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0" fontId="18" fillId="0" borderId="19" xfId="0" applyFont="1" applyBorder="1" applyAlignment="1" applyProtection="1">
      <alignment vertical="center" wrapText="1"/>
      <protection/>
    </xf>
    <xf numFmtId="164" fontId="13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3" xfId="0" applyFont="1" applyBorder="1" applyAlignment="1" applyProtection="1">
      <alignment wrapText="1"/>
      <protection/>
    </xf>
    <xf numFmtId="0" fontId="19" fillId="0" borderId="27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wrapText="1"/>
      <protection/>
    </xf>
    <xf numFmtId="0" fontId="6" fillId="0" borderId="55" xfId="59" applyFont="1" applyFill="1" applyBorder="1" applyAlignment="1" applyProtection="1">
      <alignment horizontal="center" vertical="center" wrapText="1"/>
      <protection/>
    </xf>
    <xf numFmtId="0" fontId="6" fillId="0" borderId="55" xfId="59" applyFont="1" applyFill="1" applyBorder="1" applyAlignment="1" applyProtection="1">
      <alignment vertical="center" wrapText="1"/>
      <protection/>
    </xf>
    <xf numFmtId="164" fontId="6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55" xfId="59" applyFont="1" applyFill="1" applyBorder="1" applyAlignment="1" applyProtection="1">
      <alignment horizontal="right" vertical="center" wrapText="1" indent="1"/>
      <protection locked="0"/>
    </xf>
    <xf numFmtId="164" fontId="14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9" applyFont="1" applyFill="1" applyBorder="1">
      <alignment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164" fontId="17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56" xfId="59" applyNumberFormat="1" applyFont="1" applyFill="1" applyBorder="1" applyAlignment="1" applyProtection="1">
      <alignment vertical="center" wrapText="1"/>
      <protection/>
    </xf>
    <xf numFmtId="164" fontId="13" fillId="0" borderId="26" xfId="59" applyNumberFormat="1" applyFont="1" applyFill="1" applyBorder="1" applyAlignment="1" applyProtection="1">
      <alignment vertical="center"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7" xfId="0" applyFont="1" applyBorder="1" applyAlignment="1" applyProtection="1">
      <alignment horizontal="center" wrapText="1"/>
      <protection/>
    </xf>
    <xf numFmtId="164" fontId="14" fillId="34" borderId="3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3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49" fontId="7" fillId="0" borderId="47" xfId="0" applyNumberFormat="1" applyFont="1" applyFill="1" applyBorder="1" applyAlignment="1" applyProtection="1">
      <alignment horizontal="right" vertical="center" indent="1"/>
      <protection/>
    </xf>
    <xf numFmtId="49" fontId="7" fillId="0" borderId="31" xfId="0" applyNumberFormat="1" applyFont="1" applyFill="1" applyBorder="1" applyAlignment="1" applyProtection="1">
      <alignment horizontal="right" vertical="center" indent="1"/>
      <protection/>
    </xf>
    <xf numFmtId="0" fontId="19" fillId="0" borderId="23" xfId="0" applyFont="1" applyBorder="1" applyAlignment="1" applyProtection="1">
      <alignment vertical="center" wrapText="1"/>
      <protection/>
    </xf>
    <xf numFmtId="0" fontId="19" fillId="0" borderId="28" xfId="0" applyFont="1" applyBorder="1" applyAlignment="1" applyProtection="1">
      <alignment vertical="center" wrapText="1"/>
      <protection/>
    </xf>
    <xf numFmtId="164" fontId="13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6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3" xfId="0" applyNumberFormat="1" applyFont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4" fillId="34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34" borderId="46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/>
      <protection/>
    </xf>
    <xf numFmtId="0" fontId="17" fillId="0" borderId="28" xfId="0" applyFont="1" applyBorder="1" applyAlignment="1" applyProtection="1">
      <alignment horizontal="left" vertical="center" wrapText="1"/>
      <protection/>
    </xf>
    <xf numFmtId="0" fontId="14" fillId="0" borderId="13" xfId="59" applyFont="1" applyFill="1" applyBorder="1" applyAlignment="1" applyProtection="1">
      <alignment horizontal="left" vertical="center" wrapText="1"/>
      <protection/>
    </xf>
    <xf numFmtId="0" fontId="14" fillId="0" borderId="11" xfId="59" applyFont="1" applyFill="1" applyBorder="1" applyAlignment="1" applyProtection="1">
      <alignment horizontal="left" vertical="center" wrapText="1"/>
      <protection/>
    </xf>
    <xf numFmtId="0" fontId="14" fillId="0" borderId="14" xfId="59" applyFont="1" applyFill="1" applyBorder="1" applyAlignment="1" applyProtection="1">
      <alignment horizontal="left" vertical="center" wrapText="1"/>
      <protection/>
    </xf>
    <xf numFmtId="0" fontId="14" fillId="0" borderId="0" xfId="59" applyFont="1" applyFill="1" applyBorder="1" applyAlignment="1" applyProtection="1">
      <alignment horizontal="left" vertical="center" wrapText="1"/>
      <protection/>
    </xf>
    <xf numFmtId="0" fontId="14" fillId="0" borderId="11" xfId="59" applyFont="1" applyFill="1" applyBorder="1" applyAlignment="1" applyProtection="1">
      <alignment horizontal="left" vertical="center"/>
      <protection/>
    </xf>
    <xf numFmtId="0" fontId="14" fillId="0" borderId="15" xfId="59" applyFont="1" applyFill="1" applyBorder="1" applyAlignment="1" applyProtection="1">
      <alignment horizontal="left" vertical="center" wrapText="1"/>
      <protection/>
    </xf>
    <xf numFmtId="0" fontId="14" fillId="0" borderId="30" xfId="59" applyFont="1" applyFill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/>
      <protection/>
    </xf>
    <xf numFmtId="0" fontId="13" fillId="0" borderId="23" xfId="59" applyFont="1" applyFill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0" fontId="22" fillId="0" borderId="11" xfId="0" applyFont="1" applyBorder="1" applyAlignment="1">
      <alignment vertical="center"/>
    </xf>
    <xf numFmtId="1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9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70" xfId="0" applyNumberFormat="1" applyFont="1" applyFill="1" applyBorder="1" applyAlignment="1" applyProtection="1">
      <alignment vertical="center" wrapText="1"/>
      <protection locked="0"/>
    </xf>
    <xf numFmtId="49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72" xfId="0" applyNumberFormat="1" applyFont="1" applyFill="1" applyBorder="1" applyAlignment="1" applyProtection="1">
      <alignment vertical="center" wrapText="1"/>
      <protection locked="0"/>
    </xf>
    <xf numFmtId="49" fontId="2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2" xfId="0" applyNumberFormat="1" applyFont="1" applyFill="1" applyBorder="1" applyAlignment="1" applyProtection="1">
      <alignment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 applyProtection="1">
      <alignment vertical="center" wrapText="1"/>
      <protection locked="0"/>
    </xf>
    <xf numFmtId="164" fontId="0" fillId="0" borderId="15" xfId="0" applyNumberForma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0" fontId="6" fillId="0" borderId="68" xfId="0" applyFont="1" applyBorder="1" applyAlignment="1">
      <alignment horizontal="center" vertical="center" wrapText="1"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62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73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0" xfId="0" applyFont="1" applyBorder="1" applyAlignment="1" applyProtection="1">
      <alignment horizontal="left" wrapText="1" indent="1"/>
      <protection/>
    </xf>
    <xf numFmtId="164" fontId="14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4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59" applyFont="1" applyFill="1">
      <alignment/>
      <protection/>
    </xf>
    <xf numFmtId="0" fontId="2" fillId="0" borderId="0" xfId="59" applyFont="1" applyFill="1">
      <alignment/>
      <protection/>
    </xf>
    <xf numFmtId="0" fontId="25" fillId="0" borderId="0" xfId="59" applyFont="1" applyFill="1" applyAlignment="1">
      <alignment horizontal="right" vertical="center" indent="1"/>
      <protection/>
    </xf>
    <xf numFmtId="164" fontId="26" fillId="0" borderId="37" xfId="59" applyNumberFormat="1" applyFont="1" applyFill="1" applyBorder="1" applyAlignment="1" applyProtection="1">
      <alignment horizontal="left" vertical="center"/>
      <protection/>
    </xf>
    <xf numFmtId="0" fontId="26" fillId="0" borderId="37" xfId="0" applyFont="1" applyFill="1" applyBorder="1" applyAlignment="1" applyProtection="1">
      <alignment horizontal="right" vertical="center"/>
      <protection/>
    </xf>
    <xf numFmtId="0" fontId="27" fillId="0" borderId="30" xfId="59" applyFont="1" applyFill="1" applyBorder="1" applyAlignment="1" applyProtection="1">
      <alignment horizontal="center" vertical="center" wrapText="1"/>
      <protection/>
    </xf>
    <xf numFmtId="0" fontId="27" fillId="0" borderId="36" xfId="59" applyFont="1" applyFill="1" applyBorder="1" applyAlignment="1" applyProtection="1">
      <alignment horizontal="center" vertical="center" wrapText="1"/>
      <protection/>
    </xf>
    <xf numFmtId="0" fontId="27" fillId="0" borderId="23" xfId="59" applyFont="1" applyFill="1" applyBorder="1" applyAlignment="1" applyProtection="1">
      <alignment horizontal="center" vertical="center" wrapText="1"/>
      <protection/>
    </xf>
    <xf numFmtId="164" fontId="2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27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5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5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5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5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4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4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4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34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27" fillId="0" borderId="43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54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5" xfId="59" applyNumberFormat="1" applyFont="1" applyFill="1" applyBorder="1" applyAlignment="1" applyProtection="1">
      <alignment horizontal="right" vertical="center" wrapText="1" indent="1"/>
      <protection/>
    </xf>
    <xf numFmtId="0" fontId="25" fillId="0" borderId="55" xfId="59" applyFont="1" applyFill="1" applyBorder="1" applyAlignment="1" applyProtection="1">
      <alignment horizontal="right" vertical="center" wrapText="1" indent="1"/>
      <protection locked="0"/>
    </xf>
    <xf numFmtId="164" fontId="25" fillId="0" borderId="55" xfId="5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59" applyFont="1" applyFill="1" applyBorder="1" applyAlignment="1" applyProtection="1">
      <alignment horizontal="center" vertical="center" wrapText="1"/>
      <protection/>
    </xf>
    <xf numFmtId="164" fontId="27" fillId="0" borderId="50" xfId="59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27" fillId="0" borderId="67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2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3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8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6" xfId="59" applyNumberFormat="1" applyFont="1" applyFill="1" applyBorder="1" applyAlignment="1" applyProtection="1">
      <alignment horizontal="right" vertical="center" wrapText="1" indent="1"/>
      <protection/>
    </xf>
    <xf numFmtId="164" fontId="25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5" xfId="5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0" applyNumberFormat="1" applyFont="1" applyBorder="1" applyAlignment="1" applyProtection="1">
      <alignment horizontal="right" vertical="center" wrapText="1" indent="1"/>
      <protection/>
    </xf>
    <xf numFmtId="164" fontId="28" fillId="0" borderId="43" xfId="0" applyNumberFormat="1" applyFont="1" applyBorder="1" applyAlignment="1" applyProtection="1">
      <alignment horizontal="right" vertical="center" wrapText="1" indent="1"/>
      <protection/>
    </xf>
    <xf numFmtId="164" fontId="28" fillId="0" borderId="56" xfId="0" applyNumberFormat="1" applyFont="1" applyBorder="1" applyAlignment="1" applyProtection="1" quotePrefix="1">
      <alignment horizontal="right" vertical="center" wrapText="1" indent="1"/>
      <protection/>
    </xf>
    <xf numFmtId="164" fontId="28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8" fillId="0" borderId="43" xfId="0" applyNumberFormat="1" applyFont="1" applyBorder="1" applyAlignment="1" applyProtection="1" quotePrefix="1">
      <alignment horizontal="right" vertical="center" wrapText="1" indent="1"/>
      <protection/>
    </xf>
    <xf numFmtId="0" fontId="25" fillId="0" borderId="0" xfId="59" applyFont="1" applyFill="1">
      <alignment/>
      <protection/>
    </xf>
    <xf numFmtId="164" fontId="27" fillId="0" borderId="56" xfId="59" applyNumberFormat="1" applyFont="1" applyFill="1" applyBorder="1" applyAlignment="1" applyProtection="1">
      <alignment vertical="center" wrapText="1"/>
      <protection/>
    </xf>
    <xf numFmtId="164" fontId="27" fillId="0" borderId="26" xfId="59" applyNumberFormat="1" applyFont="1" applyFill="1" applyBorder="1" applyAlignment="1" applyProtection="1">
      <alignment vertical="center" wrapText="1"/>
      <protection/>
    </xf>
    <xf numFmtId="0" fontId="27" fillId="0" borderId="0" xfId="59" applyFont="1" applyFill="1">
      <alignment/>
      <protection/>
    </xf>
    <xf numFmtId="0" fontId="25" fillId="0" borderId="0" xfId="59" applyFont="1" applyFill="1">
      <alignment/>
      <protection/>
    </xf>
    <xf numFmtId="164" fontId="25" fillId="0" borderId="74" xfId="59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75" xfId="59" applyNumberFormat="1" applyFont="1" applyFill="1" applyBorder="1" applyAlignment="1" applyProtection="1">
      <alignment horizontal="right" vertical="center" wrapText="1" indent="1"/>
      <protection/>
    </xf>
    <xf numFmtId="164" fontId="28" fillId="0" borderId="75" xfId="0" applyNumberFormat="1" applyFont="1" applyBorder="1" applyAlignment="1" applyProtection="1">
      <alignment horizontal="right" vertical="center" wrapText="1" indent="1"/>
      <protection/>
    </xf>
    <xf numFmtId="164" fontId="14" fillId="0" borderId="74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75" xfId="59" applyNumberFormat="1" applyFont="1" applyFill="1" applyBorder="1" applyAlignment="1" applyProtection="1">
      <alignment horizontal="right" vertical="center" wrapText="1" indent="1"/>
      <protection/>
    </xf>
    <xf numFmtId="164" fontId="19" fillId="0" borderId="75" xfId="0" applyNumberFormat="1" applyFont="1" applyBorder="1" applyAlignment="1" applyProtection="1">
      <alignment horizontal="right" vertical="center" wrapText="1" indent="1"/>
      <protection/>
    </xf>
    <xf numFmtId="164" fontId="17" fillId="0" borderId="75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" fillId="0" borderId="0" xfId="59" applyFont="1" applyFill="1">
      <alignment/>
      <protection/>
    </xf>
    <xf numFmtId="0" fontId="7" fillId="0" borderId="20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7" fillId="0" borderId="30" xfId="59" applyFont="1" applyFill="1" applyBorder="1" applyAlignment="1" applyProtection="1">
      <alignment horizontal="center" vertical="center" wrapText="1"/>
      <protection/>
    </xf>
    <xf numFmtId="164" fontId="27" fillId="0" borderId="13" xfId="59" applyNumberFormat="1" applyFont="1" applyFill="1" applyBorder="1" applyAlignment="1" applyProtection="1">
      <alignment horizontal="center" vertical="center"/>
      <protection/>
    </xf>
    <xf numFmtId="164" fontId="27" fillId="0" borderId="31" xfId="59" applyNumberFormat="1" applyFont="1" applyFill="1" applyBorder="1" applyAlignment="1" applyProtection="1">
      <alignment horizontal="center" vertical="center"/>
      <protection/>
    </xf>
    <xf numFmtId="164" fontId="21" fillId="0" borderId="37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 applyProtection="1">
      <alignment horizont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21" fillId="0" borderId="37" xfId="59" applyNumberFormat="1" applyFont="1" applyFill="1" applyBorder="1" applyAlignment="1" applyProtection="1">
      <alignment horizontal="left"/>
      <protection/>
    </xf>
    <xf numFmtId="164" fontId="7" fillId="0" borderId="13" xfId="59" applyNumberFormat="1" applyFont="1" applyFill="1" applyBorder="1" applyAlignment="1" applyProtection="1">
      <alignment horizontal="center" vertical="center"/>
      <protection/>
    </xf>
    <xf numFmtId="164" fontId="7" fillId="0" borderId="31" xfId="59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4" fillId="0" borderId="55" xfId="59" applyFont="1" applyFill="1" applyBorder="1" applyAlignment="1">
      <alignment horizontal="justify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6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2695575</xdr:colOff>
      <xdr:row>7</xdr:row>
      <xdr:rowOff>57150</xdr:rowOff>
    </xdr:from>
    <xdr:ext cx="20002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1153775" y="19526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10\Documents\2014.%20&#233;vi%20k&#246;lts&#233;gvet&#233;s%20&#233;s%20koncepci&#243;\K&#246;lts&#233;gvet&#233;s_2014\K&#246;lts&#233;gvet&#233;si%20rendeletterveze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 "/>
      <sheetName val="9.1.3. sz. mell   "/>
      <sheetName val="9.2. sz. mell"/>
      <sheetName val="9.2.1. sz. mell"/>
      <sheetName val="9.2.2. sz. mell"/>
      <sheetName val="9.3. sz. mell"/>
      <sheetName val="9.3.1. sz. mell"/>
      <sheetName val="9.4. sz. mell"/>
      <sheetName val="9.4.1. sz. mell"/>
      <sheetName val="9.5. sz. mell"/>
      <sheetName val="9.5.1. sz. mell"/>
      <sheetName val="10.sz.mell"/>
      <sheetName val="1. sz tájékoztató t."/>
      <sheetName val="2. sz tájékoztató t."/>
      <sheetName val="3.sz tájékoztató t."/>
      <sheetName val="4.sz tájékoztató t."/>
      <sheetName val="5.sz tájékoztató 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view="pageLayout" zoomScaleNormal="120" zoomScaleSheetLayoutView="130" workbookViewId="0" topLeftCell="C1">
      <selection activeCell="G90" sqref="G90"/>
    </sheetView>
  </sheetViews>
  <sheetFormatPr defaultColWidth="9.375" defaultRowHeight="12.75"/>
  <cols>
    <col min="1" max="1" width="9.00390625" style="156" customWidth="1"/>
    <col min="2" max="2" width="58.00390625" style="156" customWidth="1"/>
    <col min="3" max="3" width="18.625" style="355" customWidth="1"/>
    <col min="4" max="4" width="19.00390625" style="355" customWidth="1"/>
    <col min="5" max="5" width="18.375" style="413" customWidth="1"/>
    <col min="6" max="6" width="15.50390625" style="413" hidden="1" customWidth="1"/>
    <col min="7" max="7" width="53.375" style="27" customWidth="1"/>
    <col min="8" max="8" width="19.125" style="27" customWidth="1"/>
    <col min="9" max="9" width="17.125" style="27" customWidth="1"/>
    <col min="10" max="16384" width="9.375" style="27" customWidth="1"/>
  </cols>
  <sheetData>
    <row r="1" spans="1:6" ht="15.75" customHeight="1">
      <c r="A1" s="438" t="s">
        <v>2</v>
      </c>
      <c r="B1" s="438"/>
      <c r="C1" s="438"/>
      <c r="D1" s="438"/>
      <c r="E1" s="438"/>
      <c r="F1" s="438"/>
    </row>
    <row r="2" spans="1:6" ht="15.75" customHeight="1" thickBot="1">
      <c r="A2" s="436" t="s">
        <v>90</v>
      </c>
      <c r="B2" s="436"/>
      <c r="E2" s="356"/>
      <c r="F2" s="357" t="s">
        <v>134</v>
      </c>
    </row>
    <row r="3" spans="1:6" ht="15.75" customHeight="1">
      <c r="A3" s="430" t="s">
        <v>55</v>
      </c>
      <c r="B3" s="432" t="s">
        <v>4</v>
      </c>
      <c r="C3" s="434" t="s">
        <v>324</v>
      </c>
      <c r="D3" s="434"/>
      <c r="E3" s="434"/>
      <c r="F3" s="435"/>
    </row>
    <row r="4" spans="1:6" ht="37.5" customHeight="1" thickBot="1">
      <c r="A4" s="431"/>
      <c r="B4" s="433"/>
      <c r="C4" s="358" t="s">
        <v>158</v>
      </c>
      <c r="D4" s="358" t="s">
        <v>448</v>
      </c>
      <c r="E4" s="358" t="s">
        <v>159</v>
      </c>
      <c r="F4" s="359" t="s">
        <v>325</v>
      </c>
    </row>
    <row r="5" spans="1:6" s="28" customFormat="1" ht="12" customHeight="1" thickBot="1">
      <c r="A5" s="24">
        <v>1</v>
      </c>
      <c r="B5" s="25">
        <v>2</v>
      </c>
      <c r="C5" s="360">
        <v>3</v>
      </c>
      <c r="D5" s="360">
        <v>4</v>
      </c>
      <c r="E5" s="360">
        <v>5</v>
      </c>
      <c r="F5" s="360">
        <v>6</v>
      </c>
    </row>
    <row r="6" spans="1:6" s="1" customFormat="1" ht="12" customHeight="1" thickBot="1">
      <c r="A6" s="17" t="s">
        <v>5</v>
      </c>
      <c r="B6" s="308" t="s">
        <v>161</v>
      </c>
      <c r="C6" s="361">
        <f>+C7+C8+C9+C11+C12+C13+C10</f>
        <v>393464</v>
      </c>
      <c r="D6" s="361">
        <f>+D7+D8+D9+D11+D12+D13+D10</f>
        <v>-50360</v>
      </c>
      <c r="E6" s="361">
        <f>+E7+E8+E9+E11+E12+E13+E10</f>
        <v>343104</v>
      </c>
      <c r="F6" s="362">
        <f>+F7+F8+F9+F11+F12+F13+F10</f>
        <v>172660</v>
      </c>
    </row>
    <row r="7" spans="1:6" s="1" customFormat="1" ht="12" customHeight="1">
      <c r="A7" s="12" t="s">
        <v>67</v>
      </c>
      <c r="B7" s="309" t="s">
        <v>162</v>
      </c>
      <c r="C7" s="363">
        <v>99406</v>
      </c>
      <c r="D7" s="363">
        <v>-1633</v>
      </c>
      <c r="E7" s="364">
        <f>97773</f>
        <v>97773</v>
      </c>
      <c r="F7" s="365">
        <f>50720</f>
        <v>50720</v>
      </c>
    </row>
    <row r="8" spans="1:6" s="1" customFormat="1" ht="12" customHeight="1">
      <c r="A8" s="11" t="s">
        <v>68</v>
      </c>
      <c r="B8" s="306" t="s">
        <v>163</v>
      </c>
      <c r="C8" s="366">
        <v>43005</v>
      </c>
      <c r="D8" s="366"/>
      <c r="E8" s="367">
        <v>43005</v>
      </c>
      <c r="F8" s="368">
        <v>21655</v>
      </c>
    </row>
    <row r="9" spans="1:6" s="1" customFormat="1" ht="12" customHeight="1">
      <c r="A9" s="11" t="s">
        <v>69</v>
      </c>
      <c r="B9" s="306" t="s">
        <v>164</v>
      </c>
      <c r="C9" s="366">
        <v>71830</v>
      </c>
      <c r="D9" s="366"/>
      <c r="E9" s="367">
        <v>71830</v>
      </c>
      <c r="F9" s="368">
        <v>37352</v>
      </c>
    </row>
    <row r="10" spans="1:6" s="1" customFormat="1" ht="12" customHeight="1">
      <c r="A10" s="11" t="s">
        <v>438</v>
      </c>
      <c r="B10" s="306" t="s">
        <v>429</v>
      </c>
      <c r="C10" s="366">
        <v>75235</v>
      </c>
      <c r="D10" s="366">
        <v>-35042</v>
      </c>
      <c r="E10" s="367">
        <v>40193</v>
      </c>
      <c r="F10" s="368">
        <v>40193</v>
      </c>
    </row>
    <row r="11" spans="1:7" s="1" customFormat="1" ht="12" customHeight="1">
      <c r="A11" s="11" t="s">
        <v>70</v>
      </c>
      <c r="B11" s="306" t="s">
        <v>165</v>
      </c>
      <c r="C11" s="366">
        <v>3765</v>
      </c>
      <c r="D11" s="366"/>
      <c r="E11" s="366">
        <v>3765</v>
      </c>
      <c r="F11" s="369">
        <v>1958</v>
      </c>
      <c r="G11" s="353" t="s">
        <v>453</v>
      </c>
    </row>
    <row r="12" spans="1:8" s="1" customFormat="1" ht="12" customHeight="1">
      <c r="A12" s="11" t="s">
        <v>87</v>
      </c>
      <c r="B12" s="306" t="s">
        <v>166</v>
      </c>
      <c r="C12" s="370"/>
      <c r="D12" s="370">
        <f>1633+1011+793+2495+15635</f>
        <v>21567</v>
      </c>
      <c r="E12" s="370">
        <v>21567</v>
      </c>
      <c r="F12" s="371">
        <v>20782</v>
      </c>
      <c r="G12" s="1" t="s">
        <v>449</v>
      </c>
      <c r="H12" s="1">
        <v>1011</v>
      </c>
    </row>
    <row r="13" spans="1:8" s="1" customFormat="1" ht="12" customHeight="1" thickBot="1">
      <c r="A13" s="13" t="s">
        <v>71</v>
      </c>
      <c r="B13" s="305" t="s">
        <v>167</v>
      </c>
      <c r="C13" s="372">
        <v>100223</v>
      </c>
      <c r="D13" s="372">
        <v>-35252</v>
      </c>
      <c r="E13" s="372">
        <v>64971</v>
      </c>
      <c r="F13" s="373"/>
      <c r="G13" s="1" t="s">
        <v>450</v>
      </c>
      <c r="H13" s="1">
        <v>793</v>
      </c>
    </row>
    <row r="14" spans="1:8" s="1" customFormat="1" ht="12" customHeight="1" thickBot="1">
      <c r="A14" s="17" t="s">
        <v>6</v>
      </c>
      <c r="B14" s="310" t="s">
        <v>168</v>
      </c>
      <c r="C14" s="361">
        <f>+C15+C16+C17+C18+C19</f>
        <v>174665</v>
      </c>
      <c r="D14" s="361">
        <f>+D15+D16+D17+D18+D19</f>
        <v>3888</v>
      </c>
      <c r="E14" s="361">
        <f>+E15+E16+E17+E18+E19</f>
        <v>178553</v>
      </c>
      <c r="F14" s="362">
        <f>+F15+F16+F17+F18+F19</f>
        <v>85776</v>
      </c>
      <c r="G14" s="1" t="s">
        <v>451</v>
      </c>
      <c r="H14" s="1">
        <v>2495</v>
      </c>
    </row>
    <row r="15" spans="1:8" s="1" customFormat="1" ht="12" customHeight="1">
      <c r="A15" s="12" t="s">
        <v>73</v>
      </c>
      <c r="B15" s="309" t="s">
        <v>169</v>
      </c>
      <c r="C15" s="363"/>
      <c r="D15" s="363"/>
      <c r="E15" s="363"/>
      <c r="F15" s="374"/>
      <c r="G15" s="1" t="s">
        <v>452</v>
      </c>
      <c r="H15" s="1">
        <v>15635</v>
      </c>
    </row>
    <row r="16" spans="1:8" s="1" customFormat="1" ht="12" customHeight="1">
      <c r="A16" s="11" t="s">
        <v>74</v>
      </c>
      <c r="B16" s="306" t="s">
        <v>170</v>
      </c>
      <c r="C16" s="366"/>
      <c r="D16" s="366"/>
      <c r="E16" s="366"/>
      <c r="F16" s="369"/>
      <c r="G16" s="1" t="s">
        <v>454</v>
      </c>
      <c r="H16" s="1">
        <v>1600</v>
      </c>
    </row>
    <row r="17" spans="1:8" s="1" customFormat="1" ht="12" customHeight="1">
      <c r="A17" s="11" t="s">
        <v>75</v>
      </c>
      <c r="B17" s="306" t="s">
        <v>380</v>
      </c>
      <c r="C17" s="366"/>
      <c r="D17" s="366"/>
      <c r="E17" s="366"/>
      <c r="F17" s="369"/>
      <c r="G17" s="1" t="s">
        <v>455</v>
      </c>
      <c r="H17" s="1">
        <v>33</v>
      </c>
    </row>
    <row r="18" spans="1:7" s="1" customFormat="1" ht="12" customHeight="1">
      <c r="A18" s="11" t="s">
        <v>76</v>
      </c>
      <c r="B18" s="306" t="s">
        <v>381</v>
      </c>
      <c r="C18" s="366"/>
      <c r="D18" s="366"/>
      <c r="E18" s="366"/>
      <c r="F18" s="369"/>
      <c r="G18" s="353" t="s">
        <v>457</v>
      </c>
    </row>
    <row r="19" spans="1:8" s="1" customFormat="1" ht="12" customHeight="1">
      <c r="A19" s="11" t="s">
        <v>77</v>
      </c>
      <c r="B19" s="306" t="s">
        <v>173</v>
      </c>
      <c r="C19" s="366">
        <v>174665</v>
      </c>
      <c r="D19" s="366">
        <v>3888</v>
      </c>
      <c r="E19" s="366">
        <f>176840+1713</f>
        <v>178553</v>
      </c>
      <c r="F19" s="369">
        <f>84063+1713</f>
        <v>85776</v>
      </c>
      <c r="G19" s="1" t="s">
        <v>442</v>
      </c>
      <c r="H19" s="1">
        <v>2175</v>
      </c>
    </row>
    <row r="20" spans="1:8" s="1" customFormat="1" ht="12" customHeight="1" thickBot="1">
      <c r="A20" s="13" t="s">
        <v>83</v>
      </c>
      <c r="B20" s="305" t="s">
        <v>174</v>
      </c>
      <c r="C20" s="375">
        <v>9630</v>
      </c>
      <c r="D20" s="375"/>
      <c r="E20" s="375">
        <v>9630</v>
      </c>
      <c r="F20" s="376"/>
      <c r="G20" s="1" t="s">
        <v>456</v>
      </c>
      <c r="H20" s="1">
        <v>1713</v>
      </c>
    </row>
    <row r="21" spans="1:6" s="1" customFormat="1" ht="12" customHeight="1" thickBot="1">
      <c r="A21" s="17" t="s">
        <v>7</v>
      </c>
      <c r="B21" s="308" t="s">
        <v>175</v>
      </c>
      <c r="C21" s="361">
        <f>+C22+C23+C24+C25+C26</f>
        <v>46250</v>
      </c>
      <c r="D21" s="361">
        <f>+D22+D23+D24+D25+D26</f>
        <v>144472</v>
      </c>
      <c r="E21" s="361">
        <f>+E22+E23+E24+E25+E26</f>
        <v>190722</v>
      </c>
      <c r="F21" s="362">
        <f>+F22+F23+F24+F25+F26</f>
        <v>145229</v>
      </c>
    </row>
    <row r="22" spans="1:12" s="1" customFormat="1" ht="12" customHeight="1">
      <c r="A22" s="12" t="s">
        <v>56</v>
      </c>
      <c r="B22" s="309" t="s">
        <v>176</v>
      </c>
      <c r="C22" s="363"/>
      <c r="D22" s="363">
        <v>1737</v>
      </c>
      <c r="E22" s="363">
        <v>1737</v>
      </c>
      <c r="F22" s="374">
        <v>1737</v>
      </c>
      <c r="G22" s="1" t="s">
        <v>443</v>
      </c>
      <c r="L22" s="1">
        <v>1737</v>
      </c>
    </row>
    <row r="23" spans="1:6" s="1" customFormat="1" ht="12" customHeight="1">
      <c r="A23" s="11" t="s">
        <v>57</v>
      </c>
      <c r="B23" s="306" t="s">
        <v>177</v>
      </c>
      <c r="C23" s="366"/>
      <c r="D23" s="366"/>
      <c r="E23" s="366"/>
      <c r="F23" s="369"/>
    </row>
    <row r="24" spans="1:6" s="1" customFormat="1" ht="12" customHeight="1">
      <c r="A24" s="11" t="s">
        <v>58</v>
      </c>
      <c r="B24" s="306" t="s">
        <v>382</v>
      </c>
      <c r="C24" s="366"/>
      <c r="D24" s="366"/>
      <c r="E24" s="366"/>
      <c r="F24" s="369"/>
    </row>
    <row r="25" spans="1:6" s="1" customFormat="1" ht="12" customHeight="1">
      <c r="A25" s="11" t="s">
        <v>59</v>
      </c>
      <c r="B25" s="306" t="s">
        <v>383</v>
      </c>
      <c r="C25" s="366"/>
      <c r="D25" s="366"/>
      <c r="E25" s="366"/>
      <c r="F25" s="369"/>
    </row>
    <row r="26" spans="1:6" s="1" customFormat="1" ht="12" customHeight="1">
      <c r="A26" s="11" t="s">
        <v>99</v>
      </c>
      <c r="B26" s="306" t="s">
        <v>180</v>
      </c>
      <c r="C26" s="366">
        <v>46250</v>
      </c>
      <c r="D26" s="366">
        <v>142735</v>
      </c>
      <c r="E26" s="366">
        <v>188985</v>
      </c>
      <c r="F26" s="369">
        <v>143492</v>
      </c>
    </row>
    <row r="27" spans="1:6" s="1" customFormat="1" ht="12" customHeight="1" thickBot="1">
      <c r="A27" s="13" t="s">
        <v>100</v>
      </c>
      <c r="B27" s="305" t="s">
        <v>181</v>
      </c>
      <c r="C27" s="375">
        <v>46250</v>
      </c>
      <c r="D27" s="375"/>
      <c r="E27" s="375">
        <v>188985</v>
      </c>
      <c r="F27" s="376">
        <v>143492</v>
      </c>
    </row>
    <row r="28" spans="1:7" s="1" customFormat="1" ht="12" customHeight="1" thickBot="1">
      <c r="A28" s="17" t="s">
        <v>101</v>
      </c>
      <c r="B28" s="308" t="s">
        <v>182</v>
      </c>
      <c r="C28" s="377">
        <f>+C29+C32+C33+C34</f>
        <v>45200</v>
      </c>
      <c r="D28" s="377">
        <f>+D29+D32+D33+D34</f>
        <v>26763</v>
      </c>
      <c r="E28" s="377">
        <f>+E29+E32+E33+E34</f>
        <v>71963</v>
      </c>
      <c r="F28" s="378">
        <f>+F29+F32+F33+F34</f>
        <v>28886</v>
      </c>
      <c r="G28" s="1" t="s">
        <v>102</v>
      </c>
    </row>
    <row r="29" spans="1:7" s="1" customFormat="1" ht="12" customHeight="1">
      <c r="A29" s="12" t="s">
        <v>183</v>
      </c>
      <c r="B29" s="309" t="s">
        <v>184</v>
      </c>
      <c r="C29" s="379">
        <f>+C30+C31</f>
        <v>40000</v>
      </c>
      <c r="D29" s="379">
        <f>+D30+D31</f>
        <v>14524</v>
      </c>
      <c r="E29" s="379">
        <f>+E30+E31</f>
        <v>54524</v>
      </c>
      <c r="F29" s="380">
        <f>+F30+F31</f>
        <v>26625</v>
      </c>
      <c r="G29" s="1" t="s">
        <v>458</v>
      </c>
    </row>
    <row r="30" spans="1:6" s="1" customFormat="1" ht="12" customHeight="1">
      <c r="A30" s="11" t="s">
        <v>185</v>
      </c>
      <c r="B30" s="306" t="s">
        <v>186</v>
      </c>
      <c r="C30" s="366">
        <v>40000</v>
      </c>
      <c r="D30" s="366">
        <v>14524</v>
      </c>
      <c r="E30" s="366">
        <f>54451+73</f>
        <v>54524</v>
      </c>
      <c r="F30" s="369">
        <v>26625</v>
      </c>
    </row>
    <row r="31" spans="1:6" s="1" customFormat="1" ht="12" customHeight="1">
      <c r="A31" s="11" t="s">
        <v>187</v>
      </c>
      <c r="B31" s="306" t="s">
        <v>188</v>
      </c>
      <c r="C31" s="366"/>
      <c r="D31" s="366"/>
      <c r="E31" s="366"/>
      <c r="F31" s="369"/>
    </row>
    <row r="32" spans="1:6" s="1" customFormat="1" ht="12" customHeight="1">
      <c r="A32" s="11" t="s">
        <v>189</v>
      </c>
      <c r="B32" s="306" t="s">
        <v>190</v>
      </c>
      <c r="C32" s="366">
        <v>4800</v>
      </c>
      <c r="D32" s="366">
        <v>4561</v>
      </c>
      <c r="E32" s="366">
        <v>9361</v>
      </c>
      <c r="F32" s="369">
        <v>2014</v>
      </c>
    </row>
    <row r="33" spans="1:6" s="1" customFormat="1" ht="12" customHeight="1">
      <c r="A33" s="11" t="s">
        <v>191</v>
      </c>
      <c r="B33" s="306" t="s">
        <v>192</v>
      </c>
      <c r="C33" s="366"/>
      <c r="D33" s="366"/>
      <c r="E33" s="366"/>
      <c r="F33" s="369"/>
    </row>
    <row r="34" spans="1:6" s="1" customFormat="1" ht="12" customHeight="1" thickBot="1">
      <c r="A34" s="13" t="s">
        <v>193</v>
      </c>
      <c r="B34" s="305" t="s">
        <v>194</v>
      </c>
      <c r="C34" s="375">
        <v>400</v>
      </c>
      <c r="D34" s="375">
        <v>7678</v>
      </c>
      <c r="E34" s="375">
        <v>8078</v>
      </c>
      <c r="F34" s="376">
        <v>247</v>
      </c>
    </row>
    <row r="35" spans="1:6" s="1" customFormat="1" ht="12" customHeight="1" thickBot="1">
      <c r="A35" s="17" t="s">
        <v>9</v>
      </c>
      <c r="B35" s="308" t="s">
        <v>195</v>
      </c>
      <c r="C35" s="361">
        <f>SUM(C36:C45)</f>
        <v>47740</v>
      </c>
      <c r="D35" s="361">
        <f>SUM(D36:D45)</f>
        <v>32517</v>
      </c>
      <c r="E35" s="361">
        <f>SUM(E36:E45)</f>
        <v>80257</v>
      </c>
      <c r="F35" s="362">
        <f>SUM(F36:F45)</f>
        <v>42808</v>
      </c>
    </row>
    <row r="36" spans="1:6" s="1" customFormat="1" ht="12" customHeight="1">
      <c r="A36" s="12" t="s">
        <v>60</v>
      </c>
      <c r="B36" s="309" t="s">
        <v>196</v>
      </c>
      <c r="C36" s="363"/>
      <c r="D36" s="363">
        <v>16</v>
      </c>
      <c r="E36" s="363">
        <f>16</f>
        <v>16</v>
      </c>
      <c r="F36" s="374">
        <f>15</f>
        <v>15</v>
      </c>
    </row>
    <row r="37" spans="1:7" s="1" customFormat="1" ht="12" customHeight="1">
      <c r="A37" s="11" t="s">
        <v>61</v>
      </c>
      <c r="B37" s="306" t="s">
        <v>197</v>
      </c>
      <c r="C37" s="366">
        <v>10895</v>
      </c>
      <c r="D37" s="366">
        <v>25839</v>
      </c>
      <c r="E37" s="366">
        <f>34782+52+1900</f>
        <v>36734</v>
      </c>
      <c r="F37" s="369">
        <f>19547+36+798</f>
        <v>20381</v>
      </c>
      <c r="G37" s="1" t="s">
        <v>458</v>
      </c>
    </row>
    <row r="38" spans="1:6" s="1" customFormat="1" ht="12" customHeight="1">
      <c r="A38" s="11" t="s">
        <v>62</v>
      </c>
      <c r="B38" s="306" t="s">
        <v>198</v>
      </c>
      <c r="C38" s="366"/>
      <c r="D38" s="366"/>
      <c r="E38" s="366"/>
      <c r="F38" s="369"/>
    </row>
    <row r="39" spans="1:6" s="1" customFormat="1" ht="12" customHeight="1">
      <c r="A39" s="11" t="s">
        <v>103</v>
      </c>
      <c r="B39" s="306" t="s">
        <v>199</v>
      </c>
      <c r="C39" s="366">
        <v>3750</v>
      </c>
      <c r="D39" s="366"/>
      <c r="E39" s="366">
        <f>3500+250</f>
        <v>3750</v>
      </c>
      <c r="F39" s="369">
        <f>3225</f>
        <v>3225</v>
      </c>
    </row>
    <row r="40" spans="1:6" s="1" customFormat="1" ht="12" customHeight="1">
      <c r="A40" s="11" t="s">
        <v>104</v>
      </c>
      <c r="B40" s="306" t="s">
        <v>200</v>
      </c>
      <c r="C40" s="366">
        <v>11940</v>
      </c>
      <c r="D40" s="366"/>
      <c r="E40" s="366">
        <v>11940</v>
      </c>
      <c r="F40" s="369">
        <v>6528</v>
      </c>
    </row>
    <row r="41" spans="1:6" s="1" customFormat="1" ht="12" customHeight="1">
      <c r="A41" s="11" t="s">
        <v>105</v>
      </c>
      <c r="B41" s="306" t="s">
        <v>201</v>
      </c>
      <c r="C41" s="366">
        <v>6155</v>
      </c>
      <c r="D41" s="366">
        <v>3657</v>
      </c>
      <c r="E41" s="366">
        <f>6077+10+3215+510</f>
        <v>9812</v>
      </c>
      <c r="F41" s="369">
        <f>5244+10+1763+20</f>
        <v>7037</v>
      </c>
    </row>
    <row r="42" spans="1:6" s="1" customFormat="1" ht="12" customHeight="1">
      <c r="A42" s="11" t="s">
        <v>106</v>
      </c>
      <c r="B42" s="306" t="s">
        <v>202</v>
      </c>
      <c r="C42" s="366"/>
      <c r="D42" s="366">
        <v>3000</v>
      </c>
      <c r="E42" s="366">
        <v>3000</v>
      </c>
      <c r="F42" s="369">
        <v>2178</v>
      </c>
    </row>
    <row r="43" spans="1:7" s="1" customFormat="1" ht="12" customHeight="1">
      <c r="A43" s="11" t="s">
        <v>107</v>
      </c>
      <c r="B43" s="306" t="s">
        <v>203</v>
      </c>
      <c r="C43" s="366">
        <v>15000</v>
      </c>
      <c r="D43" s="366">
        <v>5</v>
      </c>
      <c r="E43" s="366">
        <f>15000+5</f>
        <v>15005</v>
      </c>
      <c r="F43" s="369">
        <f>3444</f>
        <v>3444</v>
      </c>
      <c r="G43" s="1" t="s">
        <v>459</v>
      </c>
    </row>
    <row r="44" spans="1:6" s="1" customFormat="1" ht="12" customHeight="1">
      <c r="A44" s="11" t="s">
        <v>204</v>
      </c>
      <c r="B44" s="306" t="s">
        <v>205</v>
      </c>
      <c r="C44" s="381"/>
      <c r="D44" s="381"/>
      <c r="E44" s="381"/>
      <c r="F44" s="382"/>
    </row>
    <row r="45" spans="1:6" s="1" customFormat="1" ht="12" customHeight="1" thickBot="1">
      <c r="A45" s="13" t="s">
        <v>206</v>
      </c>
      <c r="B45" s="305" t="s">
        <v>207</v>
      </c>
      <c r="C45" s="383"/>
      <c r="D45" s="383"/>
      <c r="E45" s="383"/>
      <c r="F45" s="384"/>
    </row>
    <row r="46" spans="1:6" s="1" customFormat="1" ht="12" customHeight="1" thickBot="1">
      <c r="A46" s="17" t="s">
        <v>10</v>
      </c>
      <c r="B46" s="308" t="s">
        <v>208</v>
      </c>
      <c r="C46" s="361">
        <f>SUM(C47:C51)</f>
        <v>0</v>
      </c>
      <c r="D46" s="361"/>
      <c r="E46" s="361">
        <f>SUM(E47:E51)</f>
        <v>0</v>
      </c>
      <c r="F46" s="362">
        <f>SUM(F47:F51)</f>
        <v>0</v>
      </c>
    </row>
    <row r="47" spans="1:6" s="1" customFormat="1" ht="12" customHeight="1">
      <c r="A47" s="12" t="s">
        <v>63</v>
      </c>
      <c r="B47" s="309" t="s">
        <v>209</v>
      </c>
      <c r="C47" s="385"/>
      <c r="D47" s="385"/>
      <c r="E47" s="385"/>
      <c r="F47" s="386"/>
    </row>
    <row r="48" spans="1:6" s="1" customFormat="1" ht="12" customHeight="1">
      <c r="A48" s="11" t="s">
        <v>64</v>
      </c>
      <c r="B48" s="306" t="s">
        <v>210</v>
      </c>
      <c r="C48" s="381"/>
      <c r="D48" s="381"/>
      <c r="E48" s="381"/>
      <c r="F48" s="382"/>
    </row>
    <row r="49" spans="1:6" s="1" customFormat="1" ht="12" customHeight="1">
      <c r="A49" s="11" t="s">
        <v>211</v>
      </c>
      <c r="B49" s="306" t="s">
        <v>212</v>
      </c>
      <c r="C49" s="381"/>
      <c r="D49" s="381"/>
      <c r="E49" s="381"/>
      <c r="F49" s="382"/>
    </row>
    <row r="50" spans="1:6" s="1" customFormat="1" ht="12" customHeight="1">
      <c r="A50" s="11" t="s">
        <v>213</v>
      </c>
      <c r="B50" s="306" t="s">
        <v>214</v>
      </c>
      <c r="C50" s="381"/>
      <c r="D50" s="381"/>
      <c r="E50" s="381"/>
      <c r="F50" s="382"/>
    </row>
    <row r="51" spans="1:6" s="1" customFormat="1" ht="12" customHeight="1" thickBot="1">
      <c r="A51" s="13" t="s">
        <v>215</v>
      </c>
      <c r="B51" s="305" t="s">
        <v>216</v>
      </c>
      <c r="C51" s="383"/>
      <c r="D51" s="383"/>
      <c r="E51" s="383"/>
      <c r="F51" s="384"/>
    </row>
    <row r="52" spans="1:6" s="1" customFormat="1" ht="12" customHeight="1" thickBot="1">
      <c r="A52" s="17" t="s">
        <v>108</v>
      </c>
      <c r="B52" s="308" t="s">
        <v>217</v>
      </c>
      <c r="C52" s="361">
        <f>SUM(C53:C55)</f>
        <v>0</v>
      </c>
      <c r="D52" s="361">
        <f>SUM(D53:D55)</f>
        <v>8771</v>
      </c>
      <c r="E52" s="361">
        <f>SUM(E53:E55)</f>
        <v>8771</v>
      </c>
      <c r="F52" s="362">
        <f>SUM(F53:F55)</f>
        <v>2715</v>
      </c>
    </row>
    <row r="53" spans="1:6" s="1" customFormat="1" ht="12" customHeight="1">
      <c r="A53" s="12" t="s">
        <v>65</v>
      </c>
      <c r="B53" s="309" t="s">
        <v>218</v>
      </c>
      <c r="C53" s="363"/>
      <c r="D53" s="363"/>
      <c r="E53" s="363"/>
      <c r="F53" s="374"/>
    </row>
    <row r="54" spans="1:6" s="1" customFormat="1" ht="12" customHeight="1">
      <c r="A54" s="11" t="s">
        <v>66</v>
      </c>
      <c r="B54" s="306" t="s">
        <v>219</v>
      </c>
      <c r="C54" s="366"/>
      <c r="D54" s="366">
        <v>8671</v>
      </c>
      <c r="E54" s="366">
        <f>8671</f>
        <v>8671</v>
      </c>
      <c r="F54" s="369">
        <f>2615</f>
        <v>2615</v>
      </c>
    </row>
    <row r="55" spans="1:6" s="1" customFormat="1" ht="12" customHeight="1">
      <c r="A55" s="11" t="s">
        <v>220</v>
      </c>
      <c r="B55" s="306" t="s">
        <v>221</v>
      </c>
      <c r="C55" s="366"/>
      <c r="D55" s="366">
        <v>100</v>
      </c>
      <c r="E55" s="366">
        <v>100</v>
      </c>
      <c r="F55" s="369">
        <v>100</v>
      </c>
    </row>
    <row r="56" spans="1:6" s="1" customFormat="1" ht="12" customHeight="1" thickBot="1">
      <c r="A56" s="13" t="s">
        <v>222</v>
      </c>
      <c r="B56" s="305" t="s">
        <v>223</v>
      </c>
      <c r="C56" s="375"/>
      <c r="D56" s="375"/>
      <c r="E56" s="375"/>
      <c r="F56" s="376"/>
    </row>
    <row r="57" spans="1:6" s="1" customFormat="1" ht="12" customHeight="1" thickBot="1">
      <c r="A57" s="17" t="s">
        <v>12</v>
      </c>
      <c r="B57" s="310" t="s">
        <v>224</v>
      </c>
      <c r="C57" s="361">
        <f>SUM(C58:C60)</f>
        <v>0</v>
      </c>
      <c r="D57" s="361">
        <f>SUM(D58:D60)</f>
        <v>2414</v>
      </c>
      <c r="E57" s="361">
        <f>SUM(E58:E60)</f>
        <v>2414</v>
      </c>
      <c r="F57" s="362">
        <f>SUM(F58:F60)</f>
        <v>0</v>
      </c>
    </row>
    <row r="58" spans="1:6" s="1" customFormat="1" ht="12" customHeight="1">
      <c r="A58" s="11" t="s">
        <v>109</v>
      </c>
      <c r="B58" s="309" t="s">
        <v>225</v>
      </c>
      <c r="C58" s="381"/>
      <c r="D58" s="381"/>
      <c r="E58" s="381"/>
      <c r="F58" s="382"/>
    </row>
    <row r="59" spans="1:6" s="1" customFormat="1" ht="12" customHeight="1">
      <c r="A59" s="11" t="s">
        <v>110</v>
      </c>
      <c r="B59" s="306" t="s">
        <v>226</v>
      </c>
      <c r="C59" s="381"/>
      <c r="D59" s="381">
        <v>2414</v>
      </c>
      <c r="E59" s="381">
        <v>2414</v>
      </c>
      <c r="F59" s="382"/>
    </row>
    <row r="60" spans="1:6" s="1" customFormat="1" ht="12" customHeight="1">
      <c r="A60" s="11" t="s">
        <v>135</v>
      </c>
      <c r="B60" s="306" t="s">
        <v>227</v>
      </c>
      <c r="C60" s="381"/>
      <c r="D60" s="381"/>
      <c r="E60" s="381"/>
      <c r="F60" s="382"/>
    </row>
    <row r="61" spans="1:6" s="1" customFormat="1" ht="12" customHeight="1" thickBot="1">
      <c r="A61" s="11" t="s">
        <v>228</v>
      </c>
      <c r="B61" s="305" t="s">
        <v>229</v>
      </c>
      <c r="C61" s="381"/>
      <c r="D61" s="381"/>
      <c r="E61" s="381"/>
      <c r="F61" s="382"/>
    </row>
    <row r="62" spans="1:6" s="1" customFormat="1" ht="12" customHeight="1" thickBot="1">
      <c r="A62" s="17" t="s">
        <v>13</v>
      </c>
      <c r="B62" s="308" t="s">
        <v>230</v>
      </c>
      <c r="C62" s="377">
        <f>+C6+C14+C21+C28+C35+C46+C52+C57</f>
        <v>707319</v>
      </c>
      <c r="D62" s="377">
        <f>+D6+D14+D21+D28+D35+D46+D52+D57</f>
        <v>168465</v>
      </c>
      <c r="E62" s="377">
        <f>+E6+E14+E21+E28+E35+E46+E52+E57</f>
        <v>875784</v>
      </c>
      <c r="F62" s="378">
        <f>+F6+F14+F21+F28+F35+F46+F52+F57</f>
        <v>478074</v>
      </c>
    </row>
    <row r="63" spans="1:6" s="1" customFormat="1" ht="12" customHeight="1" thickBot="1">
      <c r="A63" s="218" t="s">
        <v>231</v>
      </c>
      <c r="B63" s="310" t="s">
        <v>232</v>
      </c>
      <c r="C63" s="361">
        <f>SUM(C64:C66)</f>
        <v>0</v>
      </c>
      <c r="D63" s="361"/>
      <c r="E63" s="361">
        <f>SUM(E64:E66)</f>
        <v>0</v>
      </c>
      <c r="F63" s="362">
        <f>SUM(F64:F66)</f>
        <v>0</v>
      </c>
    </row>
    <row r="64" spans="1:6" s="1" customFormat="1" ht="12" customHeight="1">
      <c r="A64" s="11" t="s">
        <v>233</v>
      </c>
      <c r="B64" s="309" t="s">
        <v>234</v>
      </c>
      <c r="C64" s="381"/>
      <c r="D64" s="381"/>
      <c r="E64" s="381"/>
      <c r="F64" s="382"/>
    </row>
    <row r="65" spans="1:6" s="1" customFormat="1" ht="12" customHeight="1">
      <c r="A65" s="11" t="s">
        <v>235</v>
      </c>
      <c r="B65" s="306" t="s">
        <v>236</v>
      </c>
      <c r="C65" s="381"/>
      <c r="D65" s="381"/>
      <c r="E65" s="381"/>
      <c r="F65" s="382"/>
    </row>
    <row r="66" spans="1:6" s="1" customFormat="1" ht="12" customHeight="1" thickBot="1">
      <c r="A66" s="11" t="s">
        <v>237</v>
      </c>
      <c r="B66" s="295" t="s">
        <v>379</v>
      </c>
      <c r="C66" s="381"/>
      <c r="D66" s="381"/>
      <c r="E66" s="381"/>
      <c r="F66" s="382"/>
    </row>
    <row r="67" spans="1:6" s="1" customFormat="1" ht="12" customHeight="1" thickBot="1">
      <c r="A67" s="218" t="s">
        <v>239</v>
      </c>
      <c r="B67" s="310" t="s">
        <v>240</v>
      </c>
      <c r="C67" s="361">
        <f>SUM(C68:C71)</f>
        <v>0</v>
      </c>
      <c r="D67" s="361"/>
      <c r="E67" s="361">
        <f>SUM(E68:E71)</f>
        <v>0</v>
      </c>
      <c r="F67" s="362">
        <f>SUM(F68:F71)</f>
        <v>0</v>
      </c>
    </row>
    <row r="68" spans="1:6" s="1" customFormat="1" ht="12" customHeight="1">
      <c r="A68" s="11" t="s">
        <v>88</v>
      </c>
      <c r="B68" s="309" t="s">
        <v>241</v>
      </c>
      <c r="C68" s="381"/>
      <c r="D68" s="381"/>
      <c r="E68" s="381"/>
      <c r="F68" s="382"/>
    </row>
    <row r="69" spans="1:6" s="1" customFormat="1" ht="12" customHeight="1">
      <c r="A69" s="11" t="s">
        <v>89</v>
      </c>
      <c r="B69" s="306" t="s">
        <v>242</v>
      </c>
      <c r="C69" s="381"/>
      <c r="D69" s="381"/>
      <c r="E69" s="381"/>
      <c r="F69" s="382"/>
    </row>
    <row r="70" spans="1:6" s="1" customFormat="1" ht="12" customHeight="1">
      <c r="A70" s="11" t="s">
        <v>243</v>
      </c>
      <c r="B70" s="306" t="s">
        <v>244</v>
      </c>
      <c r="C70" s="381"/>
      <c r="D70" s="381"/>
      <c r="E70" s="381"/>
      <c r="F70" s="382"/>
    </row>
    <row r="71" spans="1:8" s="1" customFormat="1" ht="12" customHeight="1" thickBot="1">
      <c r="A71" s="11" t="s">
        <v>245</v>
      </c>
      <c r="B71" s="305" t="s">
        <v>246</v>
      </c>
      <c r="C71" s="381"/>
      <c r="D71" s="381"/>
      <c r="E71" s="381"/>
      <c r="F71" s="382"/>
      <c r="H71" s="29"/>
    </row>
    <row r="72" spans="1:6" s="1" customFormat="1" ht="12" customHeight="1" thickBot="1">
      <c r="A72" s="218" t="s">
        <v>247</v>
      </c>
      <c r="B72" s="310" t="s">
        <v>248</v>
      </c>
      <c r="C72" s="361">
        <f>SUM(C73:C74)</f>
        <v>379680</v>
      </c>
      <c r="D72" s="361">
        <f>SUM(D73:D74)</f>
        <v>-35</v>
      </c>
      <c r="E72" s="361">
        <f>SUM(E73:E74)</f>
        <v>379645</v>
      </c>
      <c r="F72" s="362">
        <f>SUM(F73:F74)</f>
        <v>379645</v>
      </c>
    </row>
    <row r="73" spans="1:6" s="1" customFormat="1" ht="12" customHeight="1">
      <c r="A73" s="11" t="s">
        <v>249</v>
      </c>
      <c r="B73" s="309" t="s">
        <v>439</v>
      </c>
      <c r="C73" s="381">
        <v>78992</v>
      </c>
      <c r="D73" s="381">
        <v>-35</v>
      </c>
      <c r="E73" s="381">
        <f>77998+577+313+39+30</f>
        <v>78957</v>
      </c>
      <c r="F73" s="382">
        <f>77998+577+313+39+30</f>
        <v>78957</v>
      </c>
    </row>
    <row r="74" spans="1:6" s="1" customFormat="1" ht="12" customHeight="1" thickBot="1">
      <c r="A74" s="11" t="s">
        <v>251</v>
      </c>
      <c r="B74" s="309" t="s">
        <v>440</v>
      </c>
      <c r="C74" s="381">
        <v>300688</v>
      </c>
      <c r="D74" s="381"/>
      <c r="E74" s="381">
        <v>300688</v>
      </c>
      <c r="F74" s="382">
        <v>300688</v>
      </c>
    </row>
    <row r="75" spans="1:6" s="1" customFormat="1" ht="12" customHeight="1" thickBot="1">
      <c r="A75" s="218" t="s">
        <v>253</v>
      </c>
      <c r="B75" s="310" t="s">
        <v>254</v>
      </c>
      <c r="C75" s="361">
        <f>SUM(C76:C78)</f>
        <v>0</v>
      </c>
      <c r="D75" s="361"/>
      <c r="E75" s="361">
        <f>SUM(E76:E78)</f>
        <v>0</v>
      </c>
      <c r="F75" s="362">
        <f>SUM(F76:F78)</f>
        <v>0</v>
      </c>
    </row>
    <row r="76" spans="1:6" s="1" customFormat="1" ht="12" customHeight="1">
      <c r="A76" s="11" t="s">
        <v>255</v>
      </c>
      <c r="B76" s="309" t="s">
        <v>256</v>
      </c>
      <c r="C76" s="381"/>
      <c r="D76" s="381"/>
      <c r="E76" s="381"/>
      <c r="F76" s="382"/>
    </row>
    <row r="77" spans="1:6" s="1" customFormat="1" ht="12" customHeight="1">
      <c r="A77" s="11" t="s">
        <v>257</v>
      </c>
      <c r="B77" s="306" t="s">
        <v>258</v>
      </c>
      <c r="C77" s="381"/>
      <c r="D77" s="381"/>
      <c r="E77" s="381"/>
      <c r="F77" s="382"/>
    </row>
    <row r="78" spans="1:6" s="1" customFormat="1" ht="12" customHeight="1" thickBot="1">
      <c r="A78" s="11" t="s">
        <v>259</v>
      </c>
      <c r="B78" s="305" t="s">
        <v>260</v>
      </c>
      <c r="C78" s="381"/>
      <c r="D78" s="381"/>
      <c r="E78" s="381"/>
      <c r="F78" s="382"/>
    </row>
    <row r="79" spans="1:6" s="1" customFormat="1" ht="12" customHeight="1" thickBot="1">
      <c r="A79" s="218" t="s">
        <v>261</v>
      </c>
      <c r="B79" s="310" t="s">
        <v>262</v>
      </c>
      <c r="C79" s="361">
        <f>SUM(C80:C83)</f>
        <v>0</v>
      </c>
      <c r="D79" s="361"/>
      <c r="E79" s="361">
        <f>SUM(E80:E83)</f>
        <v>0</v>
      </c>
      <c r="F79" s="362">
        <f>SUM(F80:F83)</f>
        <v>0</v>
      </c>
    </row>
    <row r="80" spans="1:6" s="1" customFormat="1" ht="12" customHeight="1">
      <c r="A80" s="220" t="s">
        <v>263</v>
      </c>
      <c r="B80" s="309" t="s">
        <v>264</v>
      </c>
      <c r="C80" s="381"/>
      <c r="D80" s="381"/>
      <c r="E80" s="381"/>
      <c r="F80" s="382"/>
    </row>
    <row r="81" spans="1:6" s="1" customFormat="1" ht="12" customHeight="1">
      <c r="A81" s="221" t="s">
        <v>265</v>
      </c>
      <c r="B81" s="306" t="s">
        <v>266</v>
      </c>
      <c r="C81" s="381"/>
      <c r="D81" s="381"/>
      <c r="E81" s="381"/>
      <c r="F81" s="382"/>
    </row>
    <row r="82" spans="1:6" s="1" customFormat="1" ht="12" customHeight="1">
      <c r="A82" s="221" t="s">
        <v>267</v>
      </c>
      <c r="B82" s="306" t="s">
        <v>268</v>
      </c>
      <c r="C82" s="381"/>
      <c r="D82" s="381"/>
      <c r="E82" s="381"/>
      <c r="F82" s="382"/>
    </row>
    <row r="83" spans="1:6" s="1" customFormat="1" ht="12" customHeight="1" thickBot="1">
      <c r="A83" s="222" t="s">
        <v>269</v>
      </c>
      <c r="B83" s="305" t="s">
        <v>270</v>
      </c>
      <c r="C83" s="381"/>
      <c r="D83" s="381"/>
      <c r="E83" s="381"/>
      <c r="F83" s="382"/>
    </row>
    <row r="84" spans="1:6" s="1" customFormat="1" ht="12" customHeight="1" thickBot="1">
      <c r="A84" s="218" t="s">
        <v>271</v>
      </c>
      <c r="B84" s="310" t="s">
        <v>272</v>
      </c>
      <c r="C84" s="387"/>
      <c r="D84" s="387"/>
      <c r="E84" s="387"/>
      <c r="F84" s="388"/>
    </row>
    <row r="85" spans="1:6" s="1" customFormat="1" ht="12" customHeight="1" thickBot="1">
      <c r="A85" s="218" t="s">
        <v>273</v>
      </c>
      <c r="B85" s="272" t="s">
        <v>274</v>
      </c>
      <c r="C85" s="377">
        <f>+C63+C67+C72+C75+C79+C84</f>
        <v>379680</v>
      </c>
      <c r="D85" s="377">
        <f>+D63+D67+D72+D75+D79+D84</f>
        <v>-35</v>
      </c>
      <c r="E85" s="377">
        <f>+E63+E67+E72+E75+E79+E84</f>
        <v>379645</v>
      </c>
      <c r="F85" s="378">
        <f>+F63+F67+F72+F75+F79+F84</f>
        <v>379645</v>
      </c>
    </row>
    <row r="86" spans="1:6" s="1" customFormat="1" ht="12" customHeight="1" thickBot="1">
      <c r="A86" s="226" t="s">
        <v>275</v>
      </c>
      <c r="B86" s="273" t="s">
        <v>276</v>
      </c>
      <c r="C86" s="377">
        <f>+C62+C85</f>
        <v>1086999</v>
      </c>
      <c r="D86" s="377">
        <f>+D62+D85</f>
        <v>168430</v>
      </c>
      <c r="E86" s="377">
        <f>+E62+E85</f>
        <v>1255429</v>
      </c>
      <c r="F86" s="378">
        <f>+F62+F85</f>
        <v>857719</v>
      </c>
    </row>
    <row r="87" spans="1:6" s="1" customFormat="1" ht="12" customHeight="1">
      <c r="A87" s="228"/>
      <c r="B87" s="229">
        <v>1</v>
      </c>
      <c r="C87" s="389"/>
      <c r="D87" s="389"/>
      <c r="E87" s="390"/>
      <c r="F87" s="391"/>
    </row>
    <row r="88" spans="1:6" s="1" customFormat="1" ht="12" customHeight="1">
      <c r="A88" s="438" t="s">
        <v>33</v>
      </c>
      <c r="B88" s="438"/>
      <c r="C88" s="438"/>
      <c r="D88" s="438"/>
      <c r="E88" s="438"/>
      <c r="F88" s="438"/>
    </row>
    <row r="89" spans="1:6" s="1" customFormat="1" ht="12" customHeight="1" thickBot="1">
      <c r="A89" s="439" t="s">
        <v>91</v>
      </c>
      <c r="B89" s="439"/>
      <c r="C89" s="355"/>
      <c r="D89" s="355"/>
      <c r="E89" s="356"/>
      <c r="F89" s="357" t="s">
        <v>134</v>
      </c>
    </row>
    <row r="90" spans="1:6" s="1" customFormat="1" ht="12" customHeight="1">
      <c r="A90" s="430" t="s">
        <v>55</v>
      </c>
      <c r="B90" s="432" t="s">
        <v>387</v>
      </c>
      <c r="C90" s="434" t="s">
        <v>324</v>
      </c>
      <c r="D90" s="434"/>
      <c r="E90" s="434"/>
      <c r="F90" s="435"/>
    </row>
    <row r="91" spans="1:7" s="1" customFormat="1" ht="28.5" customHeight="1" thickBot="1">
      <c r="A91" s="431"/>
      <c r="B91" s="433"/>
      <c r="C91" s="358" t="s">
        <v>158</v>
      </c>
      <c r="D91" s="358" t="s">
        <v>448</v>
      </c>
      <c r="E91" s="358" t="s">
        <v>159</v>
      </c>
      <c r="F91" s="359" t="s">
        <v>325</v>
      </c>
      <c r="G91" s="233"/>
    </row>
    <row r="92" spans="1:7" s="1" customFormat="1" ht="12" customHeight="1" thickBot="1">
      <c r="A92" s="24">
        <v>1</v>
      </c>
      <c r="B92" s="25">
        <v>2</v>
      </c>
      <c r="C92" s="360">
        <v>3</v>
      </c>
      <c r="D92" s="360"/>
      <c r="E92" s="360">
        <v>4</v>
      </c>
      <c r="F92" s="392">
        <v>5</v>
      </c>
      <c r="G92" s="233"/>
    </row>
    <row r="93" spans="1:7" s="1" customFormat="1" ht="15" customHeight="1" thickBot="1">
      <c r="A93" s="19" t="s">
        <v>5</v>
      </c>
      <c r="B93" s="23" t="s">
        <v>385</v>
      </c>
      <c r="C93" s="393">
        <f>SUM(C94:C98)</f>
        <v>687840</v>
      </c>
      <c r="D93" s="393">
        <f>SUM(D94:D98)</f>
        <v>55351</v>
      </c>
      <c r="E93" s="394">
        <f>+E94+E95+E96+E97+E98</f>
        <v>743191</v>
      </c>
      <c r="F93" s="395">
        <f>+F94+F95+F96+F97+F98</f>
        <v>326026</v>
      </c>
      <c r="G93" s="233"/>
    </row>
    <row r="94" spans="1:7" s="1" customFormat="1" ht="12.75" customHeight="1">
      <c r="A94" s="14" t="s">
        <v>67</v>
      </c>
      <c r="B94" s="298" t="s">
        <v>34</v>
      </c>
      <c r="C94" s="396">
        <v>252273</v>
      </c>
      <c r="D94" s="396">
        <f>4105+1363</f>
        <v>5468</v>
      </c>
      <c r="E94" s="397">
        <v>257741</v>
      </c>
      <c r="F94" s="398">
        <f>61277+21610+14490+2618+13936</f>
        <v>113931</v>
      </c>
      <c r="G94" s="1" t="s">
        <v>460</v>
      </c>
    </row>
    <row r="95" spans="1:8" ht="16.5" customHeight="1">
      <c r="A95" s="11" t="s">
        <v>68</v>
      </c>
      <c r="B95" s="299" t="s">
        <v>111</v>
      </c>
      <c r="C95" s="399">
        <v>67767</v>
      </c>
      <c r="D95" s="399">
        <f>1959+370</f>
        <v>2329</v>
      </c>
      <c r="E95" s="366">
        <v>70096</v>
      </c>
      <c r="F95" s="369">
        <f>11950+6416+3400+563+3447</f>
        <v>25776</v>
      </c>
      <c r="G95" s="27" t="s">
        <v>461</v>
      </c>
      <c r="H95" s="27">
        <v>2495</v>
      </c>
    </row>
    <row r="96" spans="1:8" ht="15">
      <c r="A96" s="11" t="s">
        <v>69</v>
      </c>
      <c r="B96" s="299" t="s">
        <v>86</v>
      </c>
      <c r="C96" s="400">
        <v>229180</v>
      </c>
      <c r="D96" s="400">
        <v>4810</v>
      </c>
      <c r="E96" s="375">
        <f>147913+19470+45212+12470+8925</f>
        <v>233990</v>
      </c>
      <c r="F96" s="376">
        <f>49722+8974+19118+3260+4279</f>
        <v>85353</v>
      </c>
      <c r="G96" s="354" t="s">
        <v>462</v>
      </c>
      <c r="H96" s="354">
        <v>2315</v>
      </c>
    </row>
    <row r="97" spans="1:8" s="28" customFormat="1" ht="12" customHeight="1">
      <c r="A97" s="11" t="s">
        <v>70</v>
      </c>
      <c r="B97" s="300" t="s">
        <v>112</v>
      </c>
      <c r="C97" s="400">
        <v>103430</v>
      </c>
      <c r="D97" s="400">
        <v>455</v>
      </c>
      <c r="E97" s="375">
        <f>3835+100050</f>
        <v>103885</v>
      </c>
      <c r="F97" s="376">
        <f>1093+42153</f>
        <v>43246</v>
      </c>
      <c r="G97" s="354" t="s">
        <v>463</v>
      </c>
      <c r="H97" s="354">
        <v>455</v>
      </c>
    </row>
    <row r="98" spans="1:6" ht="12" customHeight="1">
      <c r="A98" s="11" t="s">
        <v>78</v>
      </c>
      <c r="B98" s="301" t="s">
        <v>113</v>
      </c>
      <c r="C98" s="400">
        <v>35190</v>
      </c>
      <c r="D98" s="400">
        <f>41789+500</f>
        <v>42289</v>
      </c>
      <c r="E98" s="375">
        <v>77479</v>
      </c>
      <c r="F98" s="376">
        <f>57720</f>
        <v>57720</v>
      </c>
    </row>
    <row r="99" spans="1:7" ht="12" customHeight="1">
      <c r="A99" s="11" t="s">
        <v>71</v>
      </c>
      <c r="B99" s="299" t="s">
        <v>278</v>
      </c>
      <c r="C99" s="400"/>
      <c r="D99" s="400">
        <v>4503</v>
      </c>
      <c r="E99" s="375">
        <v>4503</v>
      </c>
      <c r="F99" s="376">
        <v>4502</v>
      </c>
      <c r="G99" s="27" t="s">
        <v>464</v>
      </c>
    </row>
    <row r="100" spans="1:6" ht="12" customHeight="1">
      <c r="A100" s="11" t="s">
        <v>72</v>
      </c>
      <c r="B100" s="302" t="s">
        <v>279</v>
      </c>
      <c r="C100" s="400"/>
      <c r="D100" s="400"/>
      <c r="E100" s="375"/>
      <c r="F100" s="376"/>
    </row>
    <row r="101" spans="1:6" ht="12" customHeight="1">
      <c r="A101" s="11" t="s">
        <v>79</v>
      </c>
      <c r="B101" s="299" t="s">
        <v>280</v>
      </c>
      <c r="C101" s="400"/>
      <c r="D101" s="400"/>
      <c r="E101" s="375"/>
      <c r="F101" s="376"/>
    </row>
    <row r="102" spans="1:6" ht="12" customHeight="1">
      <c r="A102" s="11" t="s">
        <v>80</v>
      </c>
      <c r="B102" s="299" t="s">
        <v>281</v>
      </c>
      <c r="C102" s="400"/>
      <c r="D102" s="400"/>
      <c r="E102" s="375"/>
      <c r="F102" s="376"/>
    </row>
    <row r="103" spans="1:8" ht="12" customHeight="1">
      <c r="A103" s="11" t="s">
        <v>81</v>
      </c>
      <c r="B103" s="302" t="s">
        <v>282</v>
      </c>
      <c r="C103" s="400">
        <v>29190</v>
      </c>
      <c r="D103" s="400">
        <f>37286+500</f>
        <v>37786</v>
      </c>
      <c r="E103" s="375">
        <f>66476+500</f>
        <v>66976</v>
      </c>
      <c r="F103" s="376">
        <f>51718</f>
        <v>51718</v>
      </c>
      <c r="G103" s="27" t="s">
        <v>466</v>
      </c>
      <c r="H103" s="27">
        <v>4380</v>
      </c>
    </row>
    <row r="104" spans="1:8" ht="12" customHeight="1">
      <c r="A104" s="11" t="s">
        <v>82</v>
      </c>
      <c r="B104" s="302" t="s">
        <v>283</v>
      </c>
      <c r="C104" s="400"/>
      <c r="D104" s="400"/>
      <c r="E104" s="375"/>
      <c r="F104" s="376"/>
      <c r="G104" s="27" t="s">
        <v>465</v>
      </c>
      <c r="H104" s="27">
        <v>32906</v>
      </c>
    </row>
    <row r="105" spans="1:8" ht="12" customHeight="1">
      <c r="A105" s="11" t="s">
        <v>84</v>
      </c>
      <c r="B105" s="299" t="s">
        <v>284</v>
      </c>
      <c r="C105" s="400"/>
      <c r="D105" s="400"/>
      <c r="E105" s="375"/>
      <c r="F105" s="376"/>
      <c r="G105" s="27" t="s">
        <v>473</v>
      </c>
      <c r="H105" s="27">
        <v>500</v>
      </c>
    </row>
    <row r="106" spans="1:6" ht="12" customHeight="1">
      <c r="A106" s="10" t="s">
        <v>114</v>
      </c>
      <c r="B106" s="303" t="s">
        <v>285</v>
      </c>
      <c r="C106" s="400"/>
      <c r="D106" s="400"/>
      <c r="E106" s="375"/>
      <c r="F106" s="376"/>
    </row>
    <row r="107" spans="1:6" ht="12" customHeight="1">
      <c r="A107" s="11" t="s">
        <v>286</v>
      </c>
      <c r="B107" s="303" t="s">
        <v>441</v>
      </c>
      <c r="C107" s="400">
        <v>3000</v>
      </c>
      <c r="D107" s="400"/>
      <c r="E107" s="375">
        <v>3000</v>
      </c>
      <c r="F107" s="376">
        <v>1500</v>
      </c>
    </row>
    <row r="108" spans="1:6" ht="12" customHeight="1" thickBot="1">
      <c r="A108" s="15" t="s">
        <v>288</v>
      </c>
      <c r="B108" s="304" t="s">
        <v>289</v>
      </c>
      <c r="C108" s="401">
        <v>3000</v>
      </c>
      <c r="D108" s="401"/>
      <c r="E108" s="402">
        <v>3000</v>
      </c>
      <c r="F108" s="403"/>
    </row>
    <row r="109" spans="1:6" ht="12" customHeight="1" thickBot="1">
      <c r="A109" s="17" t="s">
        <v>6</v>
      </c>
      <c r="B109" s="22" t="s">
        <v>386</v>
      </c>
      <c r="C109" s="404">
        <f>+C110+C112+C114</f>
        <v>226106</v>
      </c>
      <c r="D109" s="404">
        <f>+D110+D112+D114</f>
        <v>28530</v>
      </c>
      <c r="E109" s="361">
        <f>+E110+E112+E114</f>
        <v>254636</v>
      </c>
      <c r="F109" s="362">
        <f>+F110+F112+F114</f>
        <v>132942</v>
      </c>
    </row>
    <row r="110" spans="1:7" ht="12" customHeight="1">
      <c r="A110" s="12" t="s">
        <v>73</v>
      </c>
      <c r="B110" s="299" t="s">
        <v>133</v>
      </c>
      <c r="C110" s="397">
        <v>38195</v>
      </c>
      <c r="D110" s="418">
        <v>16697</v>
      </c>
      <c r="E110" s="363">
        <f>52829+400+1015+394+254</f>
        <v>54892</v>
      </c>
      <c r="F110" s="374">
        <f>14466+133+167+137</f>
        <v>14903</v>
      </c>
      <c r="G110" s="27" t="s">
        <v>467</v>
      </c>
    </row>
    <row r="111" spans="1:6" ht="12" customHeight="1">
      <c r="A111" s="12" t="s">
        <v>74</v>
      </c>
      <c r="B111" s="303" t="s">
        <v>291</v>
      </c>
      <c r="C111" s="363">
        <v>36155</v>
      </c>
      <c r="D111" s="418"/>
      <c r="E111" s="363">
        <v>36155</v>
      </c>
      <c r="F111" s="374">
        <v>4013</v>
      </c>
    </row>
    <row r="112" spans="1:7" ht="12" customHeight="1">
      <c r="A112" s="12" t="s">
        <v>75</v>
      </c>
      <c r="B112" s="303" t="s">
        <v>115</v>
      </c>
      <c r="C112" s="366">
        <v>186125</v>
      </c>
      <c r="D112" s="406">
        <v>11753</v>
      </c>
      <c r="E112" s="366">
        <v>197878</v>
      </c>
      <c r="F112" s="369">
        <v>117959</v>
      </c>
      <c r="G112" s="27" t="s">
        <v>468</v>
      </c>
    </row>
    <row r="113" spans="1:6" ht="12" customHeight="1">
      <c r="A113" s="12" t="s">
        <v>76</v>
      </c>
      <c r="B113" s="303" t="s">
        <v>292</v>
      </c>
      <c r="C113" s="366">
        <v>25005</v>
      </c>
      <c r="D113" s="406">
        <v>11753</v>
      </c>
      <c r="E113" s="366">
        <v>36758</v>
      </c>
      <c r="F113" s="369">
        <v>115914</v>
      </c>
    </row>
    <row r="114" spans="1:7" ht="12" customHeight="1">
      <c r="A114" s="12" t="s">
        <v>77</v>
      </c>
      <c r="B114" s="305" t="s">
        <v>136</v>
      </c>
      <c r="C114" s="366">
        <v>1786</v>
      </c>
      <c r="D114" s="406">
        <v>80</v>
      </c>
      <c r="E114" s="366">
        <v>1866</v>
      </c>
      <c r="F114" s="369">
        <v>80</v>
      </c>
      <c r="G114" s="27" t="s">
        <v>469</v>
      </c>
    </row>
    <row r="115" spans="1:6" ht="12" customHeight="1">
      <c r="A115" s="12" t="s">
        <v>83</v>
      </c>
      <c r="B115" s="306" t="s">
        <v>384</v>
      </c>
      <c r="C115" s="366"/>
      <c r="D115" s="406"/>
      <c r="E115" s="366"/>
      <c r="F115" s="369"/>
    </row>
    <row r="116" spans="1:6" ht="15">
      <c r="A116" s="12" t="s">
        <v>85</v>
      </c>
      <c r="B116" s="296" t="s">
        <v>293</v>
      </c>
      <c r="C116" s="366"/>
      <c r="D116" s="406"/>
      <c r="E116" s="366"/>
      <c r="F116" s="369"/>
    </row>
    <row r="117" spans="1:6" ht="12" customHeight="1">
      <c r="A117" s="12" t="s">
        <v>116</v>
      </c>
      <c r="B117" s="299" t="s">
        <v>281</v>
      </c>
      <c r="C117" s="366"/>
      <c r="D117" s="406"/>
      <c r="E117" s="366"/>
      <c r="F117" s="369"/>
    </row>
    <row r="118" spans="1:6" ht="12" customHeight="1">
      <c r="A118" s="12" t="s">
        <v>117</v>
      </c>
      <c r="B118" s="299" t="s">
        <v>294</v>
      </c>
      <c r="C118" s="366"/>
      <c r="D118" s="406"/>
      <c r="E118" s="366"/>
      <c r="F118" s="369"/>
    </row>
    <row r="119" spans="1:6" ht="12" customHeight="1">
      <c r="A119" s="12" t="s">
        <v>118</v>
      </c>
      <c r="B119" s="299" t="s">
        <v>295</v>
      </c>
      <c r="C119" s="366"/>
      <c r="D119" s="406"/>
      <c r="E119" s="366"/>
      <c r="F119" s="369"/>
    </row>
    <row r="120" spans="1:6" ht="12" customHeight="1">
      <c r="A120" s="12" t="s">
        <v>296</v>
      </c>
      <c r="B120" s="299" t="s">
        <v>284</v>
      </c>
      <c r="C120" s="366"/>
      <c r="D120" s="406">
        <v>80</v>
      </c>
      <c r="E120" s="366">
        <v>80</v>
      </c>
      <c r="F120" s="369">
        <v>80</v>
      </c>
    </row>
    <row r="121" spans="1:6" ht="12" customHeight="1">
      <c r="A121" s="12" t="s">
        <v>297</v>
      </c>
      <c r="B121" s="299" t="s">
        <v>298</v>
      </c>
      <c r="C121" s="366"/>
      <c r="D121" s="406"/>
      <c r="E121" s="366"/>
      <c r="F121" s="369"/>
    </row>
    <row r="122" spans="1:6" ht="12" customHeight="1" thickBot="1">
      <c r="A122" s="10" t="s">
        <v>299</v>
      </c>
      <c r="B122" s="299" t="s">
        <v>300</v>
      </c>
      <c r="C122" s="402">
        <v>1786</v>
      </c>
      <c r="D122" s="407"/>
      <c r="E122" s="375">
        <v>1786</v>
      </c>
      <c r="F122" s="376"/>
    </row>
    <row r="123" spans="1:6" ht="12" customHeight="1" thickBot="1">
      <c r="A123" s="17" t="s">
        <v>7</v>
      </c>
      <c r="B123" s="55" t="s">
        <v>301</v>
      </c>
      <c r="C123" s="404">
        <f>+C124+C125</f>
        <v>173053</v>
      </c>
      <c r="D123" s="404">
        <f>+D124+D125</f>
        <v>84520</v>
      </c>
      <c r="E123" s="361">
        <f>+E124+E125</f>
        <v>257573</v>
      </c>
      <c r="F123" s="362">
        <f>+F124+F125</f>
        <v>0</v>
      </c>
    </row>
    <row r="124" spans="1:6" ht="12" customHeight="1">
      <c r="A124" s="12" t="s">
        <v>56</v>
      </c>
      <c r="B124" s="296" t="s">
        <v>43</v>
      </c>
      <c r="C124" s="405">
        <v>37221</v>
      </c>
      <c r="D124" s="405">
        <f>86753-1733-500</f>
        <v>84520</v>
      </c>
      <c r="E124" s="363">
        <v>121741</v>
      </c>
      <c r="F124" s="374"/>
    </row>
    <row r="125" spans="1:6" ht="12" customHeight="1" thickBot="1">
      <c r="A125" s="13" t="s">
        <v>57</v>
      </c>
      <c r="B125" s="303" t="s">
        <v>44</v>
      </c>
      <c r="C125" s="400">
        <v>135832</v>
      </c>
      <c r="D125" s="400"/>
      <c r="E125" s="375">
        <v>135832</v>
      </c>
      <c r="F125" s="376"/>
    </row>
    <row r="126" spans="1:6" ht="12" customHeight="1" thickBot="1">
      <c r="A126" s="17" t="s">
        <v>8</v>
      </c>
      <c r="B126" s="55" t="s">
        <v>302</v>
      </c>
      <c r="C126" s="404">
        <f>+C93+C109+C123</f>
        <v>1086999</v>
      </c>
      <c r="D126" s="404">
        <f>+D93+D109+D123</f>
        <v>168401</v>
      </c>
      <c r="E126" s="361">
        <f>+E93+E109+E123</f>
        <v>1255400</v>
      </c>
      <c r="F126" s="362">
        <f>+F93+F109+F123</f>
        <v>458968</v>
      </c>
    </row>
    <row r="127" spans="1:6" ht="12" customHeight="1" thickBot="1">
      <c r="A127" s="17" t="s">
        <v>9</v>
      </c>
      <c r="B127" s="55" t="s">
        <v>303</v>
      </c>
      <c r="C127" s="404">
        <f>+C128+C129+C130</f>
        <v>0</v>
      </c>
      <c r="D127" s="404"/>
      <c r="E127" s="361">
        <f>+E128+E129+E130</f>
        <v>0</v>
      </c>
      <c r="F127" s="362">
        <f>+F128+F129+F130</f>
        <v>0</v>
      </c>
    </row>
    <row r="128" spans="1:6" ht="12" customHeight="1">
      <c r="A128" s="12" t="s">
        <v>60</v>
      </c>
      <c r="B128" s="296" t="s">
        <v>371</v>
      </c>
      <c r="C128" s="397"/>
      <c r="D128" s="406"/>
      <c r="E128" s="366"/>
      <c r="F128" s="369"/>
    </row>
    <row r="129" spans="1:6" ht="12" customHeight="1">
      <c r="A129" s="12" t="s">
        <v>61</v>
      </c>
      <c r="B129" s="296" t="s">
        <v>372</v>
      </c>
      <c r="C129" s="366"/>
      <c r="D129" s="406"/>
      <c r="E129" s="366"/>
      <c r="F129" s="369"/>
    </row>
    <row r="130" spans="1:6" ht="12" customHeight="1" thickBot="1">
      <c r="A130" s="10" t="s">
        <v>62</v>
      </c>
      <c r="B130" s="307" t="s">
        <v>373</v>
      </c>
      <c r="C130" s="366"/>
      <c r="D130" s="406"/>
      <c r="E130" s="366"/>
      <c r="F130" s="369"/>
    </row>
    <row r="131" spans="1:6" ht="12" customHeight="1" thickBot="1">
      <c r="A131" s="17" t="s">
        <v>10</v>
      </c>
      <c r="B131" s="55" t="s">
        <v>307</v>
      </c>
      <c r="C131" s="361">
        <f>+C132+C133+C134+C135</f>
        <v>0</v>
      </c>
      <c r="D131" s="361">
        <f>+D132+D133+D134+D135</f>
        <v>29</v>
      </c>
      <c r="E131" s="361">
        <f>+E132+E133+E134+E135</f>
        <v>29</v>
      </c>
      <c r="F131" s="362">
        <f>+F132+F133+F134+F135</f>
        <v>29</v>
      </c>
    </row>
    <row r="132" spans="1:6" ht="12" customHeight="1">
      <c r="A132" s="12" t="s">
        <v>63</v>
      </c>
      <c r="B132" s="296" t="s">
        <v>374</v>
      </c>
      <c r="C132" s="366"/>
      <c r="D132" s="406"/>
      <c r="E132" s="366"/>
      <c r="F132" s="369"/>
    </row>
    <row r="133" spans="1:6" ht="12" customHeight="1">
      <c r="A133" s="12" t="s">
        <v>64</v>
      </c>
      <c r="B133" s="296" t="s">
        <v>375</v>
      </c>
      <c r="C133" s="366"/>
      <c r="D133" s="406"/>
      <c r="E133" s="366"/>
      <c r="F133" s="369"/>
    </row>
    <row r="134" spans="1:7" ht="12" customHeight="1">
      <c r="A134" s="12" t="s">
        <v>211</v>
      </c>
      <c r="B134" s="296" t="s">
        <v>376</v>
      </c>
      <c r="C134" s="366"/>
      <c r="D134" s="406">
        <v>29</v>
      </c>
      <c r="E134" s="366">
        <v>29</v>
      </c>
      <c r="F134" s="369">
        <v>29</v>
      </c>
      <c r="G134" s="429" t="s">
        <v>470</v>
      </c>
    </row>
    <row r="135" spans="1:6" ht="12" customHeight="1" thickBot="1">
      <c r="A135" s="10" t="s">
        <v>213</v>
      </c>
      <c r="B135" s="307" t="s">
        <v>377</v>
      </c>
      <c r="C135" s="366"/>
      <c r="D135" s="406"/>
      <c r="E135" s="366"/>
      <c r="F135" s="369"/>
    </row>
    <row r="136" spans="1:6" ht="12" customHeight="1" thickBot="1">
      <c r="A136" s="17" t="s">
        <v>11</v>
      </c>
      <c r="B136" s="55" t="s">
        <v>312</v>
      </c>
      <c r="C136" s="377">
        <f>+C137+C138+C139+C140</f>
        <v>0</v>
      </c>
      <c r="D136" s="419"/>
      <c r="E136" s="377">
        <f>+E137+E138+E139+E140</f>
        <v>0</v>
      </c>
      <c r="F136" s="378">
        <f>+F137+F138+F139+F140</f>
        <v>0</v>
      </c>
    </row>
    <row r="137" spans="1:6" ht="12" customHeight="1">
      <c r="A137" s="12" t="s">
        <v>65</v>
      </c>
      <c r="B137" s="296" t="s">
        <v>313</v>
      </c>
      <c r="C137" s="366"/>
      <c r="D137" s="406"/>
      <c r="E137" s="366"/>
      <c r="F137" s="369"/>
    </row>
    <row r="138" spans="1:6" ht="12" customHeight="1">
      <c r="A138" s="12" t="s">
        <v>66</v>
      </c>
      <c r="B138" s="296" t="s">
        <v>314</v>
      </c>
      <c r="C138" s="366"/>
      <c r="D138" s="406"/>
      <c r="E138" s="366"/>
      <c r="F138" s="369"/>
    </row>
    <row r="139" spans="1:6" ht="12" customHeight="1">
      <c r="A139" s="12" t="s">
        <v>220</v>
      </c>
      <c r="B139" s="296" t="s">
        <v>378</v>
      </c>
      <c r="C139" s="366"/>
      <c r="D139" s="406"/>
      <c r="E139" s="366"/>
      <c r="F139" s="369"/>
    </row>
    <row r="140" spans="1:6" ht="12" customHeight="1" thickBot="1">
      <c r="A140" s="10" t="s">
        <v>222</v>
      </c>
      <c r="B140" s="307" t="s">
        <v>358</v>
      </c>
      <c r="C140" s="366"/>
      <c r="D140" s="406"/>
      <c r="E140" s="366"/>
      <c r="F140" s="369"/>
    </row>
    <row r="141" spans="1:6" ht="12" customHeight="1" thickBot="1">
      <c r="A141" s="17" t="s">
        <v>12</v>
      </c>
      <c r="B141" s="55" t="s">
        <v>317</v>
      </c>
      <c r="C141" s="408">
        <f>+C142+C143+C144+C145</f>
        <v>0</v>
      </c>
      <c r="D141" s="420"/>
      <c r="E141" s="408">
        <f>+E142+E143+E144+E145</f>
        <v>0</v>
      </c>
      <c r="F141" s="409">
        <f>+F142+F143+F144+F145</f>
        <v>0</v>
      </c>
    </row>
    <row r="142" spans="1:6" ht="12" customHeight="1">
      <c r="A142" s="12" t="s">
        <v>109</v>
      </c>
      <c r="B142" s="296" t="s">
        <v>318</v>
      </c>
      <c r="C142" s="366"/>
      <c r="D142" s="406"/>
      <c r="E142" s="366"/>
      <c r="F142" s="369"/>
    </row>
    <row r="143" spans="1:6" ht="12" customHeight="1">
      <c r="A143" s="12" t="s">
        <v>110</v>
      </c>
      <c r="B143" s="296" t="s">
        <v>319</v>
      </c>
      <c r="C143" s="366"/>
      <c r="D143" s="406"/>
      <c r="E143" s="366"/>
      <c r="F143" s="369"/>
    </row>
    <row r="144" spans="1:6" ht="12" customHeight="1">
      <c r="A144" s="12" t="s">
        <v>135</v>
      </c>
      <c r="B144" s="296" t="s">
        <v>320</v>
      </c>
      <c r="C144" s="366"/>
      <c r="D144" s="406"/>
      <c r="E144" s="366"/>
      <c r="F144" s="369"/>
    </row>
    <row r="145" spans="1:6" ht="12" customHeight="1" thickBot="1">
      <c r="A145" s="12" t="s">
        <v>228</v>
      </c>
      <c r="B145" s="296" t="s">
        <v>321</v>
      </c>
      <c r="C145" s="366"/>
      <c r="D145" s="406"/>
      <c r="E145" s="366"/>
      <c r="F145" s="369"/>
    </row>
    <row r="146" spans="1:6" ht="12" customHeight="1" thickBot="1">
      <c r="A146" s="17" t="s">
        <v>13</v>
      </c>
      <c r="B146" s="55" t="s">
        <v>322</v>
      </c>
      <c r="C146" s="411">
        <f>+C127+C131+C136+C141</f>
        <v>0</v>
      </c>
      <c r="D146" s="411">
        <f>+D127+D131+D136+D141</f>
        <v>29</v>
      </c>
      <c r="E146" s="411">
        <f>+E127+E131+E136+E141</f>
        <v>29</v>
      </c>
      <c r="F146" s="412">
        <f>+F127+F131+F136+F141</f>
        <v>29</v>
      </c>
    </row>
    <row r="147" spans="1:6" ht="12" customHeight="1" thickBot="1">
      <c r="A147" s="94" t="s">
        <v>14</v>
      </c>
      <c r="B147" s="297" t="s">
        <v>323</v>
      </c>
      <c r="C147" s="410">
        <f>+C126+C146</f>
        <v>1086999</v>
      </c>
      <c r="D147" s="410">
        <f>+D126+D146</f>
        <v>168430</v>
      </c>
      <c r="E147" s="411">
        <f>+E126+E146</f>
        <v>1255429</v>
      </c>
      <c r="F147" s="412">
        <f>+F126+F146</f>
        <v>458997</v>
      </c>
    </row>
    <row r="148" spans="3:4" ht="12" customHeight="1">
      <c r="C148" s="413"/>
      <c r="D148" s="413"/>
    </row>
    <row r="149" spans="1:6" ht="18" customHeight="1">
      <c r="A149" s="437" t="s">
        <v>326</v>
      </c>
      <c r="B149" s="437"/>
      <c r="C149" s="437"/>
      <c r="D149" s="437"/>
      <c r="E149" s="437"/>
      <c r="F149" s="437"/>
    </row>
    <row r="150" spans="1:8" ht="12" customHeight="1" thickBot="1">
      <c r="A150" s="436" t="s">
        <v>92</v>
      </c>
      <c r="B150" s="436"/>
      <c r="C150" s="356"/>
      <c r="D150" s="356"/>
      <c r="E150" s="356"/>
      <c r="F150" s="357" t="s">
        <v>134</v>
      </c>
      <c r="G150" s="156"/>
      <c r="H150" s="156"/>
    </row>
    <row r="151" spans="1:8" ht="12" customHeight="1" thickBot="1">
      <c r="A151" s="17">
        <v>1</v>
      </c>
      <c r="B151" s="22" t="s">
        <v>327</v>
      </c>
      <c r="C151" s="414">
        <f>+C62-C126</f>
        <v>-379680</v>
      </c>
      <c r="D151" s="414"/>
      <c r="E151" s="414">
        <f>+E62-E126</f>
        <v>-379616</v>
      </c>
      <c r="F151" s="415">
        <f>+F62-F126</f>
        <v>19106</v>
      </c>
      <c r="G151" s="156"/>
      <c r="H151" s="156"/>
    </row>
    <row r="152" spans="1:8" ht="12" customHeight="1" thickBot="1">
      <c r="A152" s="17" t="s">
        <v>6</v>
      </c>
      <c r="B152" s="22" t="s">
        <v>328</v>
      </c>
      <c r="C152" s="414">
        <f>+C85-C146</f>
        <v>379680</v>
      </c>
      <c r="D152" s="414"/>
      <c r="E152" s="414">
        <f>+E85-E146</f>
        <v>379616</v>
      </c>
      <c r="F152" s="415">
        <f>+F85-F146</f>
        <v>379616</v>
      </c>
      <c r="G152" s="156"/>
      <c r="H152" s="156"/>
    </row>
    <row r="153" spans="2:7" ht="15" customHeight="1">
      <c r="B153" s="156">
        <v>2</v>
      </c>
      <c r="C153" s="416"/>
      <c r="D153" s="416"/>
      <c r="E153" s="416"/>
      <c r="F153" s="416"/>
      <c r="G153" s="53"/>
    </row>
    <row r="154" spans="3:6" s="1" customFormat="1" ht="12.75" customHeight="1">
      <c r="C154" s="417"/>
      <c r="D154" s="417"/>
      <c r="E154" s="417"/>
      <c r="F154" s="417"/>
    </row>
    <row r="155" spans="3:4" ht="15">
      <c r="C155" s="413"/>
      <c r="D155" s="413"/>
    </row>
    <row r="156" spans="3:4" ht="15">
      <c r="C156" s="413"/>
      <c r="D156" s="413"/>
    </row>
    <row r="157" spans="3:4" ht="15">
      <c r="C157" s="413"/>
      <c r="D157" s="413"/>
    </row>
    <row r="158" spans="3:4" ht="16.5" customHeight="1">
      <c r="C158" s="413"/>
      <c r="D158" s="413"/>
    </row>
    <row r="159" spans="3:4" ht="15">
      <c r="C159" s="413"/>
      <c r="D159" s="413"/>
    </row>
    <row r="160" spans="3:4" ht="15">
      <c r="C160" s="413"/>
      <c r="D160" s="413"/>
    </row>
    <row r="161" spans="3:4" ht="15">
      <c r="C161" s="413"/>
      <c r="D161" s="413"/>
    </row>
    <row r="162" spans="3:4" ht="15">
      <c r="C162" s="413"/>
      <c r="D162" s="413"/>
    </row>
    <row r="163" spans="3:4" ht="15">
      <c r="C163" s="413"/>
      <c r="D163" s="413"/>
    </row>
    <row r="164" spans="3:8" s="156" customFormat="1" ht="15">
      <c r="C164" s="413"/>
      <c r="D164" s="413"/>
      <c r="E164" s="413"/>
      <c r="F164" s="413"/>
      <c r="G164" s="27"/>
      <c r="H164" s="27"/>
    </row>
    <row r="165" spans="3:8" s="156" customFormat="1" ht="15">
      <c r="C165" s="413"/>
      <c r="D165" s="413"/>
      <c r="E165" s="413"/>
      <c r="F165" s="413"/>
      <c r="G165" s="27"/>
      <c r="H165" s="27"/>
    </row>
    <row r="166" spans="3:8" s="156" customFormat="1" ht="15">
      <c r="C166" s="413"/>
      <c r="D166" s="413"/>
      <c r="E166" s="413"/>
      <c r="F166" s="413"/>
      <c r="G166" s="27"/>
      <c r="H166" s="27"/>
    </row>
    <row r="167" spans="3:8" s="156" customFormat="1" ht="15">
      <c r="C167" s="413"/>
      <c r="D167" s="413"/>
      <c r="E167" s="413"/>
      <c r="F167" s="413"/>
      <c r="G167" s="27"/>
      <c r="H167" s="27"/>
    </row>
  </sheetData>
  <sheetProtection/>
  <mergeCells count="12">
    <mergeCell ref="B3:B4"/>
    <mergeCell ref="C3:F3"/>
    <mergeCell ref="A90:A91"/>
    <mergeCell ref="B90:B91"/>
    <mergeCell ref="C90:F90"/>
    <mergeCell ref="A150:B150"/>
    <mergeCell ref="A149:F149"/>
    <mergeCell ref="A1:F1"/>
    <mergeCell ref="A2:B2"/>
    <mergeCell ref="A88:F88"/>
    <mergeCell ref="A89:B89"/>
    <mergeCell ref="A3:A4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3"/>
  <headerFooter>
    <oddHeader>&amp;C&amp;"Times New Roman CE,Félkövér"&amp;12&amp;U
Borsodnádasd Önkormányzat
2014. ÉVI KÖLTSÉGVETÉSÉNEK ÖSSZEVONT MÉRLEGE
&amp;R&amp;"Times New Roman CE,Félkövér dőlt"&amp;11 1.1. melléklet  1/2014.(II.7.) önkormányzati rendelethez</oddHeader>
  </headerFooter>
  <rowBreaks count="1" manualBreakCount="1">
    <brk id="87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L149"/>
  <sheetViews>
    <sheetView view="pageLayout" zoomScaleSheetLayoutView="100" workbookViewId="0" topLeftCell="A1">
      <selection activeCell="B2" sqref="B2:E2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129</v>
      </c>
      <c r="C2" s="458"/>
      <c r="D2" s="458"/>
      <c r="E2" s="459"/>
      <c r="F2" s="151" t="s">
        <v>36</v>
      </c>
    </row>
    <row r="3" spans="1:6" s="45" customFormat="1" ht="23.25" thickBot="1">
      <c r="A3" s="252" t="s">
        <v>127</v>
      </c>
      <c r="B3" s="460" t="s">
        <v>368</v>
      </c>
      <c r="C3" s="461"/>
      <c r="D3" s="461"/>
      <c r="E3" s="462"/>
      <c r="F3" s="270" t="s">
        <v>36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64" t="s">
        <v>471</v>
      </c>
      <c r="E5" s="75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308" t="s">
        <v>161</v>
      </c>
      <c r="C8" s="96">
        <f>+C9+C10+C11+C13+C14+C15+C12</f>
        <v>393464</v>
      </c>
      <c r="D8" s="96">
        <f>+D9+D10+D11+D13+D14+D15+D12</f>
        <v>-50360</v>
      </c>
      <c r="E8" s="96">
        <f>+E9+E10+E11+E13+E14+E15+E12</f>
        <v>343104</v>
      </c>
      <c r="F8" s="96">
        <f>+F9+F10+F11+F13+F14+F15+F12</f>
        <v>172660</v>
      </c>
    </row>
    <row r="9" spans="1:6" s="47" customFormat="1" ht="12" customHeight="1">
      <c r="A9" s="253" t="s">
        <v>67</v>
      </c>
      <c r="B9" s="309" t="s">
        <v>162</v>
      </c>
      <c r="C9" s="99">
        <v>99406</v>
      </c>
      <c r="D9" s="99">
        <v>-1633</v>
      </c>
      <c r="E9" s="99">
        <f>99406-1633</f>
        <v>97773</v>
      </c>
      <c r="F9" s="99">
        <f>51691-849-122</f>
        <v>50720</v>
      </c>
    </row>
    <row r="10" spans="1:6" s="48" customFormat="1" ht="12" customHeight="1">
      <c r="A10" s="254" t="s">
        <v>68</v>
      </c>
      <c r="B10" s="306" t="s">
        <v>163</v>
      </c>
      <c r="C10" s="98">
        <v>43005</v>
      </c>
      <c r="D10" s="98"/>
      <c r="E10" s="98">
        <v>43005</v>
      </c>
      <c r="F10" s="98">
        <v>21655</v>
      </c>
    </row>
    <row r="11" spans="1:6" s="48" customFormat="1" ht="12" customHeight="1">
      <c r="A11" s="254" t="s">
        <v>69</v>
      </c>
      <c r="B11" s="306" t="s">
        <v>164</v>
      </c>
      <c r="C11" s="98">
        <v>71830</v>
      </c>
      <c r="D11" s="98"/>
      <c r="E11" s="98">
        <f>24144+47686</f>
        <v>71830</v>
      </c>
      <c r="F11" s="98">
        <f>24797+12555</f>
        <v>37352</v>
      </c>
    </row>
    <row r="12" spans="1:6" s="48" customFormat="1" ht="12" customHeight="1">
      <c r="A12" s="254" t="s">
        <v>428</v>
      </c>
      <c r="B12" s="306" t="s">
        <v>429</v>
      </c>
      <c r="C12" s="98">
        <v>75235</v>
      </c>
      <c r="D12" s="98">
        <v>-35042</v>
      </c>
      <c r="E12" s="98">
        <f>75235-35042</f>
        <v>40193</v>
      </c>
      <c r="F12" s="98">
        <v>40193</v>
      </c>
    </row>
    <row r="13" spans="1:6" s="48" customFormat="1" ht="12" customHeight="1">
      <c r="A13" s="254" t="s">
        <v>70</v>
      </c>
      <c r="B13" s="306" t="s">
        <v>165</v>
      </c>
      <c r="C13" s="98">
        <v>3765</v>
      </c>
      <c r="D13" s="98"/>
      <c r="E13" s="98">
        <v>3765</v>
      </c>
      <c r="F13" s="98">
        <v>1958</v>
      </c>
    </row>
    <row r="14" spans="1:6" s="48" customFormat="1" ht="12" customHeight="1">
      <c r="A14" s="254" t="s">
        <v>87</v>
      </c>
      <c r="B14" s="306" t="s">
        <v>166</v>
      </c>
      <c r="C14" s="263"/>
      <c r="D14" s="263">
        <v>21567</v>
      </c>
      <c r="E14" s="263">
        <v>21567</v>
      </c>
      <c r="F14" s="263">
        <f>849+19933</f>
        <v>20782</v>
      </c>
    </row>
    <row r="15" spans="1:6" s="47" customFormat="1" ht="12" customHeight="1" thickBot="1">
      <c r="A15" s="255" t="s">
        <v>71</v>
      </c>
      <c r="B15" s="305" t="s">
        <v>167</v>
      </c>
      <c r="C15" s="264">
        <v>100223</v>
      </c>
      <c r="D15" s="264">
        <v>-35252</v>
      </c>
      <c r="E15" s="264">
        <v>64971</v>
      </c>
      <c r="F15" s="264"/>
    </row>
    <row r="16" spans="1:6" s="47" customFormat="1" ht="14.25" thickBot="1">
      <c r="A16" s="24" t="s">
        <v>6</v>
      </c>
      <c r="B16" s="310" t="s">
        <v>168</v>
      </c>
      <c r="C16" s="96">
        <f>+C17+C18+C19+C20+C21</f>
        <v>174665</v>
      </c>
      <c r="D16" s="96">
        <f>+D17+D18+D19+D20+D21</f>
        <v>2175</v>
      </c>
      <c r="E16" s="96">
        <f>+E17+E18+E19+E20+E21</f>
        <v>176840</v>
      </c>
      <c r="F16" s="96">
        <f>+F17+F18+F19+F20+F21</f>
        <v>84063</v>
      </c>
    </row>
    <row r="17" spans="1:6" s="47" customFormat="1" ht="12" customHeight="1">
      <c r="A17" s="253" t="s">
        <v>73</v>
      </c>
      <c r="B17" s="309" t="s">
        <v>169</v>
      </c>
      <c r="C17" s="99"/>
      <c r="D17" s="99"/>
      <c r="E17" s="99"/>
      <c r="F17" s="99"/>
    </row>
    <row r="18" spans="1:6" s="47" customFormat="1" ht="12" customHeight="1">
      <c r="A18" s="254" t="s">
        <v>74</v>
      </c>
      <c r="B18" s="306" t="s">
        <v>170</v>
      </c>
      <c r="C18" s="98"/>
      <c r="D18" s="98"/>
      <c r="E18" s="98"/>
      <c r="F18" s="98"/>
    </row>
    <row r="19" spans="1:6" s="47" customFormat="1" ht="12" customHeight="1">
      <c r="A19" s="254" t="s">
        <v>75</v>
      </c>
      <c r="B19" s="306" t="s">
        <v>171</v>
      </c>
      <c r="C19" s="98"/>
      <c r="D19" s="98"/>
      <c r="E19" s="98"/>
      <c r="F19" s="98"/>
    </row>
    <row r="20" spans="1:6" s="47" customFormat="1" ht="12" customHeight="1">
      <c r="A20" s="254" t="s">
        <v>76</v>
      </c>
      <c r="B20" s="306" t="s">
        <v>172</v>
      </c>
      <c r="C20" s="98"/>
      <c r="D20" s="98"/>
      <c r="E20" s="98"/>
      <c r="F20" s="98"/>
    </row>
    <row r="21" spans="1:6" s="47" customFormat="1" ht="12" customHeight="1">
      <c r="A21" s="254" t="s">
        <v>77</v>
      </c>
      <c r="B21" s="306" t="s">
        <v>173</v>
      </c>
      <c r="C21" s="98">
        <v>174665</v>
      </c>
      <c r="D21" s="98">
        <v>2175</v>
      </c>
      <c r="E21" s="98">
        <v>176840</v>
      </c>
      <c r="F21" s="98">
        <v>84063</v>
      </c>
    </row>
    <row r="22" spans="1:6" s="48" customFormat="1" ht="12" customHeight="1" thickBot="1">
      <c r="A22" s="255" t="s">
        <v>83</v>
      </c>
      <c r="B22" s="305" t="s">
        <v>174</v>
      </c>
      <c r="C22" s="100">
        <v>9630</v>
      </c>
      <c r="D22" s="100"/>
      <c r="E22" s="100">
        <v>9630</v>
      </c>
      <c r="F22" s="100"/>
    </row>
    <row r="23" spans="1:6" s="48" customFormat="1" ht="12" customHeight="1" thickBot="1">
      <c r="A23" s="24" t="s">
        <v>7</v>
      </c>
      <c r="B23" s="308" t="s">
        <v>175</v>
      </c>
      <c r="C23" s="96">
        <f>+C24+C25+C26+C27+C28</f>
        <v>46250</v>
      </c>
      <c r="D23" s="96">
        <f>+D24+D25+D26+D27+D28</f>
        <v>144472</v>
      </c>
      <c r="E23" s="96">
        <f>+E24+E25+E26+E27+E28</f>
        <v>190722</v>
      </c>
      <c r="F23" s="96">
        <f>+F24+F25+F26+F27+F28</f>
        <v>145229</v>
      </c>
    </row>
    <row r="24" spans="1:6" s="48" customFormat="1" ht="12" customHeight="1">
      <c r="A24" s="253" t="s">
        <v>56</v>
      </c>
      <c r="B24" s="309" t="s">
        <v>176</v>
      </c>
      <c r="C24" s="99"/>
      <c r="D24" s="99">
        <v>1737</v>
      </c>
      <c r="E24" s="99">
        <v>1737</v>
      </c>
      <c r="F24" s="99">
        <v>1737</v>
      </c>
    </row>
    <row r="25" spans="1:6" s="47" customFormat="1" ht="12" customHeight="1">
      <c r="A25" s="254" t="s">
        <v>57</v>
      </c>
      <c r="B25" s="306" t="s">
        <v>177</v>
      </c>
      <c r="C25" s="98"/>
      <c r="D25" s="98"/>
      <c r="E25" s="98"/>
      <c r="F25" s="98"/>
    </row>
    <row r="26" spans="1:6" s="47" customFormat="1" ht="12" customHeight="1">
      <c r="A26" s="254" t="s">
        <v>58</v>
      </c>
      <c r="B26" s="306" t="s">
        <v>178</v>
      </c>
      <c r="C26" s="98"/>
      <c r="D26" s="98"/>
      <c r="E26" s="98"/>
      <c r="F26" s="98"/>
    </row>
    <row r="27" spans="1:6" s="47" customFormat="1" ht="12" customHeight="1">
      <c r="A27" s="254" t="s">
        <v>59</v>
      </c>
      <c r="B27" s="306" t="s">
        <v>179</v>
      </c>
      <c r="C27" s="98"/>
      <c r="D27" s="98"/>
      <c r="E27" s="98"/>
      <c r="F27" s="98"/>
    </row>
    <row r="28" spans="1:6" s="47" customFormat="1" ht="12" customHeight="1">
      <c r="A28" s="254" t="s">
        <v>99</v>
      </c>
      <c r="B28" s="306" t="s">
        <v>180</v>
      </c>
      <c r="C28" s="98">
        <v>46250</v>
      </c>
      <c r="D28" s="98">
        <v>142735</v>
      </c>
      <c r="E28" s="98">
        <v>188985</v>
      </c>
      <c r="F28" s="98">
        <v>143492</v>
      </c>
    </row>
    <row r="29" spans="1:6" s="47" customFormat="1" ht="12" customHeight="1" thickBot="1">
      <c r="A29" s="255" t="s">
        <v>100</v>
      </c>
      <c r="B29" s="305" t="s">
        <v>181</v>
      </c>
      <c r="C29" s="100">
        <v>46250</v>
      </c>
      <c r="D29" s="100">
        <v>142735</v>
      </c>
      <c r="E29" s="100">
        <v>188985</v>
      </c>
      <c r="F29" s="100">
        <v>143492</v>
      </c>
    </row>
    <row r="30" spans="1:6" s="47" customFormat="1" ht="12" customHeight="1" thickBot="1">
      <c r="A30" s="24" t="s">
        <v>101</v>
      </c>
      <c r="B30" s="308" t="s">
        <v>182</v>
      </c>
      <c r="C30" s="102">
        <f>+C31+C34+C35+C36</f>
        <v>45200</v>
      </c>
      <c r="D30" s="102">
        <f>+D31+D34+D35+D36</f>
        <v>26763</v>
      </c>
      <c r="E30" s="102">
        <f>+E31+E34+E35+E36</f>
        <v>71963</v>
      </c>
      <c r="F30" s="102">
        <f>+F31+F34+F35+F36</f>
        <v>28887</v>
      </c>
    </row>
    <row r="31" spans="1:6" s="47" customFormat="1" ht="12" customHeight="1">
      <c r="A31" s="253" t="s">
        <v>183</v>
      </c>
      <c r="B31" s="309" t="s">
        <v>184</v>
      </c>
      <c r="C31" s="256">
        <f>+C32+C33</f>
        <v>40000</v>
      </c>
      <c r="D31" s="256">
        <f>+D32+D33</f>
        <v>14524</v>
      </c>
      <c r="E31" s="256">
        <f>+E32+E33</f>
        <v>54524</v>
      </c>
      <c r="F31" s="256">
        <f>+F32+F33</f>
        <v>26625</v>
      </c>
    </row>
    <row r="32" spans="1:6" s="47" customFormat="1" ht="12" customHeight="1">
      <c r="A32" s="254" t="s">
        <v>185</v>
      </c>
      <c r="B32" s="306" t="s">
        <v>186</v>
      </c>
      <c r="C32" s="98">
        <v>40000</v>
      </c>
      <c r="D32" s="98">
        <v>14524</v>
      </c>
      <c r="E32" s="98">
        <v>54524</v>
      </c>
      <c r="F32" s="98">
        <v>26625</v>
      </c>
    </row>
    <row r="33" spans="1:6" s="47" customFormat="1" ht="12" customHeight="1">
      <c r="A33" s="254" t="s">
        <v>187</v>
      </c>
      <c r="B33" s="306" t="s">
        <v>188</v>
      </c>
      <c r="C33" s="98"/>
      <c r="D33" s="98"/>
      <c r="E33" s="98"/>
      <c r="F33" s="98"/>
    </row>
    <row r="34" spans="1:6" s="47" customFormat="1" ht="12" customHeight="1">
      <c r="A34" s="254" t="s">
        <v>189</v>
      </c>
      <c r="B34" s="306" t="s">
        <v>190</v>
      </c>
      <c r="C34" s="98">
        <v>4800</v>
      </c>
      <c r="D34" s="98">
        <v>4561</v>
      </c>
      <c r="E34" s="98">
        <v>9361</v>
      </c>
      <c r="F34" s="98">
        <v>2014</v>
      </c>
    </row>
    <row r="35" spans="1:6" s="47" customFormat="1" ht="12" customHeight="1">
      <c r="A35" s="254" t="s">
        <v>191</v>
      </c>
      <c r="B35" s="306" t="s">
        <v>192</v>
      </c>
      <c r="C35" s="98"/>
      <c r="D35" s="98"/>
      <c r="E35" s="98"/>
      <c r="F35" s="98"/>
    </row>
    <row r="36" spans="1:6" s="47" customFormat="1" ht="12" customHeight="1" thickBot="1">
      <c r="A36" s="255" t="s">
        <v>193</v>
      </c>
      <c r="B36" s="305" t="s">
        <v>194</v>
      </c>
      <c r="C36" s="100">
        <v>400</v>
      </c>
      <c r="D36" s="100">
        <v>7678</v>
      </c>
      <c r="E36" s="100">
        <v>8078</v>
      </c>
      <c r="F36" s="100">
        <v>248</v>
      </c>
    </row>
    <row r="37" spans="1:6" s="47" customFormat="1" ht="12" customHeight="1" thickBot="1">
      <c r="A37" s="24" t="s">
        <v>9</v>
      </c>
      <c r="B37" s="308" t="s">
        <v>195</v>
      </c>
      <c r="C37" s="96">
        <f>SUM(C38:C47)</f>
        <v>29925</v>
      </c>
      <c r="D37" s="96">
        <f>SUM(D38:D47)</f>
        <v>29450</v>
      </c>
      <c r="E37" s="96">
        <f>SUM(E38:E47)</f>
        <v>59375</v>
      </c>
      <c r="F37" s="96">
        <f>SUM(F38:F47)</f>
        <v>31475</v>
      </c>
    </row>
    <row r="38" spans="1:6" s="47" customFormat="1" ht="12" customHeight="1">
      <c r="A38" s="253" t="s">
        <v>60</v>
      </c>
      <c r="B38" s="309" t="s">
        <v>196</v>
      </c>
      <c r="C38" s="99"/>
      <c r="D38" s="99">
        <v>16</v>
      </c>
      <c r="E38" s="99">
        <v>16</v>
      </c>
      <c r="F38" s="99">
        <v>15</v>
      </c>
    </row>
    <row r="39" spans="1:6" s="47" customFormat="1" ht="12" customHeight="1">
      <c r="A39" s="254" t="s">
        <v>61</v>
      </c>
      <c r="B39" s="306" t="s">
        <v>197</v>
      </c>
      <c r="C39" s="98">
        <v>8995</v>
      </c>
      <c r="D39" s="98">
        <v>25787</v>
      </c>
      <c r="E39" s="98">
        <f>38282-E41</f>
        <v>34782</v>
      </c>
      <c r="F39" s="98">
        <f>22772-F41</f>
        <v>19547</v>
      </c>
    </row>
    <row r="40" spans="1:6" s="47" customFormat="1" ht="12" customHeight="1">
      <c r="A40" s="254" t="s">
        <v>62</v>
      </c>
      <c r="B40" s="306" t="s">
        <v>198</v>
      </c>
      <c r="C40" s="98"/>
      <c r="D40" s="98"/>
      <c r="E40" s="98"/>
      <c r="F40" s="98"/>
    </row>
    <row r="41" spans="1:6" s="47" customFormat="1" ht="12" customHeight="1">
      <c r="A41" s="254" t="s">
        <v>103</v>
      </c>
      <c r="B41" s="306" t="s">
        <v>199</v>
      </c>
      <c r="C41" s="98">
        <v>3500</v>
      </c>
      <c r="D41" s="98"/>
      <c r="E41" s="98">
        <v>3500</v>
      </c>
      <c r="F41" s="98">
        <v>3225</v>
      </c>
    </row>
    <row r="42" spans="1:6" s="47" customFormat="1" ht="12" customHeight="1">
      <c r="A42" s="254" t="s">
        <v>104</v>
      </c>
      <c r="B42" s="306" t="s">
        <v>200</v>
      </c>
      <c r="C42" s="98"/>
      <c r="D42" s="98"/>
      <c r="E42" s="98"/>
      <c r="F42" s="98"/>
    </row>
    <row r="43" spans="1:6" s="47" customFormat="1" ht="12" customHeight="1">
      <c r="A43" s="254" t="s">
        <v>105</v>
      </c>
      <c r="B43" s="306" t="s">
        <v>201</v>
      </c>
      <c r="C43" s="98">
        <v>2430</v>
      </c>
      <c r="D43" s="98">
        <v>3647</v>
      </c>
      <c r="E43" s="98">
        <v>6077</v>
      </c>
      <c r="F43" s="98">
        <v>5244</v>
      </c>
    </row>
    <row r="44" spans="1:6" s="47" customFormat="1" ht="12" customHeight="1">
      <c r="A44" s="254" t="s">
        <v>106</v>
      </c>
      <c r="B44" s="306" t="s">
        <v>202</v>
      </c>
      <c r="C44" s="98"/>
      <c r="D44" s="98"/>
      <c r="E44" s="98"/>
      <c r="F44" s="98"/>
    </row>
    <row r="45" spans="1:6" s="47" customFormat="1" ht="12" customHeight="1">
      <c r="A45" s="254" t="s">
        <v>107</v>
      </c>
      <c r="B45" s="306" t="s">
        <v>203</v>
      </c>
      <c r="C45" s="98">
        <v>15000</v>
      </c>
      <c r="D45" s="98"/>
      <c r="E45" s="98">
        <v>15000</v>
      </c>
      <c r="F45" s="98">
        <v>3444</v>
      </c>
    </row>
    <row r="46" spans="1:6" s="47" customFormat="1" ht="12" customHeight="1">
      <c r="A46" s="254" t="s">
        <v>204</v>
      </c>
      <c r="B46" s="306" t="s">
        <v>205</v>
      </c>
      <c r="C46" s="101"/>
      <c r="D46" s="101"/>
      <c r="E46" s="101"/>
      <c r="F46" s="101"/>
    </row>
    <row r="47" spans="1:6" s="47" customFormat="1" ht="12" customHeight="1" thickBot="1">
      <c r="A47" s="255" t="s">
        <v>206</v>
      </c>
      <c r="B47" s="305" t="s">
        <v>207</v>
      </c>
      <c r="C47" s="178"/>
      <c r="D47" s="178"/>
      <c r="E47" s="178"/>
      <c r="F47" s="178"/>
    </row>
    <row r="48" spans="1:6" s="47" customFormat="1" ht="12" customHeight="1" thickBot="1">
      <c r="A48" s="24" t="s">
        <v>10</v>
      </c>
      <c r="B48" s="308" t="s">
        <v>208</v>
      </c>
      <c r="C48" s="96">
        <f>SUM(C49:C53)</f>
        <v>0</v>
      </c>
      <c r="D48" s="96"/>
      <c r="E48" s="96">
        <f>SUM(E49:E53)</f>
        <v>0</v>
      </c>
      <c r="F48" s="96">
        <f>SUM(F49:F53)</f>
        <v>0</v>
      </c>
    </row>
    <row r="49" spans="1:6" s="47" customFormat="1" ht="12" customHeight="1">
      <c r="A49" s="253" t="s">
        <v>63</v>
      </c>
      <c r="B49" s="309" t="s">
        <v>209</v>
      </c>
      <c r="C49" s="180"/>
      <c r="D49" s="180"/>
      <c r="E49" s="180"/>
      <c r="F49" s="180"/>
    </row>
    <row r="50" spans="1:6" s="47" customFormat="1" ht="12" customHeight="1">
      <c r="A50" s="254" t="s">
        <v>64</v>
      </c>
      <c r="B50" s="306" t="s">
        <v>210</v>
      </c>
      <c r="C50" s="101"/>
      <c r="D50" s="101"/>
      <c r="E50" s="101"/>
      <c r="F50" s="101"/>
    </row>
    <row r="51" spans="1:6" s="47" customFormat="1" ht="12" customHeight="1">
      <c r="A51" s="254" t="s">
        <v>211</v>
      </c>
      <c r="B51" s="306" t="s">
        <v>212</v>
      </c>
      <c r="C51" s="101"/>
      <c r="D51" s="101"/>
      <c r="E51" s="101"/>
      <c r="F51" s="101"/>
    </row>
    <row r="52" spans="1:6" s="47" customFormat="1" ht="12" customHeight="1">
      <c r="A52" s="254" t="s">
        <v>213</v>
      </c>
      <c r="B52" s="306" t="s">
        <v>214</v>
      </c>
      <c r="C52" s="101"/>
      <c r="D52" s="101"/>
      <c r="E52" s="101"/>
      <c r="F52" s="101"/>
    </row>
    <row r="53" spans="1:6" s="47" customFormat="1" ht="12" customHeight="1" thickBot="1">
      <c r="A53" s="255" t="s">
        <v>215</v>
      </c>
      <c r="B53" s="305" t="s">
        <v>216</v>
      </c>
      <c r="C53" s="178"/>
      <c r="D53" s="178"/>
      <c r="E53" s="178"/>
      <c r="F53" s="178"/>
    </row>
    <row r="54" spans="1:6" s="47" customFormat="1" ht="12" customHeight="1" thickBot="1">
      <c r="A54" s="24" t="s">
        <v>108</v>
      </c>
      <c r="B54" s="308" t="s">
        <v>217</v>
      </c>
      <c r="C54" s="96">
        <f>SUM(C55:C57)</f>
        <v>0</v>
      </c>
      <c r="D54" s="96">
        <f>SUM(D55:D57)</f>
        <v>8771</v>
      </c>
      <c r="E54" s="96">
        <f>SUM(E55:E57)</f>
        <v>8771</v>
      </c>
      <c r="F54" s="96">
        <f>SUM(F55:F57)</f>
        <v>2715</v>
      </c>
    </row>
    <row r="55" spans="1:6" s="48" customFormat="1" ht="12" customHeight="1">
      <c r="A55" s="253" t="s">
        <v>65</v>
      </c>
      <c r="B55" s="309" t="s">
        <v>218</v>
      </c>
      <c r="C55" s="99"/>
      <c r="D55" s="99"/>
      <c r="E55" s="99"/>
      <c r="F55" s="99"/>
    </row>
    <row r="56" spans="1:6" s="48" customFormat="1" ht="12" customHeight="1">
      <c r="A56" s="254" t="s">
        <v>66</v>
      </c>
      <c r="B56" s="306" t="s">
        <v>219</v>
      </c>
      <c r="C56" s="98"/>
      <c r="D56" s="98">
        <v>8671</v>
      </c>
      <c r="E56" s="98">
        <v>8671</v>
      </c>
      <c r="F56" s="98">
        <v>2615</v>
      </c>
    </row>
    <row r="57" spans="1:6" s="48" customFormat="1" ht="12" customHeight="1">
      <c r="A57" s="254" t="s">
        <v>220</v>
      </c>
      <c r="B57" s="306" t="s">
        <v>221</v>
      </c>
      <c r="C57" s="98"/>
      <c r="D57" s="98">
        <v>100</v>
      </c>
      <c r="E57" s="98">
        <v>100</v>
      </c>
      <c r="F57" s="98">
        <v>100</v>
      </c>
    </row>
    <row r="58" spans="1:6" s="48" customFormat="1" ht="12" customHeight="1" thickBot="1">
      <c r="A58" s="255" t="s">
        <v>222</v>
      </c>
      <c r="B58" s="305" t="s">
        <v>223</v>
      </c>
      <c r="C58" s="100"/>
      <c r="D58" s="100"/>
      <c r="E58" s="100"/>
      <c r="F58" s="100"/>
    </row>
    <row r="59" spans="1:6" s="48" customFormat="1" ht="12" customHeight="1" thickBot="1">
      <c r="A59" s="24" t="s">
        <v>12</v>
      </c>
      <c r="B59" s="310" t="s">
        <v>224</v>
      </c>
      <c r="C59" s="96">
        <f>SUM(C60:C62)</f>
        <v>0</v>
      </c>
      <c r="D59" s="96">
        <f>SUM(D60:D62)</f>
        <v>2414</v>
      </c>
      <c r="E59" s="96">
        <f>SUM(E60:E62)</f>
        <v>2414</v>
      </c>
      <c r="F59" s="96">
        <f>SUM(F60:F62)</f>
        <v>0</v>
      </c>
    </row>
    <row r="60" spans="1:6" s="48" customFormat="1" ht="12" customHeight="1">
      <c r="A60" s="253" t="s">
        <v>109</v>
      </c>
      <c r="B60" s="309" t="s">
        <v>225</v>
      </c>
      <c r="C60" s="101"/>
      <c r="D60" s="101"/>
      <c r="E60" s="101"/>
      <c r="F60" s="101"/>
    </row>
    <row r="61" spans="1:6" s="48" customFormat="1" ht="12" customHeight="1">
      <c r="A61" s="254" t="s">
        <v>110</v>
      </c>
      <c r="B61" s="306" t="s">
        <v>226</v>
      </c>
      <c r="C61" s="101"/>
      <c r="D61" s="101">
        <v>2414</v>
      </c>
      <c r="E61" s="101">
        <v>2414</v>
      </c>
      <c r="F61" s="101"/>
    </row>
    <row r="62" spans="1:6" s="48" customFormat="1" ht="12" customHeight="1">
      <c r="A62" s="254" t="s">
        <v>135</v>
      </c>
      <c r="B62" s="306" t="s">
        <v>227</v>
      </c>
      <c r="C62" s="101"/>
      <c r="D62" s="101"/>
      <c r="E62" s="101"/>
      <c r="F62" s="101"/>
    </row>
    <row r="63" spans="1:6" s="48" customFormat="1" ht="12" customHeight="1" thickBot="1">
      <c r="A63" s="255" t="s">
        <v>228</v>
      </c>
      <c r="B63" s="305" t="s">
        <v>229</v>
      </c>
      <c r="C63" s="101"/>
      <c r="D63" s="101"/>
      <c r="E63" s="101"/>
      <c r="F63" s="101"/>
    </row>
    <row r="64" spans="1:6" s="48" customFormat="1" ht="12" customHeight="1" thickBot="1">
      <c r="A64" s="24" t="s">
        <v>13</v>
      </c>
      <c r="B64" s="308" t="s">
        <v>230</v>
      </c>
      <c r="C64" s="102">
        <f>+C8+C16+C23+C30+C37+C48+C54+C59</f>
        <v>689504</v>
      </c>
      <c r="D64" s="102">
        <f>+D8+D16+D23+D30+D37+D48+D54+D59</f>
        <v>163685</v>
      </c>
      <c r="E64" s="102">
        <f>+E8+E16+E23+E30+E37+E48+E54+E59</f>
        <v>853189</v>
      </c>
      <c r="F64" s="102">
        <f>+F8+F16+F23+F30+F37+F48+F54+F59</f>
        <v>465029</v>
      </c>
    </row>
    <row r="65" spans="1:6" s="48" customFormat="1" ht="12" customHeight="1" thickBot="1">
      <c r="A65" s="257" t="s">
        <v>366</v>
      </c>
      <c r="B65" s="310" t="s">
        <v>232</v>
      </c>
      <c r="C65" s="96">
        <f>SUM(C66:C68)</f>
        <v>0</v>
      </c>
      <c r="D65" s="96"/>
      <c r="E65" s="96">
        <f>SUM(E66:E68)</f>
        <v>0</v>
      </c>
      <c r="F65" s="96">
        <f>SUM(F66:F68)</f>
        <v>0</v>
      </c>
    </row>
    <row r="66" spans="1:6" s="48" customFormat="1" ht="12" customHeight="1">
      <c r="A66" s="253" t="s">
        <v>233</v>
      </c>
      <c r="B66" s="309" t="s">
        <v>234</v>
      </c>
      <c r="C66" s="101"/>
      <c r="D66" s="101"/>
      <c r="E66" s="101"/>
      <c r="F66" s="101"/>
    </row>
    <row r="67" spans="1:6" s="48" customFormat="1" ht="12" customHeight="1">
      <c r="A67" s="254" t="s">
        <v>235</v>
      </c>
      <c r="B67" s="306" t="s">
        <v>236</v>
      </c>
      <c r="C67" s="101"/>
      <c r="D67" s="101"/>
      <c r="E67" s="101"/>
      <c r="F67" s="101"/>
    </row>
    <row r="68" spans="1:6" s="48" customFormat="1" ht="12" customHeight="1" thickBot="1">
      <c r="A68" s="255" t="s">
        <v>237</v>
      </c>
      <c r="B68" s="295" t="s">
        <v>238</v>
      </c>
      <c r="C68" s="101"/>
      <c r="D68" s="101"/>
      <c r="E68" s="101"/>
      <c r="F68" s="101"/>
    </row>
    <row r="69" spans="1:6" s="48" customFormat="1" ht="12" customHeight="1" thickBot="1">
      <c r="A69" s="257" t="s">
        <v>239</v>
      </c>
      <c r="B69" s="310" t="s">
        <v>240</v>
      </c>
      <c r="C69" s="96">
        <f>SUM(C70:C73)</f>
        <v>0</v>
      </c>
      <c r="D69" s="96"/>
      <c r="E69" s="96">
        <f>SUM(E70:E73)</f>
        <v>0</v>
      </c>
      <c r="F69" s="96">
        <f>SUM(F70:F73)</f>
        <v>0</v>
      </c>
    </row>
    <row r="70" spans="1:6" s="48" customFormat="1" ht="12" customHeight="1">
      <c r="A70" s="253" t="s">
        <v>88</v>
      </c>
      <c r="B70" s="309" t="s">
        <v>241</v>
      </c>
      <c r="C70" s="101"/>
      <c r="D70" s="101"/>
      <c r="E70" s="101"/>
      <c r="F70" s="101"/>
    </row>
    <row r="71" spans="1:6" s="48" customFormat="1" ht="12" customHeight="1">
      <c r="A71" s="254" t="s">
        <v>89</v>
      </c>
      <c r="B71" s="306" t="s">
        <v>242</v>
      </c>
      <c r="C71" s="101"/>
      <c r="D71" s="101"/>
      <c r="E71" s="101"/>
      <c r="F71" s="101"/>
    </row>
    <row r="72" spans="1:6" s="48" customFormat="1" ht="12" customHeight="1">
      <c r="A72" s="254" t="s">
        <v>243</v>
      </c>
      <c r="B72" s="306" t="s">
        <v>244</v>
      </c>
      <c r="C72" s="101"/>
      <c r="D72" s="101"/>
      <c r="E72" s="101"/>
      <c r="F72" s="101"/>
    </row>
    <row r="73" spans="1:6" s="48" customFormat="1" ht="12" customHeight="1" thickBot="1">
      <c r="A73" s="255" t="s">
        <v>245</v>
      </c>
      <c r="B73" s="305" t="s">
        <v>246</v>
      </c>
      <c r="C73" s="101"/>
      <c r="D73" s="101"/>
      <c r="E73" s="101"/>
      <c r="F73" s="101"/>
    </row>
    <row r="74" spans="1:6" s="48" customFormat="1" ht="12" customHeight="1" thickBot="1">
      <c r="A74" s="257" t="s">
        <v>247</v>
      </c>
      <c r="B74" s="310" t="s">
        <v>248</v>
      </c>
      <c r="C74" s="96">
        <f>SUM(C75:C76)</f>
        <v>371551</v>
      </c>
      <c r="D74" s="96">
        <f>SUM(D75:D76)</f>
        <v>-35</v>
      </c>
      <c r="E74" s="96">
        <f>SUM(E75:E76)</f>
        <v>371516</v>
      </c>
      <c r="F74" s="96">
        <f>SUM(F75:F76)</f>
        <v>377021</v>
      </c>
    </row>
    <row r="75" spans="1:6" s="48" customFormat="1" ht="12" customHeight="1">
      <c r="A75" s="253" t="s">
        <v>249</v>
      </c>
      <c r="B75" s="309" t="s">
        <v>430</v>
      </c>
      <c r="C75" s="101">
        <v>70863</v>
      </c>
      <c r="D75" s="101">
        <v>-35</v>
      </c>
      <c r="E75" s="101">
        <f>C75-35</f>
        <v>70828</v>
      </c>
      <c r="F75" s="101">
        <f>77998-1665</f>
        <v>76333</v>
      </c>
    </row>
    <row r="76" spans="1:6" s="47" customFormat="1" ht="12" customHeight="1" thickBot="1">
      <c r="A76" s="255" t="s">
        <v>251</v>
      </c>
      <c r="B76" s="309" t="s">
        <v>431</v>
      </c>
      <c r="C76" s="101">
        <v>300688</v>
      </c>
      <c r="D76" s="101"/>
      <c r="E76" s="101">
        <v>300688</v>
      </c>
      <c r="F76" s="101">
        <v>300688</v>
      </c>
    </row>
    <row r="77" spans="1:6" s="48" customFormat="1" ht="12" customHeight="1" thickBot="1">
      <c r="A77" s="257" t="s">
        <v>253</v>
      </c>
      <c r="B77" s="310" t="s">
        <v>254</v>
      </c>
      <c r="C77" s="96">
        <f>SUM(C78:C80)</f>
        <v>0</v>
      </c>
      <c r="D77" s="96"/>
      <c r="E77" s="96">
        <f>SUM(E78:E80)</f>
        <v>0</v>
      </c>
      <c r="F77" s="96">
        <f>SUM(F78:F80)</f>
        <v>0</v>
      </c>
    </row>
    <row r="78" spans="1:6" s="48" customFormat="1" ht="12" customHeight="1">
      <c r="A78" s="253" t="s">
        <v>255</v>
      </c>
      <c r="B78" s="309" t="s">
        <v>256</v>
      </c>
      <c r="C78" s="101"/>
      <c r="D78" s="101"/>
      <c r="E78" s="101"/>
      <c r="F78" s="101"/>
    </row>
    <row r="79" spans="1:6" s="48" customFormat="1" ht="12" customHeight="1">
      <c r="A79" s="254" t="s">
        <v>257</v>
      </c>
      <c r="B79" s="306" t="s">
        <v>258</v>
      </c>
      <c r="C79" s="101"/>
      <c r="D79" s="101"/>
      <c r="E79" s="101"/>
      <c r="F79" s="101"/>
    </row>
    <row r="80" spans="1:6" s="48" customFormat="1" ht="12" customHeight="1" thickBot="1">
      <c r="A80" s="255" t="s">
        <v>259</v>
      </c>
      <c r="B80" s="305" t="s">
        <v>260</v>
      </c>
      <c r="C80" s="101"/>
      <c r="D80" s="101"/>
      <c r="E80" s="101"/>
      <c r="F80" s="101"/>
    </row>
    <row r="81" spans="1:6" s="48" customFormat="1" ht="12" customHeight="1" thickBot="1">
      <c r="A81" s="257" t="s">
        <v>261</v>
      </c>
      <c r="B81" s="310" t="s">
        <v>262</v>
      </c>
      <c r="C81" s="96">
        <f>SUM(C82:C85)</f>
        <v>0</v>
      </c>
      <c r="D81" s="96"/>
      <c r="E81" s="96">
        <f>SUM(E82:E85)</f>
        <v>0</v>
      </c>
      <c r="F81" s="96">
        <f>SUM(F82:F85)</f>
        <v>0</v>
      </c>
    </row>
    <row r="82" spans="1:6" s="48" customFormat="1" ht="12" customHeight="1">
      <c r="A82" s="258" t="s">
        <v>263</v>
      </c>
      <c r="B82" s="309" t="s">
        <v>264</v>
      </c>
      <c r="C82" s="101"/>
      <c r="D82" s="101"/>
      <c r="E82" s="101"/>
      <c r="F82" s="101"/>
    </row>
    <row r="83" spans="1:6" s="48" customFormat="1" ht="12" customHeight="1">
      <c r="A83" s="259" t="s">
        <v>265</v>
      </c>
      <c r="B83" s="306" t="s">
        <v>266</v>
      </c>
      <c r="C83" s="101"/>
      <c r="D83" s="101"/>
      <c r="E83" s="101"/>
      <c r="F83" s="101"/>
    </row>
    <row r="84" spans="1:6" s="47" customFormat="1" ht="12" customHeight="1">
      <c r="A84" s="259" t="s">
        <v>267</v>
      </c>
      <c r="B84" s="306" t="s">
        <v>268</v>
      </c>
      <c r="C84" s="101"/>
      <c r="D84" s="101"/>
      <c r="E84" s="101"/>
      <c r="F84" s="101"/>
    </row>
    <row r="85" spans="1:6" s="47" customFormat="1" ht="12" customHeight="1" thickBot="1">
      <c r="A85" s="260" t="s">
        <v>269</v>
      </c>
      <c r="B85" s="305" t="s">
        <v>270</v>
      </c>
      <c r="C85" s="101"/>
      <c r="D85" s="101"/>
      <c r="E85" s="101"/>
      <c r="F85" s="101"/>
    </row>
    <row r="86" spans="1:6" s="47" customFormat="1" ht="12" customHeight="1" thickBot="1">
      <c r="A86" s="257" t="s">
        <v>271</v>
      </c>
      <c r="B86" s="310" t="s">
        <v>272</v>
      </c>
      <c r="C86" s="261"/>
      <c r="D86" s="261"/>
      <c r="E86" s="261"/>
      <c r="F86" s="261"/>
    </row>
    <row r="87" spans="1:6" s="47" customFormat="1" ht="12" customHeight="1" thickBot="1">
      <c r="A87" s="257" t="s">
        <v>273</v>
      </c>
      <c r="B87" s="272" t="s">
        <v>274</v>
      </c>
      <c r="C87" s="102">
        <f>+C65+C69+C74+C77+C81+C86</f>
        <v>371551</v>
      </c>
      <c r="D87" s="102">
        <f>+D65+D69+D74+D77+D81+D86</f>
        <v>-35</v>
      </c>
      <c r="E87" s="102">
        <f>+E65+E69+E74+E77+E81+E86</f>
        <v>371516</v>
      </c>
      <c r="F87" s="102">
        <f>+F65+F69+F74+F77+F81+F86</f>
        <v>377021</v>
      </c>
    </row>
    <row r="88" spans="1:6" s="48" customFormat="1" ht="12" customHeight="1" thickBot="1">
      <c r="A88" s="262" t="s">
        <v>275</v>
      </c>
      <c r="B88" s="273" t="s">
        <v>367</v>
      </c>
      <c r="C88" s="102">
        <f>+C64+C87</f>
        <v>1061055</v>
      </c>
      <c r="D88" s="102">
        <f>+D64+D87</f>
        <v>163650</v>
      </c>
      <c r="E88" s="102">
        <f>+E64+E87</f>
        <v>1224705</v>
      </c>
      <c r="F88" s="102">
        <f>+F64+F87</f>
        <v>842050</v>
      </c>
    </row>
    <row r="89" spans="1:6" s="48" customFormat="1" ht="15" customHeight="1">
      <c r="A89" s="85"/>
      <c r="B89" s="86"/>
      <c r="C89" s="153"/>
      <c r="D89" s="153"/>
      <c r="E89" s="153"/>
      <c r="F89" s="153"/>
    </row>
    <row r="90" spans="1:6" ht="13.5" thickBot="1">
      <c r="A90" s="87"/>
      <c r="B90" s="88"/>
      <c r="C90" s="154"/>
      <c r="D90" s="154"/>
      <c r="E90" s="154"/>
      <c r="F90" s="154"/>
    </row>
    <row r="91" spans="1:6" s="43" customFormat="1" ht="16.5" customHeight="1" thickBot="1">
      <c r="A91" s="454" t="s">
        <v>42</v>
      </c>
      <c r="B91" s="455"/>
      <c r="C91" s="455"/>
      <c r="D91" s="455"/>
      <c r="E91" s="455"/>
      <c r="F91" s="456"/>
    </row>
    <row r="92" spans="1:6" s="49" customFormat="1" ht="12" customHeight="1" thickBot="1">
      <c r="A92" s="265" t="s">
        <v>5</v>
      </c>
      <c r="B92" s="23" t="s">
        <v>385</v>
      </c>
      <c r="C92" s="95">
        <f>SUM(C93:C97)</f>
        <v>346093</v>
      </c>
      <c r="D92" s="95">
        <f>SUM(D93:D97)</f>
        <v>50342</v>
      </c>
      <c r="E92" s="95">
        <f>SUM(E93:E97)</f>
        <v>396435</v>
      </c>
      <c r="F92" s="95">
        <f>SUM(F93:F97)</f>
        <v>180097</v>
      </c>
    </row>
    <row r="93" spans="1:6" ht="12" customHeight="1">
      <c r="A93" s="266" t="s">
        <v>67</v>
      </c>
      <c r="B93" s="298" t="s">
        <v>34</v>
      </c>
      <c r="C93" s="97">
        <v>134020</v>
      </c>
      <c r="D93" s="97">
        <f>1737+1363</f>
        <v>3100</v>
      </c>
      <c r="E93" s="97">
        <v>137120</v>
      </c>
      <c r="F93" s="97">
        <f>61277-66</f>
        <v>61211</v>
      </c>
    </row>
    <row r="94" spans="1:6" ht="12" customHeight="1">
      <c r="A94" s="254" t="s">
        <v>68</v>
      </c>
      <c r="B94" s="299" t="s">
        <v>111</v>
      </c>
      <c r="C94" s="98">
        <v>36145</v>
      </c>
      <c r="D94" s="98">
        <f>418+370</f>
        <v>788</v>
      </c>
      <c r="E94" s="98">
        <v>36933</v>
      </c>
      <c r="F94" s="98">
        <f>11950-24</f>
        <v>11926</v>
      </c>
    </row>
    <row r="95" spans="1:6" ht="12" customHeight="1">
      <c r="A95" s="254" t="s">
        <v>69</v>
      </c>
      <c r="B95" s="299" t="s">
        <v>86</v>
      </c>
      <c r="C95" s="100">
        <v>143358</v>
      </c>
      <c r="D95" s="100">
        <v>3710</v>
      </c>
      <c r="E95" s="100">
        <f>147913-845</f>
        <v>147068</v>
      </c>
      <c r="F95" s="100">
        <f>49722-19-56</f>
        <v>49647</v>
      </c>
    </row>
    <row r="96" spans="1:6" ht="12" customHeight="1">
      <c r="A96" s="254" t="s">
        <v>70</v>
      </c>
      <c r="B96" s="300" t="s">
        <v>112</v>
      </c>
      <c r="C96" s="100">
        <v>3380</v>
      </c>
      <c r="D96" s="100">
        <v>455</v>
      </c>
      <c r="E96" s="100">
        <v>3835</v>
      </c>
      <c r="F96" s="100">
        <v>1093</v>
      </c>
    </row>
    <row r="97" spans="1:6" ht="12" customHeight="1">
      <c r="A97" s="254" t="s">
        <v>78</v>
      </c>
      <c r="B97" s="301" t="s">
        <v>113</v>
      </c>
      <c r="C97" s="100">
        <v>29190</v>
      </c>
      <c r="D97" s="100">
        <f>41789+500</f>
        <v>42289</v>
      </c>
      <c r="E97" s="100">
        <f>70979+500</f>
        <v>71479</v>
      </c>
      <c r="F97" s="100">
        <f>F98+F102+F106</f>
        <v>56220</v>
      </c>
    </row>
    <row r="98" spans="1:6" ht="12" customHeight="1">
      <c r="A98" s="254" t="s">
        <v>71</v>
      </c>
      <c r="B98" s="299" t="s">
        <v>278</v>
      </c>
      <c r="C98" s="100"/>
      <c r="D98" s="100">
        <v>4503</v>
      </c>
      <c r="E98" s="100">
        <v>4503</v>
      </c>
      <c r="F98" s="100">
        <v>4502</v>
      </c>
    </row>
    <row r="99" spans="1:6" ht="12" customHeight="1">
      <c r="A99" s="254" t="s">
        <v>72</v>
      </c>
      <c r="B99" s="302" t="s">
        <v>279</v>
      </c>
      <c r="C99" s="100"/>
      <c r="D99" s="100"/>
      <c r="E99" s="100"/>
      <c r="F99" s="100"/>
    </row>
    <row r="100" spans="1:6" ht="12" customHeight="1">
      <c r="A100" s="254" t="s">
        <v>79</v>
      </c>
      <c r="B100" s="299" t="s">
        <v>280</v>
      </c>
      <c r="C100" s="100"/>
      <c r="D100" s="100"/>
      <c r="E100" s="100"/>
      <c r="F100" s="100"/>
    </row>
    <row r="101" spans="1:6" ht="12" customHeight="1">
      <c r="A101" s="254" t="s">
        <v>80</v>
      </c>
      <c r="B101" s="299" t="s">
        <v>281</v>
      </c>
      <c r="C101" s="100"/>
      <c r="D101" s="100"/>
      <c r="E101" s="100"/>
      <c r="F101" s="100"/>
    </row>
    <row r="102" spans="1:6" ht="12" customHeight="1">
      <c r="A102" s="254" t="s">
        <v>81</v>
      </c>
      <c r="B102" s="302" t="s">
        <v>282</v>
      </c>
      <c r="C102" s="100">
        <v>29190</v>
      </c>
      <c r="D102" s="100">
        <f>37286+500</f>
        <v>37786</v>
      </c>
      <c r="E102" s="100">
        <f>66476+500</f>
        <v>66976</v>
      </c>
      <c r="F102" s="100">
        <v>51718</v>
      </c>
    </row>
    <row r="103" spans="1:6" ht="12" customHeight="1">
      <c r="A103" s="254" t="s">
        <v>82</v>
      </c>
      <c r="B103" s="302" t="s">
        <v>283</v>
      </c>
      <c r="C103" s="100"/>
      <c r="D103" s="100"/>
      <c r="E103" s="100"/>
      <c r="F103" s="100"/>
    </row>
    <row r="104" spans="1:6" ht="12" customHeight="1">
      <c r="A104" s="254" t="s">
        <v>84</v>
      </c>
      <c r="B104" s="299" t="s">
        <v>284</v>
      </c>
      <c r="C104" s="100"/>
      <c r="D104" s="100"/>
      <c r="E104" s="100"/>
      <c r="F104" s="100"/>
    </row>
    <row r="105" spans="1:6" ht="12" customHeight="1">
      <c r="A105" s="267" t="s">
        <v>114</v>
      </c>
      <c r="B105" s="303" t="s">
        <v>285</v>
      </c>
      <c r="C105" s="100"/>
      <c r="D105" s="100"/>
      <c r="E105" s="100"/>
      <c r="F105" s="100"/>
    </row>
    <row r="106" spans="1:6" ht="12" customHeight="1">
      <c r="A106" s="254" t="s">
        <v>286</v>
      </c>
      <c r="B106" s="303" t="s">
        <v>432</v>
      </c>
      <c r="C106" s="100"/>
      <c r="D106" s="100"/>
      <c r="E106" s="100"/>
      <c r="F106" s="100"/>
    </row>
    <row r="107" spans="1:6" ht="12" customHeight="1" thickBot="1">
      <c r="A107" s="268" t="s">
        <v>288</v>
      </c>
      <c r="B107" s="304" t="s">
        <v>289</v>
      </c>
      <c r="C107" s="103"/>
      <c r="D107" s="103"/>
      <c r="E107" s="103"/>
      <c r="F107" s="103"/>
    </row>
    <row r="108" spans="1:6" ht="12" customHeight="1" thickBot="1">
      <c r="A108" s="24" t="s">
        <v>6</v>
      </c>
      <c r="B108" s="22" t="s">
        <v>386</v>
      </c>
      <c r="C108" s="96">
        <f>+C109+C111+C113</f>
        <v>225081</v>
      </c>
      <c r="D108" s="96">
        <f>+D109+D111+D113</f>
        <v>27492</v>
      </c>
      <c r="E108" s="96">
        <f>+E109+E111+E113</f>
        <v>252573</v>
      </c>
      <c r="F108" s="96">
        <f>+F109+F111+F113</f>
        <v>132505</v>
      </c>
    </row>
    <row r="109" spans="1:6" ht="12" customHeight="1">
      <c r="A109" s="253" t="s">
        <v>73</v>
      </c>
      <c r="B109" s="299" t="s">
        <v>133</v>
      </c>
      <c r="C109" s="99">
        <v>37170</v>
      </c>
      <c r="D109" s="99">
        <v>15659</v>
      </c>
      <c r="E109" s="99">
        <v>52829</v>
      </c>
      <c r="F109" s="99">
        <v>14466</v>
      </c>
    </row>
    <row r="110" spans="1:6" ht="12" customHeight="1">
      <c r="A110" s="253" t="s">
        <v>74</v>
      </c>
      <c r="B110" s="303" t="s">
        <v>291</v>
      </c>
      <c r="C110" s="99">
        <v>36155</v>
      </c>
      <c r="D110" s="99"/>
      <c r="E110" s="99">
        <v>36155</v>
      </c>
      <c r="F110" s="99"/>
    </row>
    <row r="111" spans="1:6" ht="12" customHeight="1">
      <c r="A111" s="253" t="s">
        <v>75</v>
      </c>
      <c r="B111" s="303" t="s">
        <v>115</v>
      </c>
      <c r="C111" s="98">
        <v>186125</v>
      </c>
      <c r="D111" s="98">
        <v>11753</v>
      </c>
      <c r="E111" s="98">
        <v>197878</v>
      </c>
      <c r="F111" s="98">
        <v>117959</v>
      </c>
    </row>
    <row r="112" spans="1:6" ht="12" customHeight="1">
      <c r="A112" s="253" t="s">
        <v>76</v>
      </c>
      <c r="B112" s="303" t="s">
        <v>292</v>
      </c>
      <c r="C112" s="207">
        <v>25005</v>
      </c>
      <c r="D112" s="207">
        <v>11753</v>
      </c>
      <c r="E112" s="207">
        <v>36758</v>
      </c>
      <c r="F112" s="207"/>
    </row>
    <row r="113" spans="1:6" ht="12" customHeight="1">
      <c r="A113" s="253" t="s">
        <v>77</v>
      </c>
      <c r="B113" s="305" t="s">
        <v>136</v>
      </c>
      <c r="C113" s="207">
        <v>1786</v>
      </c>
      <c r="D113" s="207">
        <v>80</v>
      </c>
      <c r="E113" s="207">
        <f>1786+E119</f>
        <v>1866</v>
      </c>
      <c r="F113" s="207">
        <f>SUM(F114:F121)</f>
        <v>80</v>
      </c>
    </row>
    <row r="114" spans="1:6" ht="12" customHeight="1">
      <c r="A114" s="253" t="s">
        <v>83</v>
      </c>
      <c r="B114" s="306" t="s">
        <v>384</v>
      </c>
      <c r="C114" s="207"/>
      <c r="D114" s="207"/>
      <c r="E114" s="207"/>
      <c r="F114" s="207"/>
    </row>
    <row r="115" spans="1:6" ht="12" customHeight="1">
      <c r="A115" s="253" t="s">
        <v>85</v>
      </c>
      <c r="B115" s="296" t="s">
        <v>293</v>
      </c>
      <c r="C115" s="207"/>
      <c r="D115" s="207"/>
      <c r="E115" s="207"/>
      <c r="F115" s="207"/>
    </row>
    <row r="116" spans="1:6" ht="12" customHeight="1">
      <c r="A116" s="253" t="s">
        <v>116</v>
      </c>
      <c r="B116" s="299" t="s">
        <v>281</v>
      </c>
      <c r="C116" s="207"/>
      <c r="D116" s="207"/>
      <c r="E116" s="207"/>
      <c r="F116" s="207"/>
    </row>
    <row r="117" spans="1:6" ht="12" customHeight="1">
      <c r="A117" s="253" t="s">
        <v>117</v>
      </c>
      <c r="B117" s="299" t="s">
        <v>294</v>
      </c>
      <c r="C117" s="207"/>
      <c r="D117" s="207"/>
      <c r="E117" s="207"/>
      <c r="F117" s="207"/>
    </row>
    <row r="118" spans="1:6" ht="12" customHeight="1">
      <c r="A118" s="253" t="s">
        <v>118</v>
      </c>
      <c r="B118" s="299" t="s">
        <v>295</v>
      </c>
      <c r="C118" s="207"/>
      <c r="D118" s="207"/>
      <c r="E118" s="207"/>
      <c r="F118" s="207"/>
    </row>
    <row r="119" spans="1:6" ht="12" customHeight="1">
      <c r="A119" s="253" t="s">
        <v>296</v>
      </c>
      <c r="B119" s="299" t="s">
        <v>284</v>
      </c>
      <c r="C119" s="207"/>
      <c r="D119" s="207">
        <v>80</v>
      </c>
      <c r="E119" s="207">
        <v>80</v>
      </c>
      <c r="F119" s="207">
        <v>80</v>
      </c>
    </row>
    <row r="120" spans="1:6" ht="12" customHeight="1">
      <c r="A120" s="253" t="s">
        <v>297</v>
      </c>
      <c r="B120" s="299" t="s">
        <v>298</v>
      </c>
      <c r="C120" s="207"/>
      <c r="D120" s="207"/>
      <c r="E120" s="207"/>
      <c r="F120" s="207"/>
    </row>
    <row r="121" spans="1:6" ht="12" customHeight="1" thickBot="1">
      <c r="A121" s="267" t="s">
        <v>299</v>
      </c>
      <c r="B121" s="299" t="s">
        <v>300</v>
      </c>
      <c r="C121" s="211">
        <v>1786</v>
      </c>
      <c r="D121" s="211"/>
      <c r="E121" s="211">
        <v>1786</v>
      </c>
      <c r="F121" s="211"/>
    </row>
    <row r="122" spans="1:6" ht="12" customHeight="1" thickBot="1">
      <c r="A122" s="24" t="s">
        <v>7</v>
      </c>
      <c r="B122" s="55" t="s">
        <v>301</v>
      </c>
      <c r="C122" s="96">
        <f>+C123+C124</f>
        <v>173053</v>
      </c>
      <c r="D122" s="96">
        <f>+D123+D124</f>
        <v>84520</v>
      </c>
      <c r="E122" s="96">
        <f>+E123+E124</f>
        <v>257573</v>
      </c>
      <c r="F122" s="96">
        <f>+F123+F124</f>
        <v>0</v>
      </c>
    </row>
    <row r="123" spans="1:6" ht="12" customHeight="1">
      <c r="A123" s="253" t="s">
        <v>56</v>
      </c>
      <c r="B123" s="296" t="s">
        <v>43</v>
      </c>
      <c r="C123" s="99">
        <v>37221</v>
      </c>
      <c r="D123" s="99">
        <f>86753-1733-500</f>
        <v>84520</v>
      </c>
      <c r="E123" s="99">
        <f>122241-500</f>
        <v>121741</v>
      </c>
      <c r="F123" s="99"/>
    </row>
    <row r="124" spans="1:6" s="49" customFormat="1" ht="12" customHeight="1" thickBot="1">
      <c r="A124" s="255" t="s">
        <v>57</v>
      </c>
      <c r="B124" s="303" t="s">
        <v>433</v>
      </c>
      <c r="C124" s="100">
        <v>135832</v>
      </c>
      <c r="D124" s="100"/>
      <c r="E124" s="100">
        <v>135832</v>
      </c>
      <c r="F124" s="100"/>
    </row>
    <row r="125" spans="1:6" ht="12" customHeight="1" thickBot="1">
      <c r="A125" s="24" t="s">
        <v>8</v>
      </c>
      <c r="B125" s="55" t="s">
        <v>302</v>
      </c>
      <c r="C125" s="96">
        <f>+C92+C108+C122</f>
        <v>744227</v>
      </c>
      <c r="D125" s="96">
        <f>+D92+D108+D122</f>
        <v>162354</v>
      </c>
      <c r="E125" s="96">
        <f>+E92+E108+E122</f>
        <v>906581</v>
      </c>
      <c r="F125" s="96">
        <f>+F92+F108+F122</f>
        <v>312602</v>
      </c>
    </row>
    <row r="126" spans="1:6" ht="12" customHeight="1" thickBot="1">
      <c r="A126" s="24" t="s">
        <v>9</v>
      </c>
      <c r="B126" s="55" t="s">
        <v>303</v>
      </c>
      <c r="C126" s="96">
        <f>+C127+C128+C129</f>
        <v>0</v>
      </c>
      <c r="D126" s="96"/>
      <c r="E126" s="96">
        <f>+E127+E128+E129</f>
        <v>0</v>
      </c>
      <c r="F126" s="96">
        <f>+F127+F128+F129</f>
        <v>0</v>
      </c>
    </row>
    <row r="127" spans="1:6" ht="12" customHeight="1">
      <c r="A127" s="253" t="s">
        <v>60</v>
      </c>
      <c r="B127" s="296" t="s">
        <v>304</v>
      </c>
      <c r="C127" s="207"/>
      <c r="D127" s="207"/>
      <c r="E127" s="207"/>
      <c r="F127" s="207"/>
    </row>
    <row r="128" spans="1:6" ht="12" customHeight="1">
      <c r="A128" s="253" t="s">
        <v>61</v>
      </c>
      <c r="B128" s="296" t="s">
        <v>305</v>
      </c>
      <c r="C128" s="207"/>
      <c r="D128" s="207"/>
      <c r="E128" s="207"/>
      <c r="F128" s="207"/>
    </row>
    <row r="129" spans="1:6" ht="12" customHeight="1" thickBot="1">
      <c r="A129" s="267" t="s">
        <v>62</v>
      </c>
      <c r="B129" s="307" t="s">
        <v>306</v>
      </c>
      <c r="C129" s="207"/>
      <c r="D129" s="207"/>
      <c r="E129" s="207"/>
      <c r="F129" s="207"/>
    </row>
    <row r="130" spans="1:6" ht="12" customHeight="1" thickBot="1">
      <c r="A130" s="24" t="s">
        <v>10</v>
      </c>
      <c r="B130" s="55" t="s">
        <v>307</v>
      </c>
      <c r="C130" s="96">
        <f>+C131+C132+C133+C134</f>
        <v>0</v>
      </c>
      <c r="D130" s="96">
        <f>+D131+D132+D133+D134</f>
        <v>29</v>
      </c>
      <c r="E130" s="96">
        <f>+E131+E132+E133+E134</f>
        <v>29</v>
      </c>
      <c r="F130" s="96">
        <f>+F131+F132+F133+F134</f>
        <v>29</v>
      </c>
    </row>
    <row r="131" spans="1:6" s="49" customFormat="1" ht="12" customHeight="1">
      <c r="A131" s="253" t="s">
        <v>63</v>
      </c>
      <c r="B131" s="296" t="s">
        <v>374</v>
      </c>
      <c r="C131" s="207"/>
      <c r="D131" s="207"/>
      <c r="E131" s="207"/>
      <c r="F131" s="207"/>
    </row>
    <row r="132" spans="1:12" ht="23.25" customHeight="1">
      <c r="A132" s="253" t="s">
        <v>64</v>
      </c>
      <c r="B132" s="296" t="s">
        <v>375</v>
      </c>
      <c r="C132" s="207"/>
      <c r="D132" s="207"/>
      <c r="E132" s="207"/>
      <c r="F132" s="207"/>
      <c r="L132" s="90"/>
    </row>
    <row r="133" spans="1:6" ht="21" customHeight="1">
      <c r="A133" s="253" t="s">
        <v>211</v>
      </c>
      <c r="B133" s="296" t="s">
        <v>376</v>
      </c>
      <c r="C133" s="207"/>
      <c r="D133" s="207">
        <v>29</v>
      </c>
      <c r="E133" s="207">
        <v>29</v>
      </c>
      <c r="F133" s="207">
        <v>29</v>
      </c>
    </row>
    <row r="134" spans="1:6" ht="12" customHeight="1" thickBot="1">
      <c r="A134" s="267" t="s">
        <v>213</v>
      </c>
      <c r="B134" s="307" t="s">
        <v>377</v>
      </c>
      <c r="C134" s="207"/>
      <c r="D134" s="207"/>
      <c r="E134" s="207"/>
      <c r="F134" s="207"/>
    </row>
    <row r="135" spans="1:6" s="49" customFormat="1" ht="12" customHeight="1" thickBot="1">
      <c r="A135" s="24" t="s">
        <v>11</v>
      </c>
      <c r="B135" s="55" t="s">
        <v>312</v>
      </c>
      <c r="C135" s="102">
        <f>+C136+C137+C138+C139</f>
        <v>316828</v>
      </c>
      <c r="D135" s="102">
        <f>+D136+D137+D138+D139</f>
        <v>1267</v>
      </c>
      <c r="E135" s="102">
        <f>+E136+E137+E138+E139</f>
        <v>318095</v>
      </c>
      <c r="F135" s="102">
        <f>+F136+F137+F138+F139</f>
        <v>134150</v>
      </c>
    </row>
    <row r="136" spans="1:6" s="49" customFormat="1" ht="12" customHeight="1">
      <c r="A136" s="253" t="s">
        <v>65</v>
      </c>
      <c r="B136" s="296" t="s">
        <v>434</v>
      </c>
      <c r="C136" s="207">
        <v>316828</v>
      </c>
      <c r="D136" s="207">
        <v>1267</v>
      </c>
      <c r="E136" s="207">
        <v>318095</v>
      </c>
      <c r="F136" s="207">
        <v>134150</v>
      </c>
    </row>
    <row r="137" spans="1:6" s="49" customFormat="1" ht="12" customHeight="1">
      <c r="A137" s="253" t="s">
        <v>66</v>
      </c>
      <c r="B137" s="296" t="s">
        <v>314</v>
      </c>
      <c r="C137" s="207"/>
      <c r="D137" s="207"/>
      <c r="E137" s="207"/>
      <c r="F137" s="207"/>
    </row>
    <row r="138" spans="1:6" s="49" customFormat="1" ht="12" customHeight="1">
      <c r="A138" s="253" t="s">
        <v>220</v>
      </c>
      <c r="B138" s="296" t="s">
        <v>378</v>
      </c>
      <c r="C138" s="207"/>
      <c r="D138" s="207"/>
      <c r="E138" s="207"/>
      <c r="F138" s="207"/>
    </row>
    <row r="139" spans="1:6" s="49" customFormat="1" ht="12" customHeight="1" thickBot="1">
      <c r="A139" s="267" t="s">
        <v>222</v>
      </c>
      <c r="B139" s="307" t="s">
        <v>358</v>
      </c>
      <c r="C139" s="207"/>
      <c r="D139" s="207"/>
      <c r="E139" s="207"/>
      <c r="F139" s="207"/>
    </row>
    <row r="140" spans="1:6" s="49" customFormat="1" ht="12" customHeight="1" thickBot="1">
      <c r="A140" s="24" t="s">
        <v>12</v>
      </c>
      <c r="B140" s="55" t="s">
        <v>317</v>
      </c>
      <c r="C140" s="104">
        <f>+C141+C142+C143+C144</f>
        <v>0</v>
      </c>
      <c r="D140" s="104"/>
      <c r="E140" s="104">
        <f>+E141+E142+E143+E144</f>
        <v>0</v>
      </c>
      <c r="F140" s="104">
        <f>+F141+F142+F143+F144</f>
        <v>0</v>
      </c>
    </row>
    <row r="141" spans="1:6" ht="12.75" customHeight="1">
      <c r="A141" s="253" t="s">
        <v>109</v>
      </c>
      <c r="B141" s="296" t="s">
        <v>390</v>
      </c>
      <c r="C141" s="207"/>
      <c r="D141" s="207"/>
      <c r="E141" s="207"/>
      <c r="F141" s="207"/>
    </row>
    <row r="142" spans="1:6" ht="12" customHeight="1">
      <c r="A142" s="253" t="s">
        <v>110</v>
      </c>
      <c r="B142" s="296" t="s">
        <v>391</v>
      </c>
      <c r="C142" s="207"/>
      <c r="D142" s="207"/>
      <c r="E142" s="207"/>
      <c r="F142" s="207"/>
    </row>
    <row r="143" spans="1:6" ht="15" customHeight="1">
      <c r="A143" s="253" t="s">
        <v>135</v>
      </c>
      <c r="B143" s="296" t="s">
        <v>392</v>
      </c>
      <c r="C143" s="207"/>
      <c r="D143" s="207"/>
      <c r="E143" s="207"/>
      <c r="F143" s="207"/>
    </row>
    <row r="144" spans="1:6" ht="13.5" thickBot="1">
      <c r="A144" s="253" t="s">
        <v>228</v>
      </c>
      <c r="B144" s="296" t="s">
        <v>393</v>
      </c>
      <c r="C144" s="207"/>
      <c r="D144" s="207"/>
      <c r="E144" s="207"/>
      <c r="F144" s="207"/>
    </row>
    <row r="145" spans="1:6" ht="15" customHeight="1" thickBot="1">
      <c r="A145" s="24" t="s">
        <v>13</v>
      </c>
      <c r="B145" s="55" t="s">
        <v>322</v>
      </c>
      <c r="C145" s="235">
        <f>+C126+C130+C135+C140</f>
        <v>316828</v>
      </c>
      <c r="D145" s="235">
        <f>+D126+D130+D135+D140</f>
        <v>1296</v>
      </c>
      <c r="E145" s="235">
        <f>+E126+E130+E135+E140</f>
        <v>318124</v>
      </c>
      <c r="F145" s="235">
        <f>+F126+F130+F135+F140</f>
        <v>134179</v>
      </c>
    </row>
    <row r="146" spans="1:6" ht="14.25" customHeight="1" thickBot="1">
      <c r="A146" s="269" t="s">
        <v>14</v>
      </c>
      <c r="B146" s="297" t="s">
        <v>323</v>
      </c>
      <c r="C146" s="235">
        <f>+C125+C145</f>
        <v>1061055</v>
      </c>
      <c r="D146" s="235">
        <f>+D125+D145</f>
        <v>163650</v>
      </c>
      <c r="E146" s="235">
        <f>+E125+E145</f>
        <v>1224705</v>
      </c>
      <c r="F146" s="235">
        <f>+F125+F145</f>
        <v>446781</v>
      </c>
    </row>
    <row r="148" spans="3:4" ht="12.75">
      <c r="C148" s="347" t="s">
        <v>435</v>
      </c>
      <c r="D148" s="347"/>
    </row>
    <row r="149" spans="2:4" ht="12.75">
      <c r="B149" s="348" t="s">
        <v>437</v>
      </c>
      <c r="C149" s="347" t="s">
        <v>436</v>
      </c>
      <c r="D149" s="347"/>
    </row>
  </sheetData>
  <sheetProtection formatCells="0"/>
  <mergeCells count="4">
    <mergeCell ref="B2:E2"/>
    <mergeCell ref="B3:E3"/>
    <mergeCell ref="A7:F7"/>
    <mergeCell ref="A91:F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&amp;C9.1.1 melléklet az 1/2014.(II.7.) önkormányzati rendelethez </oddHeader>
  </headerFooter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149"/>
  <sheetViews>
    <sheetView view="pageLayout" zoomScaleNormal="84" zoomScaleSheetLayoutView="100" workbookViewId="0" topLeftCell="A1">
      <selection activeCell="B2" sqref="B2:E2"/>
    </sheetView>
  </sheetViews>
  <sheetFormatPr defaultColWidth="9.375" defaultRowHeight="12.75"/>
  <cols>
    <col min="1" max="1" width="12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413</v>
      </c>
      <c r="C2" s="458"/>
      <c r="D2" s="458"/>
      <c r="E2" s="459"/>
      <c r="F2" s="271" t="s">
        <v>45</v>
      </c>
    </row>
    <row r="3" spans="1:6" s="45" customFormat="1" ht="23.25" thickBot="1">
      <c r="A3" s="252" t="s">
        <v>127</v>
      </c>
      <c r="B3" s="460" t="s">
        <v>364</v>
      </c>
      <c r="C3" s="461"/>
      <c r="D3" s="461"/>
      <c r="E3" s="462"/>
      <c r="F3" s="270" t="s">
        <v>37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64" t="s">
        <v>471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>
        <f>+D16+D17+D18+D19+D20</f>
        <v>1713</v>
      </c>
      <c r="E15" s="96">
        <f>+E16+E17+E18+E19+E20</f>
        <v>1713</v>
      </c>
      <c r="F15" s="96">
        <f>+F16+F17+F18+F19+F20</f>
        <v>1713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>
        <v>1713</v>
      </c>
      <c r="E20" s="98">
        <v>1713</v>
      </c>
      <c r="F20" s="98">
        <v>1713</v>
      </c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0</v>
      </c>
      <c r="D36" s="96">
        <f>SUM(D37:D46)</f>
        <v>62</v>
      </c>
      <c r="E36" s="96">
        <f>SUM(E37:E46)</f>
        <v>62</v>
      </c>
      <c r="F36" s="96">
        <f>SUM(F37:F46)</f>
        <v>46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>
        <v>52</v>
      </c>
      <c r="E38" s="98">
        <v>52</v>
      </c>
      <c r="F38" s="98">
        <v>36</v>
      </c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/>
      <c r="D42" s="98">
        <v>10</v>
      </c>
      <c r="E42" s="98">
        <v>10</v>
      </c>
      <c r="F42" s="98">
        <v>10</v>
      </c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0</v>
      </c>
      <c r="D63" s="102">
        <f>+D8+D15+D22+D29+D36+D47+D53+D58</f>
        <v>1775</v>
      </c>
      <c r="E63" s="102">
        <f>+E8+E15+E22+E29+E36+E47+E53+E58</f>
        <v>1775</v>
      </c>
      <c r="F63" s="102">
        <f>+F8+F15+F22+F29+F36+F47+F53+F58</f>
        <v>1759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577</v>
      </c>
      <c r="D73" s="96"/>
      <c r="E73" s="96">
        <f>SUM(E74:E75)</f>
        <v>577</v>
      </c>
      <c r="F73" s="96">
        <f>SUM(F74:F75)</f>
        <v>577</v>
      </c>
    </row>
    <row r="74" spans="1:6" s="48" customFormat="1" ht="12" customHeight="1">
      <c r="A74" s="253" t="s">
        <v>249</v>
      </c>
      <c r="B74" s="204" t="s">
        <v>250</v>
      </c>
      <c r="C74" s="101">
        <v>577</v>
      </c>
      <c r="D74" s="101"/>
      <c r="E74" s="101">
        <v>577</v>
      </c>
      <c r="F74" s="101">
        <v>577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SUM(C77)</f>
        <v>181263</v>
      </c>
      <c r="D76" s="96">
        <f>SUM(D77)</f>
        <v>1849</v>
      </c>
      <c r="E76" s="96">
        <f>SUM(E77)</f>
        <v>183112</v>
      </c>
      <c r="F76" s="96">
        <f>SUM(F77)</f>
        <v>77774</v>
      </c>
    </row>
    <row r="77" spans="1:6" s="48" customFormat="1" ht="12" customHeight="1">
      <c r="A77" s="253" t="s">
        <v>255</v>
      </c>
      <c r="B77" s="204" t="s">
        <v>414</v>
      </c>
      <c r="C77" s="101">
        <v>181263</v>
      </c>
      <c r="D77" s="101">
        <v>1849</v>
      </c>
      <c r="E77" s="101">
        <v>183112</v>
      </c>
      <c r="F77" s="101">
        <v>77774</v>
      </c>
    </row>
    <row r="78" spans="1:6" s="48" customFormat="1" ht="12" customHeight="1">
      <c r="A78" s="254" t="s">
        <v>257</v>
      </c>
      <c r="B78" s="206" t="s">
        <v>415</v>
      </c>
      <c r="C78" s="101">
        <v>68975</v>
      </c>
      <c r="D78" s="101"/>
      <c r="E78" s="101">
        <v>68975</v>
      </c>
      <c r="F78" s="101">
        <v>35867</v>
      </c>
    </row>
    <row r="79" spans="1:6" s="48" customFormat="1" ht="12" customHeight="1">
      <c r="A79" s="255" t="s">
        <v>259</v>
      </c>
      <c r="B79" s="209" t="s">
        <v>417</v>
      </c>
      <c r="C79" s="101">
        <v>24144</v>
      </c>
      <c r="D79" s="101"/>
      <c r="E79" s="101">
        <v>24144</v>
      </c>
      <c r="F79" s="101">
        <v>12555</v>
      </c>
    </row>
    <row r="80" spans="1:6" s="48" customFormat="1" ht="12" customHeight="1">
      <c r="A80" s="255"/>
      <c r="B80" s="209" t="s">
        <v>416</v>
      </c>
      <c r="C80" s="344"/>
      <c r="D80" s="344">
        <v>40193</v>
      </c>
      <c r="E80" s="344">
        <v>40193</v>
      </c>
      <c r="F80" s="344">
        <v>40193</v>
      </c>
    </row>
    <row r="81" spans="1:6" s="48" customFormat="1" ht="12" customHeight="1" thickBot="1">
      <c r="A81" s="268"/>
      <c r="B81" s="345" t="s">
        <v>418</v>
      </c>
      <c r="C81" s="346">
        <f>C77-C78-C79</f>
        <v>88144</v>
      </c>
      <c r="D81" s="346">
        <v>-38344</v>
      </c>
      <c r="E81" s="346">
        <f>E77-E78-E79-E80</f>
        <v>49800</v>
      </c>
      <c r="F81" s="346">
        <f>F77-F78-F79-F80</f>
        <v>-10841</v>
      </c>
    </row>
    <row r="82" spans="1:6" s="48" customFormat="1" ht="12" customHeight="1" thickBot="1">
      <c r="A82" s="257" t="s">
        <v>261</v>
      </c>
      <c r="B82" s="91" t="s">
        <v>262</v>
      </c>
      <c r="C82" s="96">
        <f>SUM(C83:C86)</f>
        <v>0</v>
      </c>
      <c r="D82" s="96"/>
      <c r="E82" s="96">
        <f>SUM(E83:E86)</f>
        <v>0</v>
      </c>
      <c r="F82" s="96">
        <f>SUM(F83:F86)</f>
        <v>0</v>
      </c>
    </row>
    <row r="83" spans="1:6" s="48" customFormat="1" ht="12" customHeight="1">
      <c r="A83" s="258" t="s">
        <v>263</v>
      </c>
      <c r="B83" s="204" t="s">
        <v>264</v>
      </c>
      <c r="C83" s="101"/>
      <c r="D83" s="101"/>
      <c r="E83" s="101"/>
      <c r="F83" s="101"/>
    </row>
    <row r="84" spans="1:6" s="48" customFormat="1" ht="12" customHeight="1">
      <c r="A84" s="259" t="s">
        <v>265</v>
      </c>
      <c r="B84" s="206" t="s">
        <v>266</v>
      </c>
      <c r="C84" s="101"/>
      <c r="D84" s="101"/>
      <c r="E84" s="101"/>
      <c r="F84" s="101"/>
    </row>
    <row r="85" spans="1:6" s="47" customFormat="1" ht="12" customHeight="1">
      <c r="A85" s="259" t="s">
        <v>267</v>
      </c>
      <c r="B85" s="206" t="s">
        <v>268</v>
      </c>
      <c r="C85" s="101"/>
      <c r="D85" s="101"/>
      <c r="E85" s="101"/>
      <c r="F85" s="101"/>
    </row>
    <row r="86" spans="1:6" s="47" customFormat="1" ht="12" customHeight="1" thickBot="1">
      <c r="A86" s="260" t="s">
        <v>269</v>
      </c>
      <c r="B86" s="209" t="s">
        <v>270</v>
      </c>
      <c r="C86" s="101"/>
      <c r="D86" s="101"/>
      <c r="E86" s="101"/>
      <c r="F86" s="101"/>
    </row>
    <row r="87" spans="1:6" s="47" customFormat="1" ht="12" customHeight="1" thickBot="1">
      <c r="A87" s="257" t="s">
        <v>271</v>
      </c>
      <c r="B87" s="91" t="s">
        <v>272</v>
      </c>
      <c r="C87" s="261"/>
      <c r="D87" s="261"/>
      <c r="E87" s="261"/>
      <c r="F87" s="261"/>
    </row>
    <row r="88" spans="1:6" s="47" customFormat="1" ht="12" customHeight="1" thickBot="1">
      <c r="A88" s="257" t="s">
        <v>273</v>
      </c>
      <c r="B88" s="225" t="s">
        <v>274</v>
      </c>
      <c r="C88" s="102">
        <f>+C64+C68+C73+C76+C82+C87</f>
        <v>181840</v>
      </c>
      <c r="D88" s="102">
        <f>+D64+D68+D73+D76+D82+D87</f>
        <v>1849</v>
      </c>
      <c r="E88" s="102">
        <f>+E64+E68+E73+E76+E82+E87</f>
        <v>183689</v>
      </c>
      <c r="F88" s="102">
        <f>+F64+F68+F73+F76+F82+F87</f>
        <v>78351</v>
      </c>
    </row>
    <row r="89" spans="1:6" s="48" customFormat="1" ht="12" customHeight="1" thickBot="1">
      <c r="A89" s="262" t="s">
        <v>275</v>
      </c>
      <c r="B89" s="227" t="s">
        <v>367</v>
      </c>
      <c r="C89" s="102">
        <f>+C63+C88</f>
        <v>181840</v>
      </c>
      <c r="D89" s="102">
        <f>+D63+D88</f>
        <v>3624</v>
      </c>
      <c r="E89" s="102">
        <f>+E63+E88</f>
        <v>185464</v>
      </c>
      <c r="F89" s="102">
        <f>+F63+F88</f>
        <v>80110</v>
      </c>
    </row>
    <row r="90" spans="1:6" s="48" customFormat="1" ht="15" customHeight="1">
      <c r="A90" s="85"/>
      <c r="B90" s="86"/>
      <c r="C90" s="153"/>
      <c r="D90" s="153"/>
      <c r="E90" s="153"/>
      <c r="F90" s="153"/>
    </row>
    <row r="91" spans="1:6" ht="13.5" thickBot="1">
      <c r="A91" s="87"/>
      <c r="B91" s="88"/>
      <c r="C91" s="154"/>
      <c r="D91" s="154"/>
      <c r="E91" s="154"/>
      <c r="F91" s="154"/>
    </row>
    <row r="92" spans="1:6" s="43" customFormat="1" ht="16.5" customHeight="1" thickBot="1">
      <c r="A92" s="454" t="s">
        <v>42</v>
      </c>
      <c r="B92" s="455"/>
      <c r="C92" s="455"/>
      <c r="D92" s="455"/>
      <c r="E92" s="455"/>
      <c r="F92" s="456"/>
    </row>
    <row r="93" spans="1:6" s="49" customFormat="1" ht="12" customHeight="1" thickBot="1">
      <c r="A93" s="265" t="s">
        <v>5</v>
      </c>
      <c r="B93" s="23" t="s">
        <v>277</v>
      </c>
      <c r="C93" s="95">
        <f>SUM(C94:C98)</f>
        <v>181840</v>
      </c>
      <c r="D93" s="95">
        <f>SUM(D94:D98)</f>
        <v>3224</v>
      </c>
      <c r="E93" s="95">
        <f>SUM(E94:E98)</f>
        <v>185064</v>
      </c>
      <c r="F93" s="95">
        <f>SUM(F94:F98)</f>
        <v>79153</v>
      </c>
    </row>
    <row r="94" spans="1:6" ht="12" customHeight="1">
      <c r="A94" s="266" t="s">
        <v>67</v>
      </c>
      <c r="B94" s="7" t="s">
        <v>34</v>
      </c>
      <c r="C94" s="97">
        <v>48865</v>
      </c>
      <c r="D94" s="97">
        <v>1750</v>
      </c>
      <c r="E94" s="97">
        <v>50615</v>
      </c>
      <c r="F94" s="97">
        <v>21610</v>
      </c>
    </row>
    <row r="95" spans="1:6" ht="12" customHeight="1">
      <c r="A95" s="254" t="s">
        <v>68</v>
      </c>
      <c r="B95" s="5" t="s">
        <v>111</v>
      </c>
      <c r="C95" s="98">
        <v>13455</v>
      </c>
      <c r="D95" s="98">
        <v>1474</v>
      </c>
      <c r="E95" s="98">
        <v>14929</v>
      </c>
      <c r="F95" s="98">
        <v>6416</v>
      </c>
    </row>
    <row r="96" spans="1:6" ht="12" customHeight="1">
      <c r="A96" s="254" t="s">
        <v>69</v>
      </c>
      <c r="B96" s="5" t="s">
        <v>86</v>
      </c>
      <c r="C96" s="100">
        <v>19470</v>
      </c>
      <c r="D96" s="100"/>
      <c r="E96" s="100">
        <v>19470</v>
      </c>
      <c r="F96" s="100">
        <v>8974</v>
      </c>
    </row>
    <row r="97" spans="1:6" ht="12" customHeight="1">
      <c r="A97" s="254" t="s">
        <v>70</v>
      </c>
      <c r="B97" s="8" t="s">
        <v>112</v>
      </c>
      <c r="C97" s="100">
        <v>100050</v>
      </c>
      <c r="D97" s="100"/>
      <c r="E97" s="100">
        <v>100050</v>
      </c>
      <c r="F97" s="100">
        <v>42153</v>
      </c>
    </row>
    <row r="98" spans="1:6" ht="12" customHeight="1">
      <c r="A98" s="254" t="s">
        <v>78</v>
      </c>
      <c r="B98" s="16" t="s">
        <v>113</v>
      </c>
      <c r="C98" s="100"/>
      <c r="D98" s="100"/>
      <c r="E98" s="100"/>
      <c r="F98" s="100"/>
    </row>
    <row r="99" spans="1:6" ht="12" customHeight="1">
      <c r="A99" s="254" t="s">
        <v>71</v>
      </c>
      <c r="B99" s="5" t="s">
        <v>278</v>
      </c>
      <c r="C99" s="100"/>
      <c r="D99" s="100"/>
      <c r="E99" s="100"/>
      <c r="F99" s="100"/>
    </row>
    <row r="100" spans="1:6" ht="12" customHeight="1">
      <c r="A100" s="254" t="s">
        <v>72</v>
      </c>
      <c r="B100" s="56" t="s">
        <v>279</v>
      </c>
      <c r="C100" s="100"/>
      <c r="D100" s="100"/>
      <c r="E100" s="100"/>
      <c r="F100" s="100"/>
    </row>
    <row r="101" spans="1:6" ht="12" customHeight="1">
      <c r="A101" s="254" t="s">
        <v>79</v>
      </c>
      <c r="B101" s="57" t="s">
        <v>280</v>
      </c>
      <c r="C101" s="100"/>
      <c r="D101" s="100"/>
      <c r="E101" s="100"/>
      <c r="F101" s="100"/>
    </row>
    <row r="102" spans="1:6" ht="12" customHeight="1">
      <c r="A102" s="254" t="s">
        <v>80</v>
      </c>
      <c r="B102" s="57" t="s">
        <v>281</v>
      </c>
      <c r="C102" s="100"/>
      <c r="D102" s="100"/>
      <c r="E102" s="100"/>
      <c r="F102" s="100"/>
    </row>
    <row r="103" spans="1:6" ht="12" customHeight="1">
      <c r="A103" s="254" t="s">
        <v>81</v>
      </c>
      <c r="B103" s="56" t="s">
        <v>282</v>
      </c>
      <c r="C103" s="100"/>
      <c r="D103" s="100"/>
      <c r="E103" s="100"/>
      <c r="F103" s="100"/>
    </row>
    <row r="104" spans="1:6" ht="12" customHeight="1">
      <c r="A104" s="254" t="s">
        <v>82</v>
      </c>
      <c r="B104" s="56" t="s">
        <v>283</v>
      </c>
      <c r="C104" s="100"/>
      <c r="D104" s="100"/>
      <c r="E104" s="100"/>
      <c r="F104" s="100"/>
    </row>
    <row r="105" spans="1:6" ht="12" customHeight="1">
      <c r="A105" s="254" t="s">
        <v>84</v>
      </c>
      <c r="B105" s="57" t="s">
        <v>284</v>
      </c>
      <c r="C105" s="100"/>
      <c r="D105" s="100"/>
      <c r="E105" s="100"/>
      <c r="F105" s="100"/>
    </row>
    <row r="106" spans="1:6" ht="12" customHeight="1">
      <c r="A106" s="267" t="s">
        <v>114</v>
      </c>
      <c r="B106" s="58" t="s">
        <v>285</v>
      </c>
      <c r="C106" s="100"/>
      <c r="D106" s="100"/>
      <c r="E106" s="100"/>
      <c r="F106" s="100"/>
    </row>
    <row r="107" spans="1:6" ht="12" customHeight="1">
      <c r="A107" s="254" t="s">
        <v>286</v>
      </c>
      <c r="B107" s="58" t="s">
        <v>287</v>
      </c>
      <c r="C107" s="100"/>
      <c r="D107" s="100"/>
      <c r="E107" s="100"/>
      <c r="F107" s="100"/>
    </row>
    <row r="108" spans="1:6" ht="12" customHeight="1" thickBot="1">
      <c r="A108" s="268" t="s">
        <v>288</v>
      </c>
      <c r="B108" s="59" t="s">
        <v>289</v>
      </c>
      <c r="C108" s="103"/>
      <c r="D108" s="103"/>
      <c r="E108" s="103"/>
      <c r="F108" s="103"/>
    </row>
    <row r="109" spans="1:6" ht="12" customHeight="1" thickBot="1">
      <c r="A109" s="24" t="s">
        <v>6</v>
      </c>
      <c r="B109" s="22" t="s">
        <v>290</v>
      </c>
      <c r="C109" s="96">
        <f>+C110+C112+C114</f>
        <v>0</v>
      </c>
      <c r="D109" s="96">
        <f>+D110+D112+D114</f>
        <v>400</v>
      </c>
      <c r="E109" s="96">
        <f>+E110+E112+E114</f>
        <v>400</v>
      </c>
      <c r="F109" s="96">
        <f>+F110+F112+F114</f>
        <v>133</v>
      </c>
    </row>
    <row r="110" spans="1:6" ht="12" customHeight="1">
      <c r="A110" s="253" t="s">
        <v>73</v>
      </c>
      <c r="B110" s="5" t="s">
        <v>133</v>
      </c>
      <c r="C110" s="99"/>
      <c r="D110" s="99">
        <v>400</v>
      </c>
      <c r="E110" s="99">
        <v>400</v>
      </c>
      <c r="F110" s="99">
        <v>133</v>
      </c>
    </row>
    <row r="111" spans="1:6" ht="12" customHeight="1">
      <c r="A111" s="253" t="s">
        <v>74</v>
      </c>
      <c r="B111" s="9" t="s">
        <v>291</v>
      </c>
      <c r="C111" s="99"/>
      <c r="D111" s="99"/>
      <c r="E111" s="99"/>
      <c r="F111" s="99"/>
    </row>
    <row r="112" spans="1:6" ht="12" customHeight="1">
      <c r="A112" s="253" t="s">
        <v>75</v>
      </c>
      <c r="B112" s="9" t="s">
        <v>115</v>
      </c>
      <c r="C112" s="98"/>
      <c r="D112" s="98"/>
      <c r="E112" s="98"/>
      <c r="F112" s="98"/>
    </row>
    <row r="113" spans="1:6" ht="12" customHeight="1">
      <c r="A113" s="253" t="s">
        <v>76</v>
      </c>
      <c r="B113" s="9" t="s">
        <v>292</v>
      </c>
      <c r="C113" s="207"/>
      <c r="D113" s="207"/>
      <c r="E113" s="207"/>
      <c r="F113" s="207"/>
    </row>
    <row r="114" spans="1:6" ht="12" customHeight="1">
      <c r="A114" s="253" t="s">
        <v>77</v>
      </c>
      <c r="B114" s="93" t="s">
        <v>136</v>
      </c>
      <c r="C114" s="207"/>
      <c r="D114" s="207"/>
      <c r="E114" s="207"/>
      <c r="F114" s="207"/>
    </row>
    <row r="115" spans="1:6" ht="12" customHeight="1">
      <c r="A115" s="253" t="s">
        <v>83</v>
      </c>
      <c r="B115" s="92" t="s">
        <v>384</v>
      </c>
      <c r="C115" s="207"/>
      <c r="D115" s="207"/>
      <c r="E115" s="207"/>
      <c r="F115" s="207"/>
    </row>
    <row r="116" spans="1:6" ht="12" customHeight="1">
      <c r="A116" s="253" t="s">
        <v>85</v>
      </c>
      <c r="B116" s="234" t="s">
        <v>293</v>
      </c>
      <c r="C116" s="207"/>
      <c r="D116" s="207"/>
      <c r="E116" s="207"/>
      <c r="F116" s="207"/>
    </row>
    <row r="117" spans="1:6" ht="12" customHeight="1">
      <c r="A117" s="253" t="s">
        <v>116</v>
      </c>
      <c r="B117" s="57" t="s">
        <v>281</v>
      </c>
      <c r="C117" s="207"/>
      <c r="D117" s="207"/>
      <c r="E117" s="207"/>
      <c r="F117" s="207"/>
    </row>
    <row r="118" spans="1:6" ht="12" customHeight="1">
      <c r="A118" s="253" t="s">
        <v>117</v>
      </c>
      <c r="B118" s="57" t="s">
        <v>294</v>
      </c>
      <c r="C118" s="207"/>
      <c r="D118" s="207"/>
      <c r="E118" s="207"/>
      <c r="F118" s="207"/>
    </row>
    <row r="119" spans="1:6" ht="12" customHeight="1">
      <c r="A119" s="253" t="s">
        <v>118</v>
      </c>
      <c r="B119" s="57" t="s">
        <v>295</v>
      </c>
      <c r="C119" s="207"/>
      <c r="D119" s="207"/>
      <c r="E119" s="207"/>
      <c r="F119" s="207"/>
    </row>
    <row r="120" spans="1:6" ht="12" customHeight="1">
      <c r="A120" s="253" t="s">
        <v>296</v>
      </c>
      <c r="B120" s="57" t="s">
        <v>284</v>
      </c>
      <c r="C120" s="207"/>
      <c r="D120" s="207"/>
      <c r="E120" s="207"/>
      <c r="F120" s="207"/>
    </row>
    <row r="121" spans="1:6" ht="12" customHeight="1">
      <c r="A121" s="253" t="s">
        <v>297</v>
      </c>
      <c r="B121" s="57" t="s">
        <v>298</v>
      </c>
      <c r="C121" s="207"/>
      <c r="D121" s="207"/>
      <c r="E121" s="207"/>
      <c r="F121" s="207"/>
    </row>
    <row r="122" spans="1:6" ht="12" customHeight="1" thickBot="1">
      <c r="A122" s="267" t="s">
        <v>299</v>
      </c>
      <c r="B122" s="57" t="s">
        <v>300</v>
      </c>
      <c r="C122" s="211"/>
      <c r="D122" s="211"/>
      <c r="E122" s="211"/>
      <c r="F122" s="211"/>
    </row>
    <row r="123" spans="1:6" ht="12" customHeight="1" thickBot="1">
      <c r="A123" s="24" t="s">
        <v>7</v>
      </c>
      <c r="B123" s="52" t="s">
        <v>301</v>
      </c>
      <c r="C123" s="96">
        <f>+C124+C125</f>
        <v>0</v>
      </c>
      <c r="D123" s="96"/>
      <c r="E123" s="96">
        <f>+E124+E125</f>
        <v>0</v>
      </c>
      <c r="F123" s="96">
        <f>+F124+F125</f>
        <v>0</v>
      </c>
    </row>
    <row r="124" spans="1:6" ht="12" customHeight="1">
      <c r="A124" s="253" t="s">
        <v>56</v>
      </c>
      <c r="B124" s="6" t="s">
        <v>43</v>
      </c>
      <c r="C124" s="99"/>
      <c r="D124" s="99"/>
      <c r="E124" s="99"/>
      <c r="F124" s="99"/>
    </row>
    <row r="125" spans="1:6" s="49" customFormat="1" ht="12" customHeight="1" thickBot="1">
      <c r="A125" s="255" t="s">
        <v>57</v>
      </c>
      <c r="B125" s="9" t="s">
        <v>44</v>
      </c>
      <c r="C125" s="100"/>
      <c r="D125" s="100"/>
      <c r="E125" s="100"/>
      <c r="F125" s="100"/>
    </row>
    <row r="126" spans="1:6" ht="12" customHeight="1" thickBot="1">
      <c r="A126" s="24" t="s">
        <v>8</v>
      </c>
      <c r="B126" s="52" t="s">
        <v>302</v>
      </c>
      <c r="C126" s="96">
        <f>+C93+C109+C123</f>
        <v>181840</v>
      </c>
      <c r="D126" s="96">
        <f>+D93+D109+D123</f>
        <v>3624</v>
      </c>
      <c r="E126" s="96">
        <f>+E93+E109+E123</f>
        <v>185464</v>
      </c>
      <c r="F126" s="96">
        <f>+F93+F109+F123</f>
        <v>79286</v>
      </c>
    </row>
    <row r="127" spans="1:6" ht="12" customHeight="1" thickBot="1">
      <c r="A127" s="24" t="s">
        <v>9</v>
      </c>
      <c r="B127" s="52" t="s">
        <v>303</v>
      </c>
      <c r="C127" s="96">
        <f>+C128+C129+C130</f>
        <v>0</v>
      </c>
      <c r="D127" s="96"/>
      <c r="E127" s="96">
        <f>+E128+E129+E130</f>
        <v>0</v>
      </c>
      <c r="F127" s="96">
        <f>+F128+F129+F130</f>
        <v>0</v>
      </c>
    </row>
    <row r="128" spans="1:6" ht="12" customHeight="1">
      <c r="A128" s="253" t="s">
        <v>60</v>
      </c>
      <c r="B128" s="6" t="s">
        <v>304</v>
      </c>
      <c r="C128" s="207"/>
      <c r="D128" s="207"/>
      <c r="E128" s="207"/>
      <c r="F128" s="207"/>
    </row>
    <row r="129" spans="1:6" ht="12" customHeight="1">
      <c r="A129" s="253" t="s">
        <v>61</v>
      </c>
      <c r="B129" s="6" t="s">
        <v>305</v>
      </c>
      <c r="C129" s="207"/>
      <c r="D129" s="207"/>
      <c r="E129" s="207"/>
      <c r="F129" s="207"/>
    </row>
    <row r="130" spans="1:6" ht="12" customHeight="1" thickBot="1">
      <c r="A130" s="267" t="s">
        <v>62</v>
      </c>
      <c r="B130" s="4" t="s">
        <v>306</v>
      </c>
      <c r="C130" s="207"/>
      <c r="D130" s="207"/>
      <c r="E130" s="207"/>
      <c r="F130" s="207"/>
    </row>
    <row r="131" spans="1:6" ht="12" customHeight="1" thickBot="1">
      <c r="A131" s="24" t="s">
        <v>10</v>
      </c>
      <c r="B131" s="52" t="s">
        <v>307</v>
      </c>
      <c r="C131" s="96">
        <f>+C132+C133+C134+C135</f>
        <v>0</v>
      </c>
      <c r="D131" s="96"/>
      <c r="E131" s="96">
        <f>+E132+E133+E134+E135</f>
        <v>0</v>
      </c>
      <c r="F131" s="96">
        <f>+F132+F133+F134+F135</f>
        <v>0</v>
      </c>
    </row>
    <row r="132" spans="1:6" s="49" customFormat="1" ht="12" customHeight="1">
      <c r="A132" s="253" t="s">
        <v>63</v>
      </c>
      <c r="B132" s="6" t="s">
        <v>308</v>
      </c>
      <c r="C132" s="207"/>
      <c r="D132" s="207"/>
      <c r="E132" s="207"/>
      <c r="F132" s="207"/>
    </row>
    <row r="133" spans="1:12" ht="23.25" customHeight="1">
      <c r="A133" s="253" t="s">
        <v>64</v>
      </c>
      <c r="B133" s="6" t="s">
        <v>309</v>
      </c>
      <c r="C133" s="207"/>
      <c r="D133" s="207"/>
      <c r="E133" s="207"/>
      <c r="F133" s="207"/>
      <c r="L133" s="90"/>
    </row>
    <row r="134" spans="1:6" ht="21" customHeight="1">
      <c r="A134" s="253" t="s">
        <v>211</v>
      </c>
      <c r="B134" s="6" t="s">
        <v>310</v>
      </c>
      <c r="C134" s="207"/>
      <c r="D134" s="207"/>
      <c r="E134" s="207"/>
      <c r="F134" s="207"/>
    </row>
    <row r="135" spans="1:6" ht="12" customHeight="1" thickBot="1">
      <c r="A135" s="267" t="s">
        <v>213</v>
      </c>
      <c r="B135" s="4" t="s">
        <v>311</v>
      </c>
      <c r="C135" s="207"/>
      <c r="D135" s="207"/>
      <c r="E135" s="207"/>
      <c r="F135" s="207"/>
    </row>
    <row r="136" spans="1:6" s="49" customFormat="1" ht="12" customHeight="1" thickBot="1">
      <c r="A136" s="24" t="s">
        <v>11</v>
      </c>
      <c r="B136" s="52" t="s">
        <v>312</v>
      </c>
      <c r="C136" s="102">
        <f>+C137+C138+C139+C140</f>
        <v>0</v>
      </c>
      <c r="D136" s="102"/>
      <c r="E136" s="102">
        <f>+E137+E138+E139+E140</f>
        <v>0</v>
      </c>
      <c r="F136" s="102">
        <f>+F137+F138+F139+F140</f>
        <v>0</v>
      </c>
    </row>
    <row r="137" spans="1:6" s="49" customFormat="1" ht="12" customHeight="1">
      <c r="A137" s="253" t="s">
        <v>65</v>
      </c>
      <c r="B137" s="6" t="s">
        <v>313</v>
      </c>
      <c r="C137" s="207"/>
      <c r="D137" s="207"/>
      <c r="E137" s="207"/>
      <c r="F137" s="207"/>
    </row>
    <row r="138" spans="1:6" s="49" customFormat="1" ht="12" customHeight="1">
      <c r="A138" s="253" t="s">
        <v>66</v>
      </c>
      <c r="B138" s="6" t="s">
        <v>314</v>
      </c>
      <c r="C138" s="207"/>
      <c r="D138" s="207"/>
      <c r="E138" s="207"/>
      <c r="F138" s="207"/>
    </row>
    <row r="139" spans="1:6" s="49" customFormat="1" ht="12" customHeight="1">
      <c r="A139" s="253" t="s">
        <v>220</v>
      </c>
      <c r="B139" s="6" t="s">
        <v>315</v>
      </c>
      <c r="C139" s="207"/>
      <c r="D139" s="207"/>
      <c r="E139" s="207"/>
      <c r="F139" s="207"/>
    </row>
    <row r="140" spans="1:6" s="49" customFormat="1" ht="12" customHeight="1" thickBot="1">
      <c r="A140" s="267" t="s">
        <v>222</v>
      </c>
      <c r="B140" s="4" t="s">
        <v>316</v>
      </c>
      <c r="C140" s="207"/>
      <c r="D140" s="207"/>
      <c r="E140" s="207"/>
      <c r="F140" s="207"/>
    </row>
    <row r="141" spans="1:6" s="49" customFormat="1" ht="12" customHeight="1" thickBot="1">
      <c r="A141" s="24" t="s">
        <v>12</v>
      </c>
      <c r="B141" s="52" t="s">
        <v>317</v>
      </c>
      <c r="C141" s="104">
        <f>+C142+C143+C144+C145</f>
        <v>0</v>
      </c>
      <c r="D141" s="104"/>
      <c r="E141" s="104">
        <f>+E142+E143+E144+E145</f>
        <v>0</v>
      </c>
      <c r="F141" s="104">
        <f>+F142+F143+F144+F145</f>
        <v>0</v>
      </c>
    </row>
    <row r="142" spans="1:6" ht="12.75" customHeight="1">
      <c r="A142" s="253" t="s">
        <v>109</v>
      </c>
      <c r="B142" s="6" t="s">
        <v>318</v>
      </c>
      <c r="C142" s="207"/>
      <c r="D142" s="207"/>
      <c r="E142" s="207"/>
      <c r="F142" s="207"/>
    </row>
    <row r="143" spans="1:6" ht="12" customHeight="1">
      <c r="A143" s="253" t="s">
        <v>110</v>
      </c>
      <c r="B143" s="6" t="s">
        <v>319</v>
      </c>
      <c r="C143" s="207"/>
      <c r="D143" s="207"/>
      <c r="E143" s="207"/>
      <c r="F143" s="207"/>
    </row>
    <row r="144" spans="1:6" ht="15" customHeight="1">
      <c r="A144" s="253" t="s">
        <v>135</v>
      </c>
      <c r="B144" s="6" t="s">
        <v>320</v>
      </c>
      <c r="C144" s="207"/>
      <c r="D144" s="207"/>
      <c r="E144" s="207"/>
      <c r="F144" s="207"/>
    </row>
    <row r="145" spans="1:6" ht="13.5" thickBot="1">
      <c r="A145" s="253" t="s">
        <v>228</v>
      </c>
      <c r="B145" s="6" t="s">
        <v>321</v>
      </c>
      <c r="C145" s="207"/>
      <c r="D145" s="207"/>
      <c r="E145" s="207"/>
      <c r="F145" s="207"/>
    </row>
    <row r="146" spans="1:6" ht="15" customHeight="1" thickBot="1">
      <c r="A146" s="24" t="s">
        <v>13</v>
      </c>
      <c r="B146" s="52" t="s">
        <v>322</v>
      </c>
      <c r="C146" s="235">
        <f>+C127+C131+C136+C141</f>
        <v>0</v>
      </c>
      <c r="D146" s="235"/>
      <c r="E146" s="235">
        <f>+E127+E131+E136+E141</f>
        <v>0</v>
      </c>
      <c r="F146" s="235">
        <f>+F127+F131+F136+F141</f>
        <v>0</v>
      </c>
    </row>
    <row r="147" spans="1:6" ht="14.25" customHeight="1" thickBot="1">
      <c r="A147" s="269" t="s">
        <v>14</v>
      </c>
      <c r="B147" s="155" t="s">
        <v>323</v>
      </c>
      <c r="C147" s="235">
        <f>+C126+C146</f>
        <v>181840</v>
      </c>
      <c r="D147" s="235">
        <f>+D126+D146</f>
        <v>3624</v>
      </c>
      <c r="E147" s="235">
        <f>+E126+E146</f>
        <v>185464</v>
      </c>
      <c r="F147" s="235">
        <f>+F126+F146</f>
        <v>79286</v>
      </c>
    </row>
    <row r="149" spans="3:4" ht="12.75">
      <c r="C149" s="347" t="s">
        <v>419</v>
      </c>
      <c r="D149" s="347"/>
    </row>
  </sheetData>
  <sheetProtection formatCells="0"/>
  <mergeCells count="4">
    <mergeCell ref="B2:E2"/>
    <mergeCell ref="B3:E3"/>
    <mergeCell ref="A7:F7"/>
    <mergeCell ref="A92:F92"/>
  </mergeCells>
  <printOptions horizontalCentered="1"/>
  <pageMargins left="0.17" right="0.2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&amp;C9.2 melléklet az 1/2014.(II.7.) önkormányzati rendelethez </oddHeader>
  </headerFooter>
  <rowBreaks count="1" manualBreakCount="1">
    <brk id="8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L150"/>
  <sheetViews>
    <sheetView view="pageLayout" zoomScaleSheetLayoutView="124" workbookViewId="0" topLeftCell="A1">
      <selection activeCell="B10" sqref="B10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370</v>
      </c>
      <c r="C2" s="458"/>
      <c r="D2" s="458"/>
      <c r="E2" s="459"/>
      <c r="F2" s="151" t="s">
        <v>45</v>
      </c>
    </row>
    <row r="3" spans="1:6" s="45" customFormat="1" ht="23.25" thickBot="1">
      <c r="A3" s="252" t="s">
        <v>127</v>
      </c>
      <c r="B3" s="460" t="s">
        <v>368</v>
      </c>
      <c r="C3" s="461"/>
      <c r="D3" s="461"/>
      <c r="E3" s="462"/>
      <c r="F3" s="270" t="s">
        <v>36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64" t="s">
        <v>471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>
        <f>+D16+D17+D18+D19+D20</f>
        <v>1713</v>
      </c>
      <c r="E15" s="96">
        <f>+E16+E17+E18+E19+E20</f>
        <v>1713</v>
      </c>
      <c r="F15" s="96">
        <f>+F16+F17+F18+F19+F20</f>
        <v>1713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>
        <v>1713</v>
      </c>
      <c r="E20" s="98">
        <v>1713</v>
      </c>
      <c r="F20" s="98">
        <v>1713</v>
      </c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0</v>
      </c>
      <c r="D36" s="96">
        <f>SUM(D37:D46)</f>
        <v>62</v>
      </c>
      <c r="E36" s="96">
        <f>SUM(E37:E46)</f>
        <v>62</v>
      </c>
      <c r="F36" s="96">
        <f>SUM(F37:F46)</f>
        <v>46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>
        <v>52</v>
      </c>
      <c r="E38" s="98">
        <v>52</v>
      </c>
      <c r="F38" s="98">
        <v>36</v>
      </c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/>
      <c r="D42" s="98">
        <v>10</v>
      </c>
      <c r="E42" s="98">
        <v>10</v>
      </c>
      <c r="F42" s="98">
        <v>10</v>
      </c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0</v>
      </c>
      <c r="D63" s="102">
        <f>+D8+D15+D22+D29+D36+D47+D53+D58</f>
        <v>1775</v>
      </c>
      <c r="E63" s="102">
        <f>+E8+E15+E22+E29+E36+E47+E53+E58</f>
        <v>1775</v>
      </c>
      <c r="F63" s="102">
        <f>+F8+F15+F22+F29+F36+F47+F53+F58</f>
        <v>1759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577</v>
      </c>
      <c r="D73" s="96"/>
      <c r="E73" s="96">
        <f>SUM(E74:E75)</f>
        <v>577</v>
      </c>
      <c r="F73" s="96">
        <f>SUM(F74:F75)</f>
        <v>577</v>
      </c>
    </row>
    <row r="74" spans="1:6" s="48" customFormat="1" ht="12" customHeight="1">
      <c r="A74" s="253" t="s">
        <v>249</v>
      </c>
      <c r="B74" s="204" t="s">
        <v>250</v>
      </c>
      <c r="C74" s="101">
        <v>577</v>
      </c>
      <c r="D74" s="101"/>
      <c r="E74" s="101">
        <v>577</v>
      </c>
      <c r="F74" s="101">
        <v>577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SUM(C77)</f>
        <v>181263</v>
      </c>
      <c r="D76" s="96">
        <f>SUM(D77)</f>
        <v>1849</v>
      </c>
      <c r="E76" s="96">
        <f>SUM(E77)</f>
        <v>183112</v>
      </c>
      <c r="F76" s="96">
        <f>SUM(F77)</f>
        <v>77773</v>
      </c>
    </row>
    <row r="77" spans="1:6" s="48" customFormat="1" ht="12" customHeight="1">
      <c r="A77" s="253" t="s">
        <v>255</v>
      </c>
      <c r="B77" s="204" t="s">
        <v>414</v>
      </c>
      <c r="C77" s="101">
        <v>181263</v>
      </c>
      <c r="D77" s="101">
        <v>1849</v>
      </c>
      <c r="E77" s="101">
        <v>183112</v>
      </c>
      <c r="F77" s="101">
        <v>77773</v>
      </c>
    </row>
    <row r="78" spans="1:6" s="48" customFormat="1" ht="12" customHeight="1">
      <c r="A78" s="254" t="s">
        <v>257</v>
      </c>
      <c r="B78" s="206" t="s">
        <v>415</v>
      </c>
      <c r="C78" s="101">
        <v>68975</v>
      </c>
      <c r="D78" s="101"/>
      <c r="E78" s="101">
        <v>68975</v>
      </c>
      <c r="F78" s="101">
        <v>35867</v>
      </c>
    </row>
    <row r="79" spans="1:6" s="48" customFormat="1" ht="12" customHeight="1">
      <c r="A79" s="255" t="s">
        <v>259</v>
      </c>
      <c r="B79" s="209" t="s">
        <v>417</v>
      </c>
      <c r="C79" s="101">
        <v>24144</v>
      </c>
      <c r="D79" s="101"/>
      <c r="E79" s="101">
        <v>24144</v>
      </c>
      <c r="F79" s="101">
        <v>12555</v>
      </c>
    </row>
    <row r="80" spans="1:6" s="48" customFormat="1" ht="12" customHeight="1">
      <c r="A80" s="255"/>
      <c r="B80" s="209" t="s">
        <v>416</v>
      </c>
      <c r="C80" s="344"/>
      <c r="D80" s="344">
        <v>40193</v>
      </c>
      <c r="E80" s="344">
        <v>40193</v>
      </c>
      <c r="F80" s="344">
        <v>40193</v>
      </c>
    </row>
    <row r="81" spans="1:6" s="48" customFormat="1" ht="12" customHeight="1" thickBot="1">
      <c r="A81" s="268"/>
      <c r="B81" s="345" t="s">
        <v>418</v>
      </c>
      <c r="C81" s="346">
        <f>C77-C78-C79</f>
        <v>88144</v>
      </c>
      <c r="D81" s="346">
        <v>-38344</v>
      </c>
      <c r="E81" s="346">
        <f>E77-E78-E79-E80</f>
        <v>49800</v>
      </c>
      <c r="F81" s="346">
        <f>F77-F78-F79-F80</f>
        <v>-10842</v>
      </c>
    </row>
    <row r="82" spans="1:6" s="48" customFormat="1" ht="12" customHeight="1" thickBot="1">
      <c r="A82" s="255" t="s">
        <v>259</v>
      </c>
      <c r="B82" s="209" t="s">
        <v>260</v>
      </c>
      <c r="C82" s="101"/>
      <c r="D82" s="101"/>
      <c r="E82" s="101"/>
      <c r="F82" s="101"/>
    </row>
    <row r="83" spans="1:6" s="48" customFormat="1" ht="12" customHeight="1" thickBot="1">
      <c r="A83" s="257" t="s">
        <v>261</v>
      </c>
      <c r="B83" s="91" t="s">
        <v>262</v>
      </c>
      <c r="C83" s="96">
        <f>SUM(C84:C87)</f>
        <v>0</v>
      </c>
      <c r="D83" s="96"/>
      <c r="E83" s="96">
        <f>SUM(E84:E87)</f>
        <v>0</v>
      </c>
      <c r="F83" s="96">
        <f>SUM(F84:F87)</f>
        <v>0</v>
      </c>
    </row>
    <row r="84" spans="1:6" s="48" customFormat="1" ht="12" customHeight="1">
      <c r="A84" s="258" t="s">
        <v>263</v>
      </c>
      <c r="B84" s="204" t="s">
        <v>264</v>
      </c>
      <c r="C84" s="101"/>
      <c r="D84" s="101"/>
      <c r="E84" s="101"/>
      <c r="F84" s="101"/>
    </row>
    <row r="85" spans="1:6" s="48" customFormat="1" ht="12" customHeight="1">
      <c r="A85" s="259" t="s">
        <v>265</v>
      </c>
      <c r="B85" s="206" t="s">
        <v>266</v>
      </c>
      <c r="C85" s="101"/>
      <c r="D85" s="101"/>
      <c r="E85" s="101"/>
      <c r="F85" s="101"/>
    </row>
    <row r="86" spans="1:6" s="47" customFormat="1" ht="12" customHeight="1">
      <c r="A86" s="259" t="s">
        <v>267</v>
      </c>
      <c r="B86" s="206" t="s">
        <v>268</v>
      </c>
      <c r="C86" s="101"/>
      <c r="D86" s="101"/>
      <c r="E86" s="101"/>
      <c r="F86" s="101"/>
    </row>
    <row r="87" spans="1:6" s="47" customFormat="1" ht="12" customHeight="1" thickBot="1">
      <c r="A87" s="260" t="s">
        <v>269</v>
      </c>
      <c r="B87" s="209" t="s">
        <v>270</v>
      </c>
      <c r="C87" s="101"/>
      <c r="D87" s="101"/>
      <c r="E87" s="101"/>
      <c r="F87" s="101"/>
    </row>
    <row r="88" spans="1:6" s="47" customFormat="1" ht="12" customHeight="1" thickBot="1">
      <c r="A88" s="257" t="s">
        <v>271</v>
      </c>
      <c r="B88" s="91" t="s">
        <v>272</v>
      </c>
      <c r="C88" s="261"/>
      <c r="D88" s="261"/>
      <c r="E88" s="261"/>
      <c r="F88" s="261"/>
    </row>
    <row r="89" spans="1:6" s="47" customFormat="1" ht="12" customHeight="1" thickBot="1">
      <c r="A89" s="257" t="s">
        <v>273</v>
      </c>
      <c r="B89" s="225" t="s">
        <v>274</v>
      </c>
      <c r="C89" s="102">
        <f>+C64+C68+C73+C76+C83+C88</f>
        <v>181840</v>
      </c>
      <c r="D89" s="102">
        <f>+D64+D68+D73+D76+D83+D88</f>
        <v>1849</v>
      </c>
      <c r="E89" s="102">
        <f>+E64+E68+E73+E76+E83+E88</f>
        <v>183689</v>
      </c>
      <c r="F89" s="102">
        <f>+F64+F68+F73+F76+F83+F88</f>
        <v>78350</v>
      </c>
    </row>
    <row r="90" spans="1:6" s="48" customFormat="1" ht="12" customHeight="1" thickBot="1">
      <c r="A90" s="262" t="s">
        <v>275</v>
      </c>
      <c r="B90" s="227" t="s">
        <v>367</v>
      </c>
      <c r="C90" s="102">
        <f>+C63+C89</f>
        <v>181840</v>
      </c>
      <c r="D90" s="102">
        <f>+D63+D89</f>
        <v>3624</v>
      </c>
      <c r="E90" s="102">
        <f>+E63+E89</f>
        <v>185464</v>
      </c>
      <c r="F90" s="102">
        <f>+F63+F89</f>
        <v>80109</v>
      </c>
    </row>
    <row r="91" spans="1:6" s="48" customFormat="1" ht="15" customHeight="1">
      <c r="A91" s="85"/>
      <c r="B91" s="86"/>
      <c r="C91" s="153"/>
      <c r="D91" s="153"/>
      <c r="E91" s="153"/>
      <c r="F91" s="153"/>
    </row>
    <row r="92" spans="1:6" ht="13.5" thickBot="1">
      <c r="A92" s="87"/>
      <c r="B92" s="88"/>
      <c r="C92" s="154"/>
      <c r="D92" s="154"/>
      <c r="E92" s="154"/>
      <c r="F92" s="154"/>
    </row>
    <row r="93" spans="1:6" s="43" customFormat="1" ht="16.5" customHeight="1" thickBot="1">
      <c r="A93" s="454" t="s">
        <v>42</v>
      </c>
      <c r="B93" s="455"/>
      <c r="C93" s="455"/>
      <c r="D93" s="455"/>
      <c r="E93" s="455"/>
      <c r="F93" s="456"/>
    </row>
    <row r="94" spans="1:6" s="49" customFormat="1" ht="12" customHeight="1" thickBot="1">
      <c r="A94" s="265" t="s">
        <v>5</v>
      </c>
      <c r="B94" s="23" t="s">
        <v>277</v>
      </c>
      <c r="C94" s="95">
        <f>SUM(C95:C99)</f>
        <v>181840</v>
      </c>
      <c r="D94" s="95">
        <f>SUM(D95:D99)</f>
        <v>3224</v>
      </c>
      <c r="E94" s="95">
        <f>SUM(E95:E99)</f>
        <v>185064</v>
      </c>
      <c r="F94" s="95">
        <f>SUM(F95:F99)</f>
        <v>79153</v>
      </c>
    </row>
    <row r="95" spans="1:6" ht="12" customHeight="1">
      <c r="A95" s="266" t="s">
        <v>67</v>
      </c>
      <c r="B95" s="7" t="s">
        <v>34</v>
      </c>
      <c r="C95" s="97">
        <v>48865</v>
      </c>
      <c r="D95" s="97">
        <v>1750</v>
      </c>
      <c r="E95" s="97">
        <v>50615</v>
      </c>
      <c r="F95" s="97">
        <v>21610</v>
      </c>
    </row>
    <row r="96" spans="1:6" ht="12" customHeight="1">
      <c r="A96" s="254" t="s">
        <v>68</v>
      </c>
      <c r="B96" s="5" t="s">
        <v>111</v>
      </c>
      <c r="C96" s="98">
        <v>13455</v>
      </c>
      <c r="D96" s="98">
        <v>1474</v>
      </c>
      <c r="E96" s="98">
        <v>14929</v>
      </c>
      <c r="F96" s="98">
        <v>6416</v>
      </c>
    </row>
    <row r="97" spans="1:6" ht="12" customHeight="1">
      <c r="A97" s="254" t="s">
        <v>69</v>
      </c>
      <c r="B97" s="5" t="s">
        <v>86</v>
      </c>
      <c r="C97" s="100">
        <v>19470</v>
      </c>
      <c r="D97" s="100"/>
      <c r="E97" s="100">
        <v>19470</v>
      </c>
      <c r="F97" s="100">
        <v>8974</v>
      </c>
    </row>
    <row r="98" spans="1:6" ht="12" customHeight="1">
      <c r="A98" s="254" t="s">
        <v>70</v>
      </c>
      <c r="B98" s="8" t="s">
        <v>112</v>
      </c>
      <c r="C98" s="100">
        <v>100050</v>
      </c>
      <c r="D98" s="100"/>
      <c r="E98" s="100">
        <v>100050</v>
      </c>
      <c r="F98" s="100">
        <v>42153</v>
      </c>
    </row>
    <row r="99" spans="1:6" ht="12" customHeight="1">
      <c r="A99" s="254" t="s">
        <v>78</v>
      </c>
      <c r="B99" s="16" t="s">
        <v>113</v>
      </c>
      <c r="C99" s="100"/>
      <c r="D99" s="100"/>
      <c r="E99" s="100"/>
      <c r="F99" s="100"/>
    </row>
    <row r="100" spans="1:6" ht="12" customHeight="1">
      <c r="A100" s="254" t="s">
        <v>71</v>
      </c>
      <c r="B100" s="5" t="s">
        <v>278</v>
      </c>
      <c r="C100" s="100"/>
      <c r="D100" s="100"/>
      <c r="E100" s="100"/>
      <c r="F100" s="100"/>
    </row>
    <row r="101" spans="1:6" ht="12" customHeight="1">
      <c r="A101" s="254" t="s">
        <v>72</v>
      </c>
      <c r="B101" s="56" t="s">
        <v>279</v>
      </c>
      <c r="C101" s="100"/>
      <c r="D101" s="100"/>
      <c r="E101" s="100"/>
      <c r="F101" s="100"/>
    </row>
    <row r="102" spans="1:6" ht="12" customHeight="1">
      <c r="A102" s="254" t="s">
        <v>79</v>
      </c>
      <c r="B102" s="57" t="s">
        <v>280</v>
      </c>
      <c r="C102" s="100"/>
      <c r="D102" s="100"/>
      <c r="E102" s="100"/>
      <c r="F102" s="100"/>
    </row>
    <row r="103" spans="1:6" ht="12" customHeight="1">
      <c r="A103" s="254" t="s">
        <v>80</v>
      </c>
      <c r="B103" s="57" t="s">
        <v>281</v>
      </c>
      <c r="C103" s="100"/>
      <c r="D103" s="100"/>
      <c r="E103" s="100"/>
      <c r="F103" s="100"/>
    </row>
    <row r="104" spans="1:6" ht="12" customHeight="1">
      <c r="A104" s="254" t="s">
        <v>81</v>
      </c>
      <c r="B104" s="56" t="s">
        <v>282</v>
      </c>
      <c r="C104" s="100"/>
      <c r="D104" s="100"/>
      <c r="E104" s="100"/>
      <c r="F104" s="100"/>
    </row>
    <row r="105" spans="1:6" ht="12" customHeight="1">
      <c r="A105" s="254" t="s">
        <v>82</v>
      </c>
      <c r="B105" s="56" t="s">
        <v>283</v>
      </c>
      <c r="C105" s="100"/>
      <c r="D105" s="100"/>
      <c r="E105" s="100"/>
      <c r="F105" s="100"/>
    </row>
    <row r="106" spans="1:6" ht="12" customHeight="1">
      <c r="A106" s="254" t="s">
        <v>84</v>
      </c>
      <c r="B106" s="57" t="s">
        <v>284</v>
      </c>
      <c r="C106" s="100"/>
      <c r="D106" s="100"/>
      <c r="E106" s="100"/>
      <c r="F106" s="100"/>
    </row>
    <row r="107" spans="1:6" ht="12" customHeight="1">
      <c r="A107" s="267" t="s">
        <v>114</v>
      </c>
      <c r="B107" s="58" t="s">
        <v>285</v>
      </c>
      <c r="C107" s="100"/>
      <c r="D107" s="100"/>
      <c r="E107" s="100"/>
      <c r="F107" s="100"/>
    </row>
    <row r="108" spans="1:6" ht="12" customHeight="1">
      <c r="A108" s="254" t="s">
        <v>286</v>
      </c>
      <c r="B108" s="58" t="s">
        <v>287</v>
      </c>
      <c r="C108" s="100"/>
      <c r="D108" s="100"/>
      <c r="E108" s="100"/>
      <c r="F108" s="100"/>
    </row>
    <row r="109" spans="1:6" ht="12" customHeight="1" thickBot="1">
      <c r="A109" s="268" t="s">
        <v>288</v>
      </c>
      <c r="B109" s="59" t="s">
        <v>289</v>
      </c>
      <c r="C109" s="103"/>
      <c r="D109" s="103"/>
      <c r="E109" s="103"/>
      <c r="F109" s="103"/>
    </row>
    <row r="110" spans="1:6" ht="12" customHeight="1" thickBot="1">
      <c r="A110" s="24" t="s">
        <v>6</v>
      </c>
      <c r="B110" s="22" t="s">
        <v>290</v>
      </c>
      <c r="C110" s="96">
        <f>+C111+C113+C115</f>
        <v>0</v>
      </c>
      <c r="D110" s="96">
        <f>+D111+D113+D115</f>
        <v>400</v>
      </c>
      <c r="E110" s="96">
        <f>+E111+E113+E115</f>
        <v>400</v>
      </c>
      <c r="F110" s="96">
        <f>+F111+F113+F115</f>
        <v>133</v>
      </c>
    </row>
    <row r="111" spans="1:6" ht="12" customHeight="1">
      <c r="A111" s="253" t="s">
        <v>73</v>
      </c>
      <c r="B111" s="5" t="s">
        <v>133</v>
      </c>
      <c r="C111" s="99"/>
      <c r="D111" s="99">
        <v>400</v>
      </c>
      <c r="E111" s="99">
        <v>400</v>
      </c>
      <c r="F111" s="99">
        <v>133</v>
      </c>
    </row>
    <row r="112" spans="1:6" ht="12" customHeight="1">
      <c r="A112" s="253" t="s">
        <v>74</v>
      </c>
      <c r="B112" s="9" t="s">
        <v>291</v>
      </c>
      <c r="C112" s="99"/>
      <c r="D112" s="99"/>
      <c r="E112" s="99"/>
      <c r="F112" s="99"/>
    </row>
    <row r="113" spans="1:6" ht="12" customHeight="1">
      <c r="A113" s="253" t="s">
        <v>75</v>
      </c>
      <c r="B113" s="9" t="s">
        <v>115</v>
      </c>
      <c r="C113" s="98"/>
      <c r="D113" s="98"/>
      <c r="E113" s="98"/>
      <c r="F113" s="98"/>
    </row>
    <row r="114" spans="1:6" ht="12" customHeight="1">
      <c r="A114" s="253" t="s">
        <v>76</v>
      </c>
      <c r="B114" s="9" t="s">
        <v>292</v>
      </c>
      <c r="C114" s="207"/>
      <c r="D114" s="207"/>
      <c r="E114" s="207"/>
      <c r="F114" s="207"/>
    </row>
    <row r="115" spans="1:6" ht="12" customHeight="1">
      <c r="A115" s="253" t="s">
        <v>77</v>
      </c>
      <c r="B115" s="93" t="s">
        <v>136</v>
      </c>
      <c r="C115" s="207"/>
      <c r="D115" s="207"/>
      <c r="E115" s="207"/>
      <c r="F115" s="207"/>
    </row>
    <row r="116" spans="1:6" ht="12" customHeight="1">
      <c r="A116" s="253" t="s">
        <v>83</v>
      </c>
      <c r="B116" s="92" t="s">
        <v>384</v>
      </c>
      <c r="C116" s="207"/>
      <c r="D116" s="207"/>
      <c r="E116" s="207"/>
      <c r="F116" s="207"/>
    </row>
    <row r="117" spans="1:6" ht="12" customHeight="1">
      <c r="A117" s="253" t="s">
        <v>85</v>
      </c>
      <c r="B117" s="234" t="s">
        <v>293</v>
      </c>
      <c r="C117" s="207"/>
      <c r="D117" s="207"/>
      <c r="E117" s="207"/>
      <c r="F117" s="207"/>
    </row>
    <row r="118" spans="1:6" ht="12" customHeight="1">
      <c r="A118" s="253" t="s">
        <v>116</v>
      </c>
      <c r="B118" s="57" t="s">
        <v>281</v>
      </c>
      <c r="C118" s="207"/>
      <c r="D118" s="207"/>
      <c r="E118" s="207"/>
      <c r="F118" s="207"/>
    </row>
    <row r="119" spans="1:6" ht="12" customHeight="1">
      <c r="A119" s="253" t="s">
        <v>117</v>
      </c>
      <c r="B119" s="57" t="s">
        <v>294</v>
      </c>
      <c r="C119" s="207"/>
      <c r="D119" s="207"/>
      <c r="E119" s="207"/>
      <c r="F119" s="207"/>
    </row>
    <row r="120" spans="1:6" ht="12" customHeight="1">
      <c r="A120" s="253" t="s">
        <v>118</v>
      </c>
      <c r="B120" s="57" t="s">
        <v>295</v>
      </c>
      <c r="C120" s="207"/>
      <c r="D120" s="207"/>
      <c r="E120" s="207"/>
      <c r="F120" s="207"/>
    </row>
    <row r="121" spans="1:6" ht="12" customHeight="1">
      <c r="A121" s="253" t="s">
        <v>296</v>
      </c>
      <c r="B121" s="57" t="s">
        <v>284</v>
      </c>
      <c r="C121" s="207"/>
      <c r="D121" s="207"/>
      <c r="E121" s="207"/>
      <c r="F121" s="207"/>
    </row>
    <row r="122" spans="1:6" ht="12" customHeight="1">
      <c r="A122" s="253" t="s">
        <v>297</v>
      </c>
      <c r="B122" s="57" t="s">
        <v>298</v>
      </c>
      <c r="C122" s="207"/>
      <c r="D122" s="207"/>
      <c r="E122" s="207"/>
      <c r="F122" s="207"/>
    </row>
    <row r="123" spans="1:6" ht="12" customHeight="1" thickBot="1">
      <c r="A123" s="267" t="s">
        <v>299</v>
      </c>
      <c r="B123" s="57" t="s">
        <v>300</v>
      </c>
      <c r="C123" s="211"/>
      <c r="D123" s="211"/>
      <c r="E123" s="211"/>
      <c r="F123" s="211"/>
    </row>
    <row r="124" spans="1:6" ht="12" customHeight="1" thickBot="1">
      <c r="A124" s="24" t="s">
        <v>7</v>
      </c>
      <c r="B124" s="52" t="s">
        <v>301</v>
      </c>
      <c r="C124" s="96">
        <f>+C125+C126</f>
        <v>0</v>
      </c>
      <c r="D124" s="96"/>
      <c r="E124" s="96">
        <f>+E125+E126</f>
        <v>0</v>
      </c>
      <c r="F124" s="96">
        <f>+F125+F126</f>
        <v>0</v>
      </c>
    </row>
    <row r="125" spans="1:6" ht="12" customHeight="1">
      <c r="A125" s="253" t="s">
        <v>56</v>
      </c>
      <c r="B125" s="6" t="s">
        <v>43</v>
      </c>
      <c r="C125" s="99"/>
      <c r="D125" s="99"/>
      <c r="E125" s="99"/>
      <c r="F125" s="99"/>
    </row>
    <row r="126" spans="1:6" s="49" customFormat="1" ht="12" customHeight="1" thickBot="1">
      <c r="A126" s="255" t="s">
        <v>57</v>
      </c>
      <c r="B126" s="9" t="s">
        <v>44</v>
      </c>
      <c r="C126" s="100"/>
      <c r="D126" s="100"/>
      <c r="E126" s="100"/>
      <c r="F126" s="100"/>
    </row>
    <row r="127" spans="1:6" ht="12" customHeight="1" thickBot="1">
      <c r="A127" s="24" t="s">
        <v>8</v>
      </c>
      <c r="B127" s="52" t="s">
        <v>302</v>
      </c>
      <c r="C127" s="96">
        <f>+C94+C110+C124</f>
        <v>181840</v>
      </c>
      <c r="D127" s="96">
        <f>+D94+D110+D124</f>
        <v>3624</v>
      </c>
      <c r="E127" s="96">
        <f>+E94+E110+E124</f>
        <v>185464</v>
      </c>
      <c r="F127" s="96">
        <f>+F94+F110+F124</f>
        <v>79286</v>
      </c>
    </row>
    <row r="128" spans="1:6" ht="12" customHeight="1" thickBot="1">
      <c r="A128" s="24" t="s">
        <v>9</v>
      </c>
      <c r="B128" s="52" t="s">
        <v>303</v>
      </c>
      <c r="C128" s="96">
        <f>+C129+C130+C131</f>
        <v>0</v>
      </c>
      <c r="D128" s="96"/>
      <c r="E128" s="96">
        <f>+E129+E130+E131</f>
        <v>0</v>
      </c>
      <c r="F128" s="96">
        <f>+F129+F130+F131</f>
        <v>0</v>
      </c>
    </row>
    <row r="129" spans="1:6" ht="12" customHeight="1">
      <c r="A129" s="253" t="s">
        <v>60</v>
      </c>
      <c r="B129" s="6" t="s">
        <v>304</v>
      </c>
      <c r="C129" s="207"/>
      <c r="D129" s="207"/>
      <c r="E129" s="207"/>
      <c r="F129" s="207"/>
    </row>
    <row r="130" spans="1:6" ht="12" customHeight="1">
      <c r="A130" s="253" t="s">
        <v>61</v>
      </c>
      <c r="B130" s="6" t="s">
        <v>305</v>
      </c>
      <c r="C130" s="207"/>
      <c r="D130" s="207"/>
      <c r="E130" s="207"/>
      <c r="F130" s="207"/>
    </row>
    <row r="131" spans="1:6" ht="12" customHeight="1" thickBot="1">
      <c r="A131" s="267" t="s">
        <v>62</v>
      </c>
      <c r="B131" s="4" t="s">
        <v>306</v>
      </c>
      <c r="C131" s="207"/>
      <c r="D131" s="207"/>
      <c r="E131" s="207"/>
      <c r="F131" s="207"/>
    </row>
    <row r="132" spans="1:6" ht="12" customHeight="1" thickBot="1">
      <c r="A132" s="24" t="s">
        <v>10</v>
      </c>
      <c r="B132" s="52" t="s">
        <v>307</v>
      </c>
      <c r="C132" s="96">
        <f>+C133+C134+C135+C136</f>
        <v>0</v>
      </c>
      <c r="D132" s="96"/>
      <c r="E132" s="96">
        <f>+E133+E134+E135+E136</f>
        <v>0</v>
      </c>
      <c r="F132" s="96">
        <f>+F133+F134+F135+F136</f>
        <v>0</v>
      </c>
    </row>
    <row r="133" spans="1:6" s="49" customFormat="1" ht="12" customHeight="1">
      <c r="A133" s="253" t="s">
        <v>63</v>
      </c>
      <c r="B133" s="6" t="s">
        <v>308</v>
      </c>
      <c r="C133" s="207"/>
      <c r="D133" s="207"/>
      <c r="E133" s="207"/>
      <c r="F133" s="207"/>
    </row>
    <row r="134" spans="1:12" ht="23.25" customHeight="1">
      <c r="A134" s="253" t="s">
        <v>64</v>
      </c>
      <c r="B134" s="6" t="s">
        <v>309</v>
      </c>
      <c r="C134" s="207"/>
      <c r="D134" s="207"/>
      <c r="E134" s="207"/>
      <c r="F134" s="207"/>
      <c r="L134" s="90"/>
    </row>
    <row r="135" spans="1:6" ht="21" customHeight="1">
      <c r="A135" s="253" t="s">
        <v>211</v>
      </c>
      <c r="B135" s="6" t="s">
        <v>310</v>
      </c>
      <c r="C135" s="207"/>
      <c r="D135" s="207"/>
      <c r="E135" s="207"/>
      <c r="F135" s="207"/>
    </row>
    <row r="136" spans="1:6" ht="12" customHeight="1" thickBot="1">
      <c r="A136" s="267" t="s">
        <v>213</v>
      </c>
      <c r="B136" s="4" t="s">
        <v>311</v>
      </c>
      <c r="C136" s="207"/>
      <c r="D136" s="207"/>
      <c r="E136" s="207"/>
      <c r="F136" s="207"/>
    </row>
    <row r="137" spans="1:6" s="49" customFormat="1" ht="12" customHeight="1" thickBot="1">
      <c r="A137" s="24" t="s">
        <v>11</v>
      </c>
      <c r="B137" s="52" t="s">
        <v>312</v>
      </c>
      <c r="C137" s="102">
        <f>+C138+C139+C140+C141</f>
        <v>0</v>
      </c>
      <c r="D137" s="102"/>
      <c r="E137" s="102">
        <f>+E138+E139+E140+E141</f>
        <v>0</v>
      </c>
      <c r="F137" s="102">
        <f>+F138+F139+F140+F141</f>
        <v>0</v>
      </c>
    </row>
    <row r="138" spans="1:6" s="49" customFormat="1" ht="12" customHeight="1">
      <c r="A138" s="253" t="s">
        <v>65</v>
      </c>
      <c r="B138" s="6" t="s">
        <v>313</v>
      </c>
      <c r="C138" s="207"/>
      <c r="D138" s="207"/>
      <c r="E138" s="207"/>
      <c r="F138" s="207"/>
    </row>
    <row r="139" spans="1:6" s="49" customFormat="1" ht="12" customHeight="1">
      <c r="A139" s="253" t="s">
        <v>66</v>
      </c>
      <c r="B139" s="6" t="s">
        <v>314</v>
      </c>
      <c r="C139" s="207"/>
      <c r="D139" s="207"/>
      <c r="E139" s="207"/>
      <c r="F139" s="207"/>
    </row>
    <row r="140" spans="1:6" s="49" customFormat="1" ht="12" customHeight="1">
      <c r="A140" s="253" t="s">
        <v>220</v>
      </c>
      <c r="B140" s="6" t="s">
        <v>315</v>
      </c>
      <c r="C140" s="207"/>
      <c r="D140" s="207"/>
      <c r="E140" s="207"/>
      <c r="F140" s="207"/>
    </row>
    <row r="141" spans="1:6" s="49" customFormat="1" ht="12" customHeight="1" thickBot="1">
      <c r="A141" s="267" t="s">
        <v>222</v>
      </c>
      <c r="B141" s="4" t="s">
        <v>316</v>
      </c>
      <c r="C141" s="207"/>
      <c r="D141" s="207"/>
      <c r="E141" s="207"/>
      <c r="F141" s="207"/>
    </row>
    <row r="142" spans="1:6" s="49" customFormat="1" ht="12" customHeight="1" thickBot="1">
      <c r="A142" s="24" t="s">
        <v>12</v>
      </c>
      <c r="B142" s="52" t="s">
        <v>317</v>
      </c>
      <c r="C142" s="104">
        <f>+C143+C144+C145+C146</f>
        <v>0</v>
      </c>
      <c r="D142" s="104"/>
      <c r="E142" s="104">
        <f>+E143+E144+E145+E146</f>
        <v>0</v>
      </c>
      <c r="F142" s="104">
        <f>+F143+F144+F145+F146</f>
        <v>0</v>
      </c>
    </row>
    <row r="143" spans="1:6" ht="12.75" customHeight="1">
      <c r="A143" s="253" t="s">
        <v>109</v>
      </c>
      <c r="B143" s="6" t="s">
        <v>318</v>
      </c>
      <c r="C143" s="207"/>
      <c r="D143" s="207"/>
      <c r="E143" s="207"/>
      <c r="F143" s="207"/>
    </row>
    <row r="144" spans="1:6" ht="12" customHeight="1">
      <c r="A144" s="253" t="s">
        <v>110</v>
      </c>
      <c r="B144" s="6" t="s">
        <v>319</v>
      </c>
      <c r="C144" s="207"/>
      <c r="D144" s="207"/>
      <c r="E144" s="207"/>
      <c r="F144" s="207"/>
    </row>
    <row r="145" spans="1:6" ht="15" customHeight="1">
      <c r="A145" s="253" t="s">
        <v>135</v>
      </c>
      <c r="B145" s="6" t="s">
        <v>320</v>
      </c>
      <c r="C145" s="207"/>
      <c r="D145" s="207"/>
      <c r="E145" s="207"/>
      <c r="F145" s="207"/>
    </row>
    <row r="146" spans="1:6" ht="13.5" thickBot="1">
      <c r="A146" s="253" t="s">
        <v>228</v>
      </c>
      <c r="B146" s="6" t="s">
        <v>321</v>
      </c>
      <c r="C146" s="207"/>
      <c r="D146" s="207"/>
      <c r="E146" s="207"/>
      <c r="F146" s="207"/>
    </row>
    <row r="147" spans="1:6" ht="15" customHeight="1" thickBot="1">
      <c r="A147" s="24" t="s">
        <v>13</v>
      </c>
      <c r="B147" s="52" t="s">
        <v>322</v>
      </c>
      <c r="C147" s="235">
        <f>+C128+C132+C137+C142</f>
        <v>0</v>
      </c>
      <c r="D147" s="235"/>
      <c r="E147" s="235">
        <f>+E128+E132+E137+E142</f>
        <v>0</v>
      </c>
      <c r="F147" s="235">
        <f>+F128+F132+F137+F142</f>
        <v>0</v>
      </c>
    </row>
    <row r="148" spans="1:6" ht="14.25" customHeight="1" thickBot="1">
      <c r="A148" s="269" t="s">
        <v>14</v>
      </c>
      <c r="B148" s="155" t="s">
        <v>323</v>
      </c>
      <c r="C148" s="235">
        <f>+C127+C147</f>
        <v>181840</v>
      </c>
      <c r="D148" s="235">
        <f>+D127+D147</f>
        <v>3624</v>
      </c>
      <c r="E148" s="235">
        <f>+E127+E147</f>
        <v>185464</v>
      </c>
      <c r="F148" s="235">
        <f>+F127+F147</f>
        <v>79286</v>
      </c>
    </row>
    <row r="150" spans="3:4" ht="12.75">
      <c r="C150" s="347" t="s">
        <v>419</v>
      </c>
      <c r="D150" s="347"/>
    </row>
  </sheetData>
  <sheetProtection formatCells="0"/>
  <mergeCells count="4">
    <mergeCell ref="B2:E2"/>
    <mergeCell ref="B3:E3"/>
    <mergeCell ref="A7:F7"/>
    <mergeCell ref="A93:F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Header xml:space="preserve">&amp;C9.2.1 melléklet az 1/2014.(II.7.) önkormányzati rendelethez 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150"/>
  <sheetViews>
    <sheetView view="pageLayout" zoomScaleSheetLayoutView="100" workbookViewId="0" topLeftCell="A1">
      <selection activeCell="C5" sqref="C5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413</v>
      </c>
      <c r="C2" s="458"/>
      <c r="D2" s="458"/>
      <c r="E2" s="459"/>
      <c r="F2" s="151" t="s">
        <v>45</v>
      </c>
    </row>
    <row r="3" spans="1:6" s="45" customFormat="1" ht="23.25" thickBot="1">
      <c r="A3" s="252" t="s">
        <v>127</v>
      </c>
      <c r="B3" s="460" t="s">
        <v>369</v>
      </c>
      <c r="C3" s="461"/>
      <c r="D3" s="461"/>
      <c r="E3" s="462"/>
      <c r="F3" s="270" t="s">
        <v>45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75" t="s">
        <v>39</v>
      </c>
      <c r="C5" s="427" t="s">
        <v>158</v>
      </c>
      <c r="D5" s="428" t="s">
        <v>471</v>
      </c>
      <c r="E5" s="76" t="s">
        <v>159</v>
      </c>
      <c r="F5" s="426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>
        <f>+D16+D17+D18+D19+D20</f>
        <v>1713</v>
      </c>
      <c r="E15" s="96">
        <f>+E16+E17+E18+E19+E20</f>
        <v>1713</v>
      </c>
      <c r="F15" s="96">
        <f>+F16+F17+F18+F19+F20</f>
        <v>1713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>
        <v>1713</v>
      </c>
      <c r="E20" s="98">
        <v>1713</v>
      </c>
      <c r="F20" s="98">
        <v>1713</v>
      </c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0</v>
      </c>
      <c r="D36" s="96">
        <f>SUM(D37:D46)</f>
        <v>62</v>
      </c>
      <c r="E36" s="96">
        <f>SUM(E37:E46)</f>
        <v>62</v>
      </c>
      <c r="F36" s="96">
        <f>SUM(F37:F46)</f>
        <v>46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>
        <v>52</v>
      </c>
      <c r="E38" s="98">
        <v>52</v>
      </c>
      <c r="F38" s="98">
        <v>36</v>
      </c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/>
      <c r="D42" s="98">
        <v>10</v>
      </c>
      <c r="E42" s="98">
        <v>10</v>
      </c>
      <c r="F42" s="98">
        <v>10</v>
      </c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0</v>
      </c>
      <c r="D63" s="102">
        <f>+D8+D15+D22+D29+D36+D47+D53+D58</f>
        <v>1775</v>
      </c>
      <c r="E63" s="102">
        <f>+E8+E15+E22+E29+E36+E47+E53+E58</f>
        <v>1775</v>
      </c>
      <c r="F63" s="102">
        <f>+F8+F15+F22+F29+F36+F47+F53+F58</f>
        <v>1759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577</v>
      </c>
      <c r="D73" s="96"/>
      <c r="E73" s="96">
        <f>SUM(E74:E75)</f>
        <v>577</v>
      </c>
      <c r="F73" s="96">
        <f>SUM(F74:F75)</f>
        <v>577</v>
      </c>
    </row>
    <row r="74" spans="1:6" s="48" customFormat="1" ht="12" customHeight="1">
      <c r="A74" s="253" t="s">
        <v>249</v>
      </c>
      <c r="B74" s="204" t="s">
        <v>250</v>
      </c>
      <c r="C74" s="101">
        <v>577</v>
      </c>
      <c r="D74" s="101"/>
      <c r="E74" s="101">
        <v>577</v>
      </c>
      <c r="F74" s="101">
        <v>577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SUM(C77)</f>
        <v>181263</v>
      </c>
      <c r="D76" s="96">
        <f>SUM(D77)</f>
        <v>1849</v>
      </c>
      <c r="E76" s="96">
        <f>SUM(E77)</f>
        <v>183112</v>
      </c>
      <c r="F76" s="96">
        <f>SUM(F77)</f>
        <v>77773</v>
      </c>
    </row>
    <row r="77" spans="1:6" s="48" customFormat="1" ht="12" customHeight="1">
      <c r="A77" s="253" t="s">
        <v>255</v>
      </c>
      <c r="B77" s="204" t="s">
        <v>414</v>
      </c>
      <c r="C77" s="101">
        <v>181263</v>
      </c>
      <c r="D77" s="101">
        <v>1849</v>
      </c>
      <c r="E77" s="101">
        <v>183112</v>
      </c>
      <c r="F77" s="101">
        <v>77773</v>
      </c>
    </row>
    <row r="78" spans="1:6" s="48" customFormat="1" ht="12" customHeight="1">
      <c r="A78" s="254" t="s">
        <v>257</v>
      </c>
      <c r="B78" s="206" t="s">
        <v>415</v>
      </c>
      <c r="C78" s="101">
        <v>68975</v>
      </c>
      <c r="D78" s="101"/>
      <c r="E78" s="101">
        <v>68975</v>
      </c>
      <c r="F78" s="101">
        <v>35867</v>
      </c>
    </row>
    <row r="79" spans="1:6" s="48" customFormat="1" ht="12" customHeight="1">
      <c r="A79" s="255"/>
      <c r="B79" s="209" t="s">
        <v>417</v>
      </c>
      <c r="C79" s="101">
        <v>24144</v>
      </c>
      <c r="D79" s="101"/>
      <c r="E79" s="101">
        <v>24144</v>
      </c>
      <c r="F79" s="101">
        <v>12555</v>
      </c>
    </row>
    <row r="80" spans="1:6" s="48" customFormat="1" ht="12" customHeight="1">
      <c r="A80" s="255"/>
      <c r="B80" s="209" t="s">
        <v>416</v>
      </c>
      <c r="C80" s="344"/>
      <c r="D80" s="344">
        <v>40193</v>
      </c>
      <c r="E80" s="344">
        <v>40193</v>
      </c>
      <c r="F80" s="344">
        <v>40193</v>
      </c>
    </row>
    <row r="81" spans="1:6" s="48" customFormat="1" ht="12" customHeight="1" thickBot="1">
      <c r="A81" s="255"/>
      <c r="B81" s="345" t="s">
        <v>418</v>
      </c>
      <c r="C81" s="346">
        <f>C77-C78-C79</f>
        <v>88144</v>
      </c>
      <c r="D81" s="346">
        <v>-38344</v>
      </c>
      <c r="E81" s="346">
        <f>E77-E78-E79-E80</f>
        <v>49800</v>
      </c>
      <c r="F81" s="346">
        <f>F77-F78-F79-F80</f>
        <v>-10842</v>
      </c>
    </row>
    <row r="82" spans="1:6" s="48" customFormat="1" ht="12" customHeight="1" thickBot="1">
      <c r="A82" s="255" t="s">
        <v>259</v>
      </c>
      <c r="B82" s="209" t="s">
        <v>260</v>
      </c>
      <c r="C82" s="101"/>
      <c r="D82" s="101"/>
      <c r="E82" s="101"/>
      <c r="F82" s="101"/>
    </row>
    <row r="83" spans="1:6" s="48" customFormat="1" ht="12" customHeight="1" thickBot="1">
      <c r="A83" s="257" t="s">
        <v>261</v>
      </c>
      <c r="B83" s="91" t="s">
        <v>262</v>
      </c>
      <c r="C83" s="96">
        <f>SUM(C84:C87)</f>
        <v>0</v>
      </c>
      <c r="D83" s="96"/>
      <c r="E83" s="96">
        <f>SUM(E84:E87)</f>
        <v>0</v>
      </c>
      <c r="F83" s="96">
        <f>SUM(F84:F87)</f>
        <v>0</v>
      </c>
    </row>
    <row r="84" spans="1:6" s="48" customFormat="1" ht="12" customHeight="1">
      <c r="A84" s="258" t="s">
        <v>263</v>
      </c>
      <c r="B84" s="204" t="s">
        <v>264</v>
      </c>
      <c r="C84" s="101"/>
      <c r="D84" s="101"/>
      <c r="E84" s="101"/>
      <c r="F84" s="101"/>
    </row>
    <row r="85" spans="1:6" s="48" customFormat="1" ht="12" customHeight="1">
      <c r="A85" s="259" t="s">
        <v>265</v>
      </c>
      <c r="B85" s="206" t="s">
        <v>266</v>
      </c>
      <c r="C85" s="101"/>
      <c r="D85" s="101"/>
      <c r="E85" s="101"/>
      <c r="F85" s="101"/>
    </row>
    <row r="86" spans="1:6" s="47" customFormat="1" ht="12" customHeight="1">
      <c r="A86" s="259" t="s">
        <v>267</v>
      </c>
      <c r="B86" s="206" t="s">
        <v>268</v>
      </c>
      <c r="C86" s="101"/>
      <c r="D86" s="101"/>
      <c r="E86" s="101"/>
      <c r="F86" s="101"/>
    </row>
    <row r="87" spans="1:6" s="47" customFormat="1" ht="12" customHeight="1" thickBot="1">
      <c r="A87" s="260" t="s">
        <v>269</v>
      </c>
      <c r="B87" s="209" t="s">
        <v>270</v>
      </c>
      <c r="C87" s="101"/>
      <c r="D87" s="101"/>
      <c r="E87" s="101"/>
      <c r="F87" s="101"/>
    </row>
    <row r="88" spans="1:6" s="47" customFormat="1" ht="12" customHeight="1" thickBot="1">
      <c r="A88" s="257" t="s">
        <v>271</v>
      </c>
      <c r="B88" s="91" t="s">
        <v>272</v>
      </c>
      <c r="C88" s="261"/>
      <c r="D88" s="261"/>
      <c r="E88" s="261"/>
      <c r="F88" s="261"/>
    </row>
    <row r="89" spans="1:6" s="47" customFormat="1" ht="12" customHeight="1" thickBot="1">
      <c r="A89" s="257" t="s">
        <v>273</v>
      </c>
      <c r="B89" s="225" t="s">
        <v>274</v>
      </c>
      <c r="C89" s="102">
        <f>+C64+C68+C73+C76+C83+C88</f>
        <v>181840</v>
      </c>
      <c r="D89" s="102">
        <f>+D64+D68+D73+D76+D83+D88</f>
        <v>1849</v>
      </c>
      <c r="E89" s="102">
        <f>+E64+E68+E73+E76+E83+E88</f>
        <v>183689</v>
      </c>
      <c r="F89" s="102">
        <f>+F64+F68+F73+F76+F83+F88</f>
        <v>78350</v>
      </c>
    </row>
    <row r="90" spans="1:6" s="48" customFormat="1" ht="12" customHeight="1" thickBot="1">
      <c r="A90" s="262" t="s">
        <v>275</v>
      </c>
      <c r="B90" s="227" t="s">
        <v>367</v>
      </c>
      <c r="C90" s="102">
        <f>+C63+C89</f>
        <v>181840</v>
      </c>
      <c r="D90" s="102">
        <f>+D63+D89</f>
        <v>3624</v>
      </c>
      <c r="E90" s="102">
        <f>+E63+E89</f>
        <v>185464</v>
      </c>
      <c r="F90" s="102">
        <f>+F63+F89</f>
        <v>80109</v>
      </c>
    </row>
    <row r="91" spans="1:6" s="48" customFormat="1" ht="15" customHeight="1">
      <c r="A91" s="85"/>
      <c r="B91" s="86"/>
      <c r="C91" s="153"/>
      <c r="D91" s="153"/>
      <c r="E91" s="153"/>
      <c r="F91" s="153"/>
    </row>
    <row r="92" spans="1:6" ht="13.5" thickBot="1">
      <c r="A92" s="87"/>
      <c r="B92" s="88"/>
      <c r="C92" s="154"/>
      <c r="D92" s="154"/>
      <c r="E92" s="154"/>
      <c r="F92" s="154"/>
    </row>
    <row r="93" spans="1:6" s="43" customFormat="1" ht="16.5" customHeight="1" thickBot="1">
      <c r="A93" s="454" t="s">
        <v>42</v>
      </c>
      <c r="B93" s="455"/>
      <c r="C93" s="455"/>
      <c r="D93" s="455"/>
      <c r="E93" s="455"/>
      <c r="F93" s="456"/>
    </row>
    <row r="94" spans="1:6" s="49" customFormat="1" ht="12" customHeight="1" thickBot="1">
      <c r="A94" s="265" t="s">
        <v>5</v>
      </c>
      <c r="B94" s="23" t="s">
        <v>277</v>
      </c>
      <c r="C94" s="95">
        <f>SUM(C95:C99)</f>
        <v>181840</v>
      </c>
      <c r="D94" s="95">
        <f>SUM(D95:D99)</f>
        <v>3224</v>
      </c>
      <c r="E94" s="95">
        <f>SUM(E95:E99)</f>
        <v>185064</v>
      </c>
      <c r="F94" s="95">
        <f>SUM(F95:F99)</f>
        <v>79153</v>
      </c>
    </row>
    <row r="95" spans="1:6" ht="12" customHeight="1">
      <c r="A95" s="266" t="s">
        <v>67</v>
      </c>
      <c r="B95" s="7" t="s">
        <v>34</v>
      </c>
      <c r="C95" s="97">
        <v>48865</v>
      </c>
      <c r="D95" s="97">
        <v>1750</v>
      </c>
      <c r="E95" s="97">
        <v>50615</v>
      </c>
      <c r="F95" s="97">
        <v>21610</v>
      </c>
    </row>
    <row r="96" spans="1:6" ht="12" customHeight="1">
      <c r="A96" s="254" t="s">
        <v>68</v>
      </c>
      <c r="B96" s="5" t="s">
        <v>111</v>
      </c>
      <c r="C96" s="98">
        <v>13455</v>
      </c>
      <c r="D96" s="98">
        <v>1474</v>
      </c>
      <c r="E96" s="98">
        <v>14929</v>
      </c>
      <c r="F96" s="98">
        <v>6416</v>
      </c>
    </row>
    <row r="97" spans="1:6" ht="12" customHeight="1">
      <c r="A97" s="254" t="s">
        <v>69</v>
      </c>
      <c r="B97" s="5" t="s">
        <v>86</v>
      </c>
      <c r="C97" s="100">
        <v>19470</v>
      </c>
      <c r="D97" s="100"/>
      <c r="E97" s="100">
        <v>19470</v>
      </c>
      <c r="F97" s="100">
        <v>8974</v>
      </c>
    </row>
    <row r="98" spans="1:6" ht="12" customHeight="1">
      <c r="A98" s="254" t="s">
        <v>70</v>
      </c>
      <c r="B98" s="8" t="s">
        <v>112</v>
      </c>
      <c r="C98" s="100">
        <v>100050</v>
      </c>
      <c r="D98" s="100"/>
      <c r="E98" s="100">
        <v>100050</v>
      </c>
      <c r="F98" s="100">
        <v>42153</v>
      </c>
    </row>
    <row r="99" spans="1:6" ht="12" customHeight="1">
      <c r="A99" s="254" t="s">
        <v>78</v>
      </c>
      <c r="B99" s="16" t="s">
        <v>113</v>
      </c>
      <c r="C99" s="100"/>
      <c r="D99" s="100"/>
      <c r="E99" s="100"/>
      <c r="F99" s="100"/>
    </row>
    <row r="100" spans="1:6" ht="12" customHeight="1">
      <c r="A100" s="254" t="s">
        <v>71</v>
      </c>
      <c r="B100" s="5" t="s">
        <v>278</v>
      </c>
      <c r="C100" s="100"/>
      <c r="D100" s="100"/>
      <c r="E100" s="100"/>
      <c r="F100" s="100"/>
    </row>
    <row r="101" spans="1:6" ht="12" customHeight="1">
      <c r="A101" s="254" t="s">
        <v>72</v>
      </c>
      <c r="B101" s="56" t="s">
        <v>279</v>
      </c>
      <c r="C101" s="100"/>
      <c r="D101" s="100"/>
      <c r="E101" s="100"/>
      <c r="F101" s="100"/>
    </row>
    <row r="102" spans="1:6" ht="12" customHeight="1">
      <c r="A102" s="254" t="s">
        <v>79</v>
      </c>
      <c r="B102" s="57" t="s">
        <v>280</v>
      </c>
      <c r="C102" s="100"/>
      <c r="D102" s="100"/>
      <c r="E102" s="100"/>
      <c r="F102" s="100"/>
    </row>
    <row r="103" spans="1:6" ht="12" customHeight="1">
      <c r="A103" s="254" t="s">
        <v>80</v>
      </c>
      <c r="B103" s="57" t="s">
        <v>281</v>
      </c>
      <c r="C103" s="100"/>
      <c r="D103" s="100"/>
      <c r="E103" s="100"/>
      <c r="F103" s="100"/>
    </row>
    <row r="104" spans="1:6" ht="12" customHeight="1">
      <c r="A104" s="254" t="s">
        <v>81</v>
      </c>
      <c r="B104" s="56" t="s">
        <v>282</v>
      </c>
      <c r="C104" s="100"/>
      <c r="D104" s="100"/>
      <c r="E104" s="100"/>
      <c r="F104" s="100"/>
    </row>
    <row r="105" spans="1:6" ht="12" customHeight="1">
      <c r="A105" s="254" t="s">
        <v>82</v>
      </c>
      <c r="B105" s="56" t="s">
        <v>283</v>
      </c>
      <c r="C105" s="100"/>
      <c r="D105" s="100"/>
      <c r="E105" s="100"/>
      <c r="F105" s="100"/>
    </row>
    <row r="106" spans="1:6" ht="12" customHeight="1">
      <c r="A106" s="254" t="s">
        <v>84</v>
      </c>
      <c r="B106" s="57" t="s">
        <v>284</v>
      </c>
      <c r="C106" s="100"/>
      <c r="D106" s="100"/>
      <c r="E106" s="100"/>
      <c r="F106" s="100"/>
    </row>
    <row r="107" spans="1:6" ht="12" customHeight="1">
      <c r="A107" s="267" t="s">
        <v>114</v>
      </c>
      <c r="B107" s="58" t="s">
        <v>285</v>
      </c>
      <c r="C107" s="100"/>
      <c r="D107" s="100"/>
      <c r="E107" s="100"/>
      <c r="F107" s="100"/>
    </row>
    <row r="108" spans="1:6" ht="12" customHeight="1">
      <c r="A108" s="254" t="s">
        <v>286</v>
      </c>
      <c r="B108" s="58" t="s">
        <v>287</v>
      </c>
      <c r="C108" s="100"/>
      <c r="D108" s="100"/>
      <c r="E108" s="100"/>
      <c r="F108" s="100"/>
    </row>
    <row r="109" spans="1:6" ht="12" customHeight="1" thickBot="1">
      <c r="A109" s="268" t="s">
        <v>288</v>
      </c>
      <c r="B109" s="59" t="s">
        <v>289</v>
      </c>
      <c r="C109" s="103"/>
      <c r="D109" s="103"/>
      <c r="E109" s="103"/>
      <c r="F109" s="103"/>
    </row>
    <row r="110" spans="1:6" ht="12" customHeight="1" thickBot="1">
      <c r="A110" s="24" t="s">
        <v>6</v>
      </c>
      <c r="B110" s="22" t="s">
        <v>290</v>
      </c>
      <c r="C110" s="96">
        <f>+C111+C113+C115</f>
        <v>0</v>
      </c>
      <c r="D110" s="96">
        <f>+D111+D113+D115</f>
        <v>400</v>
      </c>
      <c r="E110" s="96">
        <f>+E111+E113+E115</f>
        <v>400</v>
      </c>
      <c r="F110" s="96">
        <f>+F111+F113+F115</f>
        <v>133</v>
      </c>
    </row>
    <row r="111" spans="1:6" ht="12" customHeight="1">
      <c r="A111" s="253" t="s">
        <v>73</v>
      </c>
      <c r="B111" s="5" t="s">
        <v>133</v>
      </c>
      <c r="C111" s="99"/>
      <c r="D111" s="99">
        <v>400</v>
      </c>
      <c r="E111" s="99">
        <v>400</v>
      </c>
      <c r="F111" s="99">
        <v>133</v>
      </c>
    </row>
    <row r="112" spans="1:6" ht="12" customHeight="1">
      <c r="A112" s="253" t="s">
        <v>74</v>
      </c>
      <c r="B112" s="9" t="s">
        <v>291</v>
      </c>
      <c r="C112" s="99"/>
      <c r="D112" s="99"/>
      <c r="E112" s="99"/>
      <c r="F112" s="99"/>
    </row>
    <row r="113" spans="1:6" ht="12" customHeight="1">
      <c r="A113" s="253" t="s">
        <v>75</v>
      </c>
      <c r="B113" s="9" t="s">
        <v>115</v>
      </c>
      <c r="C113" s="98"/>
      <c r="D113" s="98"/>
      <c r="E113" s="98"/>
      <c r="F113" s="98"/>
    </row>
    <row r="114" spans="1:6" ht="12" customHeight="1">
      <c r="A114" s="253" t="s">
        <v>76</v>
      </c>
      <c r="B114" s="9" t="s">
        <v>292</v>
      </c>
      <c r="C114" s="207"/>
      <c r="D114" s="207"/>
      <c r="E114" s="207"/>
      <c r="F114" s="207"/>
    </row>
    <row r="115" spans="1:6" ht="12" customHeight="1">
      <c r="A115" s="253" t="s">
        <v>77</v>
      </c>
      <c r="B115" s="93" t="s">
        <v>136</v>
      </c>
      <c r="C115" s="207"/>
      <c r="D115" s="207"/>
      <c r="E115" s="207"/>
      <c r="F115" s="207"/>
    </row>
    <row r="116" spans="1:6" ht="12" customHeight="1">
      <c r="A116" s="253" t="s">
        <v>83</v>
      </c>
      <c r="B116" s="92" t="s">
        <v>384</v>
      </c>
      <c r="C116" s="207"/>
      <c r="D116" s="207"/>
      <c r="E116" s="207"/>
      <c r="F116" s="207"/>
    </row>
    <row r="117" spans="1:6" ht="12" customHeight="1">
      <c r="A117" s="253" t="s">
        <v>85</v>
      </c>
      <c r="B117" s="234" t="s">
        <v>293</v>
      </c>
      <c r="C117" s="207"/>
      <c r="D117" s="207"/>
      <c r="E117" s="207"/>
      <c r="F117" s="207"/>
    </row>
    <row r="118" spans="1:6" ht="12" customHeight="1">
      <c r="A118" s="253" t="s">
        <v>116</v>
      </c>
      <c r="B118" s="57" t="s">
        <v>281</v>
      </c>
      <c r="C118" s="207"/>
      <c r="D118" s="207"/>
      <c r="E118" s="207"/>
      <c r="F118" s="207"/>
    </row>
    <row r="119" spans="1:6" ht="12" customHeight="1">
      <c r="A119" s="253" t="s">
        <v>117</v>
      </c>
      <c r="B119" s="57" t="s">
        <v>294</v>
      </c>
      <c r="C119" s="207"/>
      <c r="D119" s="207"/>
      <c r="E119" s="207"/>
      <c r="F119" s="207"/>
    </row>
    <row r="120" spans="1:6" ht="12" customHeight="1">
      <c r="A120" s="253" t="s">
        <v>118</v>
      </c>
      <c r="B120" s="57" t="s">
        <v>295</v>
      </c>
      <c r="C120" s="207"/>
      <c r="D120" s="207"/>
      <c r="E120" s="207"/>
      <c r="F120" s="207"/>
    </row>
    <row r="121" spans="1:6" ht="12" customHeight="1">
      <c r="A121" s="253" t="s">
        <v>296</v>
      </c>
      <c r="B121" s="57" t="s">
        <v>284</v>
      </c>
      <c r="C121" s="207"/>
      <c r="D121" s="207"/>
      <c r="E121" s="207"/>
      <c r="F121" s="207"/>
    </row>
    <row r="122" spans="1:6" ht="12" customHeight="1">
      <c r="A122" s="253" t="s">
        <v>297</v>
      </c>
      <c r="B122" s="57" t="s">
        <v>298</v>
      </c>
      <c r="C122" s="207"/>
      <c r="D122" s="207"/>
      <c r="E122" s="207"/>
      <c r="F122" s="207"/>
    </row>
    <row r="123" spans="1:6" ht="12" customHeight="1" thickBot="1">
      <c r="A123" s="267" t="s">
        <v>299</v>
      </c>
      <c r="B123" s="57" t="s">
        <v>300</v>
      </c>
      <c r="C123" s="211"/>
      <c r="D123" s="211"/>
      <c r="E123" s="211"/>
      <c r="F123" s="211"/>
    </row>
    <row r="124" spans="1:6" ht="12" customHeight="1" thickBot="1">
      <c r="A124" s="24" t="s">
        <v>7</v>
      </c>
      <c r="B124" s="52" t="s">
        <v>301</v>
      </c>
      <c r="C124" s="96">
        <f>+C125+C126</f>
        <v>0</v>
      </c>
      <c r="D124" s="96"/>
      <c r="E124" s="96">
        <f>+E125+E126</f>
        <v>0</v>
      </c>
      <c r="F124" s="96">
        <f>+F125+F126</f>
        <v>0</v>
      </c>
    </row>
    <row r="125" spans="1:6" ht="12" customHeight="1">
      <c r="A125" s="253" t="s">
        <v>56</v>
      </c>
      <c r="B125" s="6" t="s">
        <v>43</v>
      </c>
      <c r="C125" s="99"/>
      <c r="D125" s="99"/>
      <c r="E125" s="99"/>
      <c r="F125" s="99"/>
    </row>
    <row r="126" spans="1:6" s="49" customFormat="1" ht="12" customHeight="1" thickBot="1">
      <c r="A126" s="255" t="s">
        <v>57</v>
      </c>
      <c r="B126" s="9" t="s">
        <v>44</v>
      </c>
      <c r="C126" s="100"/>
      <c r="D126" s="100"/>
      <c r="E126" s="100"/>
      <c r="F126" s="100"/>
    </row>
    <row r="127" spans="1:6" ht="12" customHeight="1" thickBot="1">
      <c r="A127" s="24" t="s">
        <v>8</v>
      </c>
      <c r="B127" s="52" t="s">
        <v>302</v>
      </c>
      <c r="C127" s="96">
        <f>+C94+C110+C124</f>
        <v>181840</v>
      </c>
      <c r="D127" s="96">
        <f>+D94+D110+D124</f>
        <v>3624</v>
      </c>
      <c r="E127" s="96">
        <f>+E94+E110+E124</f>
        <v>185464</v>
      </c>
      <c r="F127" s="96">
        <f>+F94+F110+F124</f>
        <v>79286</v>
      </c>
    </row>
    <row r="128" spans="1:6" ht="12" customHeight="1" thickBot="1">
      <c r="A128" s="24" t="s">
        <v>9</v>
      </c>
      <c r="B128" s="52" t="s">
        <v>303</v>
      </c>
      <c r="C128" s="96">
        <f>+C129+C130+C131</f>
        <v>0</v>
      </c>
      <c r="D128" s="96"/>
      <c r="E128" s="96">
        <f>+E129+E130+E131</f>
        <v>0</v>
      </c>
      <c r="F128" s="96">
        <f>+F129+F130+F131</f>
        <v>0</v>
      </c>
    </row>
    <row r="129" spans="1:6" ht="12" customHeight="1">
      <c r="A129" s="253" t="s">
        <v>60</v>
      </c>
      <c r="B129" s="6" t="s">
        <v>304</v>
      </c>
      <c r="C129" s="207"/>
      <c r="D129" s="207"/>
      <c r="E129" s="207"/>
      <c r="F129" s="207"/>
    </row>
    <row r="130" spans="1:6" ht="12" customHeight="1">
      <c r="A130" s="253" t="s">
        <v>61</v>
      </c>
      <c r="B130" s="6" t="s">
        <v>305</v>
      </c>
      <c r="C130" s="207"/>
      <c r="D130" s="207"/>
      <c r="E130" s="207"/>
      <c r="F130" s="207"/>
    </row>
    <row r="131" spans="1:6" ht="12" customHeight="1" thickBot="1">
      <c r="A131" s="267" t="s">
        <v>62</v>
      </c>
      <c r="B131" s="4" t="s">
        <v>306</v>
      </c>
      <c r="C131" s="207"/>
      <c r="D131" s="207"/>
      <c r="E131" s="207"/>
      <c r="F131" s="207"/>
    </row>
    <row r="132" spans="1:6" ht="12" customHeight="1" thickBot="1">
      <c r="A132" s="24" t="s">
        <v>10</v>
      </c>
      <c r="B132" s="52" t="s">
        <v>307</v>
      </c>
      <c r="C132" s="96">
        <f>+C133+C134+C135+C136</f>
        <v>0</v>
      </c>
      <c r="D132" s="96"/>
      <c r="E132" s="96">
        <f>+E133+E134+E135+E136</f>
        <v>0</v>
      </c>
      <c r="F132" s="96">
        <f>+F133+F134+F135+F136</f>
        <v>0</v>
      </c>
    </row>
    <row r="133" spans="1:6" s="49" customFormat="1" ht="12" customHeight="1">
      <c r="A133" s="253" t="s">
        <v>63</v>
      </c>
      <c r="B133" s="6" t="s">
        <v>308</v>
      </c>
      <c r="C133" s="207"/>
      <c r="D133" s="207"/>
      <c r="E133" s="207"/>
      <c r="F133" s="207"/>
    </row>
    <row r="134" spans="1:12" ht="23.25" customHeight="1">
      <c r="A134" s="253" t="s">
        <v>64</v>
      </c>
      <c r="B134" s="6" t="s">
        <v>309</v>
      </c>
      <c r="C134" s="207"/>
      <c r="D134" s="207"/>
      <c r="E134" s="207"/>
      <c r="F134" s="207"/>
      <c r="L134" s="90"/>
    </row>
    <row r="135" spans="1:6" ht="21" customHeight="1">
      <c r="A135" s="253" t="s">
        <v>211</v>
      </c>
      <c r="B135" s="6" t="s">
        <v>310</v>
      </c>
      <c r="C135" s="207"/>
      <c r="D135" s="207"/>
      <c r="E135" s="207"/>
      <c r="F135" s="207"/>
    </row>
    <row r="136" spans="1:6" ht="12" customHeight="1" thickBot="1">
      <c r="A136" s="267" t="s">
        <v>213</v>
      </c>
      <c r="B136" s="4" t="s">
        <v>311</v>
      </c>
      <c r="C136" s="207"/>
      <c r="D136" s="207"/>
      <c r="E136" s="207"/>
      <c r="F136" s="207"/>
    </row>
    <row r="137" spans="1:6" s="49" customFormat="1" ht="12" customHeight="1" thickBot="1">
      <c r="A137" s="24" t="s">
        <v>11</v>
      </c>
      <c r="B137" s="52" t="s">
        <v>312</v>
      </c>
      <c r="C137" s="102">
        <f>+C138+C139+C140+C141</f>
        <v>0</v>
      </c>
      <c r="D137" s="102"/>
      <c r="E137" s="102">
        <f>+E138+E139+E140+E141</f>
        <v>0</v>
      </c>
      <c r="F137" s="102">
        <f>+F138+F139+F140+F141</f>
        <v>0</v>
      </c>
    </row>
    <row r="138" spans="1:6" s="49" customFormat="1" ht="12" customHeight="1">
      <c r="A138" s="253" t="s">
        <v>65</v>
      </c>
      <c r="B138" s="6" t="s">
        <v>313</v>
      </c>
      <c r="C138" s="207"/>
      <c r="D138" s="207"/>
      <c r="E138" s="207"/>
      <c r="F138" s="207"/>
    </row>
    <row r="139" spans="1:6" s="49" customFormat="1" ht="12" customHeight="1">
      <c r="A139" s="253" t="s">
        <v>66</v>
      </c>
      <c r="B139" s="6" t="s">
        <v>314</v>
      </c>
      <c r="C139" s="207"/>
      <c r="D139" s="207"/>
      <c r="E139" s="207"/>
      <c r="F139" s="207"/>
    </row>
    <row r="140" spans="1:6" s="49" customFormat="1" ht="12" customHeight="1">
      <c r="A140" s="253" t="s">
        <v>220</v>
      </c>
      <c r="B140" s="6" t="s">
        <v>315</v>
      </c>
      <c r="C140" s="207"/>
      <c r="D140" s="207"/>
      <c r="E140" s="207"/>
      <c r="F140" s="207"/>
    </row>
    <row r="141" spans="1:6" s="49" customFormat="1" ht="12" customHeight="1" thickBot="1">
      <c r="A141" s="267" t="s">
        <v>222</v>
      </c>
      <c r="B141" s="4" t="s">
        <v>316</v>
      </c>
      <c r="C141" s="207"/>
      <c r="D141" s="207"/>
      <c r="E141" s="207"/>
      <c r="F141" s="207"/>
    </row>
    <row r="142" spans="1:6" s="49" customFormat="1" ht="12" customHeight="1" thickBot="1">
      <c r="A142" s="24" t="s">
        <v>12</v>
      </c>
      <c r="B142" s="52" t="s">
        <v>317</v>
      </c>
      <c r="C142" s="104">
        <f>+C143+C144+C145+C146</f>
        <v>0</v>
      </c>
      <c r="D142" s="104"/>
      <c r="E142" s="104">
        <f>+E143+E144+E145+E146</f>
        <v>0</v>
      </c>
      <c r="F142" s="104">
        <f>+F143+F144+F145+F146</f>
        <v>0</v>
      </c>
    </row>
    <row r="143" spans="1:6" ht="12.75" customHeight="1">
      <c r="A143" s="253" t="s">
        <v>109</v>
      </c>
      <c r="B143" s="6" t="s">
        <v>318</v>
      </c>
      <c r="C143" s="207"/>
      <c r="D143" s="207"/>
      <c r="E143" s="207"/>
      <c r="F143" s="207"/>
    </row>
    <row r="144" spans="1:6" ht="12" customHeight="1">
      <c r="A144" s="253" t="s">
        <v>110</v>
      </c>
      <c r="B144" s="6" t="s">
        <v>319</v>
      </c>
      <c r="C144" s="207"/>
      <c r="D144" s="207"/>
      <c r="E144" s="207"/>
      <c r="F144" s="207"/>
    </row>
    <row r="145" spans="1:6" ht="15" customHeight="1">
      <c r="A145" s="253" t="s">
        <v>135</v>
      </c>
      <c r="B145" s="6" t="s">
        <v>320</v>
      </c>
      <c r="C145" s="207"/>
      <c r="D145" s="207"/>
      <c r="E145" s="207"/>
      <c r="F145" s="207"/>
    </row>
    <row r="146" spans="1:6" ht="13.5" thickBot="1">
      <c r="A146" s="253" t="s">
        <v>228</v>
      </c>
      <c r="B146" s="6" t="s">
        <v>321</v>
      </c>
      <c r="C146" s="207"/>
      <c r="D146" s="207"/>
      <c r="E146" s="207"/>
      <c r="F146" s="207"/>
    </row>
    <row r="147" spans="1:6" ht="15" customHeight="1" thickBot="1">
      <c r="A147" s="24" t="s">
        <v>13</v>
      </c>
      <c r="B147" s="52" t="s">
        <v>322</v>
      </c>
      <c r="C147" s="235">
        <f>+C128+C132+C137+C142</f>
        <v>0</v>
      </c>
      <c r="D147" s="235"/>
      <c r="E147" s="235">
        <f>+E128+E132+E137+E142</f>
        <v>0</v>
      </c>
      <c r="F147" s="235">
        <f>+F128+F132+F137+F142</f>
        <v>0</v>
      </c>
    </row>
    <row r="148" spans="1:6" ht="14.25" customHeight="1" thickBot="1">
      <c r="A148" s="269" t="s">
        <v>14</v>
      </c>
      <c r="B148" s="155" t="s">
        <v>323</v>
      </c>
      <c r="C148" s="235">
        <f>+C127+C147</f>
        <v>181840</v>
      </c>
      <c r="D148" s="235">
        <f>+D127+D147</f>
        <v>3624</v>
      </c>
      <c r="E148" s="235">
        <f>+E127+E147</f>
        <v>185464</v>
      </c>
      <c r="F148" s="235">
        <f>+F127+F147</f>
        <v>79286</v>
      </c>
    </row>
    <row r="150" spans="3:4" ht="12.75">
      <c r="C150" s="347" t="s">
        <v>420</v>
      </c>
      <c r="D150" s="347"/>
    </row>
  </sheetData>
  <sheetProtection formatCells="0"/>
  <mergeCells count="4">
    <mergeCell ref="B2:E2"/>
    <mergeCell ref="B3:E3"/>
    <mergeCell ref="A7:F7"/>
    <mergeCell ref="A93:F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Header xml:space="preserve">&amp;C9.2.2 melléklet az 1/2014.(II.7.) önkormányzat rendelethez </oddHeader>
  </headerFooter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147"/>
  <sheetViews>
    <sheetView view="pageLayout" zoomScaleSheetLayoutView="100" workbookViewId="0" topLeftCell="A1">
      <selection activeCell="B2" sqref="B2:E2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421</v>
      </c>
      <c r="C2" s="458"/>
      <c r="D2" s="458"/>
      <c r="E2" s="459"/>
      <c r="F2" s="271" t="s">
        <v>46</v>
      </c>
    </row>
    <row r="3" spans="1:6" s="45" customFormat="1" ht="23.25" thickBot="1">
      <c r="A3" s="252" t="s">
        <v>127</v>
      </c>
      <c r="B3" s="460" t="s">
        <v>364</v>
      </c>
      <c r="C3" s="461"/>
      <c r="D3" s="461"/>
      <c r="E3" s="462"/>
      <c r="F3" s="270" t="s">
        <v>37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15155</v>
      </c>
      <c r="D36" s="96">
        <f>SUM(D37:D46)</f>
        <v>3005</v>
      </c>
      <c r="E36" s="96">
        <f>SUM(E37:E46)</f>
        <v>18160</v>
      </c>
      <c r="F36" s="96">
        <f>SUM(F37:F46)</f>
        <v>10469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/>
      <c r="E38" s="98"/>
      <c r="F38" s="98"/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>
        <v>11940</v>
      </c>
      <c r="D41" s="98"/>
      <c r="E41" s="98">
        <v>11940</v>
      </c>
      <c r="F41" s="98">
        <v>6528</v>
      </c>
    </row>
    <row r="42" spans="1:6" s="47" customFormat="1" ht="12" customHeight="1">
      <c r="A42" s="254" t="s">
        <v>105</v>
      </c>
      <c r="B42" s="206" t="s">
        <v>201</v>
      </c>
      <c r="C42" s="98">
        <v>3215</v>
      </c>
      <c r="D42" s="98"/>
      <c r="E42" s="98">
        <v>3215</v>
      </c>
      <c r="F42" s="98">
        <v>1763</v>
      </c>
    </row>
    <row r="43" spans="1:6" s="47" customFormat="1" ht="12" customHeight="1">
      <c r="A43" s="254" t="s">
        <v>106</v>
      </c>
      <c r="B43" s="206" t="s">
        <v>202</v>
      </c>
      <c r="C43" s="98"/>
      <c r="D43" s="98">
        <v>3000</v>
      </c>
      <c r="E43" s="98">
        <v>3000</v>
      </c>
      <c r="F43" s="98">
        <v>2178</v>
      </c>
    </row>
    <row r="44" spans="1:6" s="47" customFormat="1" ht="12" customHeight="1">
      <c r="A44" s="254" t="s">
        <v>107</v>
      </c>
      <c r="B44" s="206" t="s">
        <v>203</v>
      </c>
      <c r="C44" s="98"/>
      <c r="D44" s="98">
        <v>5</v>
      </c>
      <c r="E44" s="98">
        <v>5</v>
      </c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20.25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8.75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15155</v>
      </c>
      <c r="D63" s="102">
        <f>+D8+D15+D22+D29+D36+D47+D53+D58</f>
        <v>3005</v>
      </c>
      <c r="E63" s="102">
        <f>+E8+E15+E22+E29+E36+E47+E53+E58</f>
        <v>18160</v>
      </c>
      <c r="F63" s="102">
        <f>+F8+F15+F22+F29+F36+F47+F53+F58</f>
        <v>10469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313</v>
      </c>
      <c r="D73" s="96"/>
      <c r="E73" s="96">
        <f>SUM(E74:E75)</f>
        <v>313</v>
      </c>
      <c r="F73" s="96">
        <f>SUM(F74:F75)</f>
        <v>313</v>
      </c>
    </row>
    <row r="74" spans="1:6" s="48" customFormat="1" ht="12" customHeight="1">
      <c r="A74" s="253" t="s">
        <v>249</v>
      </c>
      <c r="B74" s="204" t="s">
        <v>250</v>
      </c>
      <c r="C74" s="101">
        <v>313</v>
      </c>
      <c r="D74" s="101"/>
      <c r="E74" s="101">
        <v>313</v>
      </c>
      <c r="F74" s="101">
        <v>313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72222</v>
      </c>
      <c r="D76" s="96">
        <f>SUM(D77:D79)</f>
        <v>-3005</v>
      </c>
      <c r="E76" s="96">
        <f>SUM(E77:E79)</f>
        <v>69217</v>
      </c>
      <c r="F76" s="96">
        <f>SUM(F77:F79)</f>
        <v>27551</v>
      </c>
    </row>
    <row r="77" spans="1:6" s="48" customFormat="1" ht="12" customHeight="1">
      <c r="A77" s="253" t="s">
        <v>255</v>
      </c>
      <c r="B77" s="204" t="s">
        <v>422</v>
      </c>
      <c r="C77" s="101">
        <v>72222</v>
      </c>
      <c r="D77" s="101">
        <v>-3005</v>
      </c>
      <c r="E77" s="101">
        <v>69217</v>
      </c>
      <c r="F77" s="101">
        <v>27551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72535</v>
      </c>
      <c r="D86" s="102">
        <f>+D64+D68+D73+D76+D80+D85</f>
        <v>-3005</v>
      </c>
      <c r="E86" s="102">
        <f>+E64+E68+E73+E76+E80+E85</f>
        <v>69530</v>
      </c>
      <c r="F86" s="102">
        <f>+F64+F68+F73+F76+F80+F85</f>
        <v>27864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87690</v>
      </c>
      <c r="D87" s="102">
        <f>+D63+D86</f>
        <v>0</v>
      </c>
      <c r="E87" s="102">
        <f>+E63+E86</f>
        <v>87690</v>
      </c>
      <c r="F87" s="102">
        <f>+F63+F86</f>
        <v>38333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86675</v>
      </c>
      <c r="D91" s="95">
        <f>SUM(D92:D96)</f>
        <v>0</v>
      </c>
      <c r="E91" s="95">
        <f>SUM(E92:E96)</f>
        <v>86675</v>
      </c>
      <c r="F91" s="95">
        <f>SUM(F92:F96)</f>
        <v>37008</v>
      </c>
    </row>
    <row r="92" spans="1:6" ht="12" customHeight="1">
      <c r="A92" s="266" t="s">
        <v>67</v>
      </c>
      <c r="B92" s="7" t="s">
        <v>34</v>
      </c>
      <c r="C92" s="97">
        <v>32913</v>
      </c>
      <c r="D92" s="97">
        <v>-70</v>
      </c>
      <c r="E92" s="97">
        <v>32843</v>
      </c>
      <c r="F92" s="97">
        <v>14490</v>
      </c>
    </row>
    <row r="93" spans="1:6" ht="12" customHeight="1">
      <c r="A93" s="254" t="s">
        <v>68</v>
      </c>
      <c r="B93" s="5" t="s">
        <v>111</v>
      </c>
      <c r="C93" s="98">
        <v>8550</v>
      </c>
      <c r="D93" s="98">
        <v>70</v>
      </c>
      <c r="E93" s="98">
        <v>8620</v>
      </c>
      <c r="F93" s="98">
        <v>3400</v>
      </c>
    </row>
    <row r="94" spans="1:6" ht="12" customHeight="1">
      <c r="A94" s="254" t="s">
        <v>69</v>
      </c>
      <c r="B94" s="5" t="s">
        <v>86</v>
      </c>
      <c r="C94" s="100">
        <v>45212</v>
      </c>
      <c r="D94" s="100"/>
      <c r="E94" s="100">
        <v>45212</v>
      </c>
      <c r="F94" s="100">
        <v>19118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1015</v>
      </c>
      <c r="D107" s="96"/>
      <c r="E107" s="96">
        <f>+E108+E110+E112</f>
        <v>1015</v>
      </c>
      <c r="F107" s="96">
        <f>+F108+F110+F112</f>
        <v>167</v>
      </c>
    </row>
    <row r="108" spans="1:6" ht="12" customHeight="1">
      <c r="A108" s="253" t="s">
        <v>73</v>
      </c>
      <c r="B108" s="5" t="s">
        <v>133</v>
      </c>
      <c r="C108" s="99">
        <v>1015</v>
      </c>
      <c r="D108" s="99"/>
      <c r="E108" s="99">
        <v>1015</v>
      </c>
      <c r="F108" s="99">
        <v>167</v>
      </c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87690</v>
      </c>
      <c r="D124" s="96">
        <f>+D91+D107+D121</f>
        <v>0</v>
      </c>
      <c r="E124" s="96">
        <f>+E91+E107+E121</f>
        <v>87690</v>
      </c>
      <c r="F124" s="96">
        <f>+F91+F107+F121</f>
        <v>37175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87690</v>
      </c>
      <c r="D145" s="235">
        <f>+D124+D144</f>
        <v>0</v>
      </c>
      <c r="E145" s="235">
        <f>+E124+E144</f>
        <v>87690</v>
      </c>
      <c r="F145" s="235">
        <f>+F124+F144</f>
        <v>37175</v>
      </c>
    </row>
    <row r="147" spans="3:4" ht="12.75">
      <c r="C147" s="347" t="s">
        <v>423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&amp;C9.3 melléklet az 1/2014.(II.7.) önkormányzati rendelethez </oddHeader>
  </headerFooter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47"/>
  <sheetViews>
    <sheetView view="pageLayout" zoomScaleSheetLayoutView="124" workbookViewId="0" topLeftCell="B1">
      <selection activeCell="B3" sqref="B3:E3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421</v>
      </c>
      <c r="C2" s="458"/>
      <c r="D2" s="458"/>
      <c r="E2" s="459"/>
      <c r="F2" s="151" t="s">
        <v>46</v>
      </c>
    </row>
    <row r="3" spans="1:6" s="45" customFormat="1" ht="23.25" thickBot="1">
      <c r="A3" s="252" t="s">
        <v>127</v>
      </c>
      <c r="B3" s="460" t="s">
        <v>368</v>
      </c>
      <c r="C3" s="461"/>
      <c r="D3" s="461"/>
      <c r="E3" s="462"/>
      <c r="F3" s="270" t="s">
        <v>36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15155</v>
      </c>
      <c r="D36" s="96">
        <f>SUM(D37:D46)</f>
        <v>3005</v>
      </c>
      <c r="E36" s="96">
        <f>SUM(E37:E46)</f>
        <v>18160</v>
      </c>
      <c r="F36" s="96">
        <f>SUM(F37:F46)</f>
        <v>10469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/>
      <c r="E38" s="98"/>
      <c r="F38" s="98"/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>
        <v>11940</v>
      </c>
      <c r="D41" s="98"/>
      <c r="E41" s="98">
        <v>11940</v>
      </c>
      <c r="F41" s="98">
        <v>6528</v>
      </c>
    </row>
    <row r="42" spans="1:6" s="47" customFormat="1" ht="12" customHeight="1">
      <c r="A42" s="254" t="s">
        <v>105</v>
      </c>
      <c r="B42" s="206" t="s">
        <v>201</v>
      </c>
      <c r="C42" s="98">
        <v>3215</v>
      </c>
      <c r="D42" s="98"/>
      <c r="E42" s="98">
        <v>3215</v>
      </c>
      <c r="F42" s="98">
        <v>1763</v>
      </c>
    </row>
    <row r="43" spans="1:6" s="47" customFormat="1" ht="12" customHeight="1">
      <c r="A43" s="254" t="s">
        <v>106</v>
      </c>
      <c r="B43" s="206" t="s">
        <v>202</v>
      </c>
      <c r="C43" s="98"/>
      <c r="D43" s="98">
        <v>3000</v>
      </c>
      <c r="E43" s="98">
        <v>3000</v>
      </c>
      <c r="F43" s="98">
        <v>2178</v>
      </c>
    </row>
    <row r="44" spans="1:6" s="47" customFormat="1" ht="12" customHeight="1">
      <c r="A44" s="254" t="s">
        <v>107</v>
      </c>
      <c r="B44" s="206" t="s">
        <v>203</v>
      </c>
      <c r="C44" s="98"/>
      <c r="D44" s="98">
        <v>5</v>
      </c>
      <c r="E44" s="98">
        <v>5</v>
      </c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15155</v>
      </c>
      <c r="D63" s="102">
        <f>+D8+D15+D22+D29+D36+D47+D53+D58</f>
        <v>3005</v>
      </c>
      <c r="E63" s="102">
        <f>+E8+E15+E22+E29+E36+E47+E53+E58</f>
        <v>18160</v>
      </c>
      <c r="F63" s="102">
        <f>+F8+F15+F22+F29+F36+F47+F53+F58</f>
        <v>10469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313</v>
      </c>
      <c r="D73" s="96"/>
      <c r="E73" s="96">
        <f>SUM(E74:E75)</f>
        <v>313</v>
      </c>
      <c r="F73" s="96">
        <f>SUM(F74:F75)</f>
        <v>313</v>
      </c>
    </row>
    <row r="74" spans="1:6" s="48" customFormat="1" ht="12" customHeight="1">
      <c r="A74" s="253" t="s">
        <v>249</v>
      </c>
      <c r="B74" s="204" t="s">
        <v>250</v>
      </c>
      <c r="C74" s="101">
        <v>313</v>
      </c>
      <c r="D74" s="101"/>
      <c r="E74" s="101">
        <v>313</v>
      </c>
      <c r="F74" s="101">
        <v>313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72222</v>
      </c>
      <c r="D76" s="96">
        <f>SUM(D77:D79)</f>
        <v>-3005</v>
      </c>
      <c r="E76" s="96">
        <f>SUM(E77:E79)</f>
        <v>69217</v>
      </c>
      <c r="F76" s="96">
        <f>SUM(F77:F79)</f>
        <v>27551</v>
      </c>
    </row>
    <row r="77" spans="1:6" s="48" customFormat="1" ht="12" customHeight="1">
      <c r="A77" s="253" t="s">
        <v>255</v>
      </c>
      <c r="B77" s="204" t="s">
        <v>422</v>
      </c>
      <c r="C77" s="101">
        <v>72222</v>
      </c>
      <c r="D77" s="101">
        <v>-3005</v>
      </c>
      <c r="E77" s="101">
        <v>69217</v>
      </c>
      <c r="F77" s="101">
        <v>27551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72535</v>
      </c>
      <c r="D86" s="102">
        <f>+D64+D68+D73+D76+D80+D85</f>
        <v>-3005</v>
      </c>
      <c r="E86" s="102">
        <f>+E64+E68+E73+E76+E80+E85</f>
        <v>69530</v>
      </c>
      <c r="F86" s="102">
        <f>+F64+F68+F73+F76+F80+F85</f>
        <v>27864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87690</v>
      </c>
      <c r="D87" s="102">
        <f>+D63+D86</f>
        <v>0</v>
      </c>
      <c r="E87" s="102">
        <f>+E63+E86</f>
        <v>87690</v>
      </c>
      <c r="F87" s="102">
        <f>+F63+F86</f>
        <v>38333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86675</v>
      </c>
      <c r="D91" s="95"/>
      <c r="E91" s="95">
        <f>SUM(E92:E96)</f>
        <v>86675</v>
      </c>
      <c r="F91" s="95">
        <f>SUM(F92:F96)</f>
        <v>37008</v>
      </c>
    </row>
    <row r="92" spans="1:6" ht="12" customHeight="1">
      <c r="A92" s="266" t="s">
        <v>67</v>
      </c>
      <c r="B92" s="7" t="s">
        <v>34</v>
      </c>
      <c r="C92" s="97">
        <v>32913</v>
      </c>
      <c r="D92" s="97">
        <v>-70</v>
      </c>
      <c r="E92" s="97">
        <v>32843</v>
      </c>
      <c r="F92" s="97">
        <v>14490</v>
      </c>
    </row>
    <row r="93" spans="1:6" ht="12" customHeight="1">
      <c r="A93" s="254" t="s">
        <v>68</v>
      </c>
      <c r="B93" s="5" t="s">
        <v>111</v>
      </c>
      <c r="C93" s="98">
        <v>8550</v>
      </c>
      <c r="D93" s="98">
        <v>70</v>
      </c>
      <c r="E93" s="98">
        <v>8620</v>
      </c>
      <c r="F93" s="98">
        <v>3400</v>
      </c>
    </row>
    <row r="94" spans="1:6" ht="12" customHeight="1">
      <c r="A94" s="254" t="s">
        <v>69</v>
      </c>
      <c r="B94" s="5" t="s">
        <v>86</v>
      </c>
      <c r="C94" s="100">
        <v>45212</v>
      </c>
      <c r="D94" s="100"/>
      <c r="E94" s="100">
        <v>45212</v>
      </c>
      <c r="F94" s="100">
        <v>19118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1015</v>
      </c>
      <c r="D107" s="96"/>
      <c r="E107" s="96">
        <f>+E108+E110+E112</f>
        <v>1015</v>
      </c>
      <c r="F107" s="96">
        <f>+F108+F110+F112</f>
        <v>167</v>
      </c>
    </row>
    <row r="108" spans="1:6" ht="12" customHeight="1">
      <c r="A108" s="253" t="s">
        <v>73</v>
      </c>
      <c r="B108" s="5" t="s">
        <v>133</v>
      </c>
      <c r="C108" s="99">
        <v>1015</v>
      </c>
      <c r="D108" s="99"/>
      <c r="E108" s="99">
        <v>1015</v>
      </c>
      <c r="F108" s="99">
        <v>167</v>
      </c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87690</v>
      </c>
      <c r="D124" s="96"/>
      <c r="E124" s="96">
        <f>+E91+E107+E121</f>
        <v>87690</v>
      </c>
      <c r="F124" s="96">
        <f>+F91+F107+F121</f>
        <v>37175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87690</v>
      </c>
      <c r="D145" s="235"/>
      <c r="E145" s="235">
        <f>+E124+E144</f>
        <v>87690</v>
      </c>
      <c r="F145" s="235">
        <f>+F124+F144</f>
        <v>37175</v>
      </c>
    </row>
    <row r="147" spans="3:4" ht="12.75">
      <c r="C147" s="347" t="s">
        <v>423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 xml:space="preserve">&amp;C9.3.1 melléklet az 1/2014.(II.7.) önkormányzati rendelethez </oddHeader>
  </headerFooter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L147"/>
  <sheetViews>
    <sheetView view="pageLayout" zoomScaleSheetLayoutView="100" workbookViewId="0" topLeftCell="A1">
      <selection activeCell="B3" sqref="B3:E3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424</v>
      </c>
      <c r="C2" s="458"/>
      <c r="D2" s="458"/>
      <c r="E2" s="459"/>
      <c r="F2" s="271" t="s">
        <v>46</v>
      </c>
    </row>
    <row r="3" spans="1:6" s="45" customFormat="1" ht="23.25" thickBot="1">
      <c r="A3" s="252" t="s">
        <v>127</v>
      </c>
      <c r="B3" s="460" t="s">
        <v>364</v>
      </c>
      <c r="C3" s="461"/>
      <c r="D3" s="461"/>
      <c r="E3" s="462"/>
      <c r="F3" s="270" t="s">
        <v>37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2660</v>
      </c>
      <c r="D36" s="96"/>
      <c r="E36" s="96">
        <f>SUM(E37:E46)</f>
        <v>2660</v>
      </c>
      <c r="F36" s="96">
        <f>SUM(F37:F46)</f>
        <v>818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>
        <v>1900</v>
      </c>
      <c r="D38" s="98"/>
      <c r="E38" s="98">
        <v>1900</v>
      </c>
      <c r="F38" s="98">
        <v>798</v>
      </c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>
        <v>250</v>
      </c>
      <c r="D40" s="98"/>
      <c r="E40" s="98">
        <v>250</v>
      </c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>
        <v>510</v>
      </c>
      <c r="D42" s="98"/>
      <c r="E42" s="98">
        <v>510</v>
      </c>
      <c r="F42" s="98">
        <v>20</v>
      </c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20.25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8.75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2660</v>
      </c>
      <c r="D63" s="102"/>
      <c r="E63" s="102">
        <f>+E8+E15+E22+E29+E36+E47+E53+E58</f>
        <v>2660</v>
      </c>
      <c r="F63" s="102">
        <f>+F8+F15+F22+F29+F36+F47+F53+F58</f>
        <v>818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39</v>
      </c>
      <c r="D73" s="96"/>
      <c r="E73" s="96">
        <f>SUM(E74:E75)</f>
        <v>39</v>
      </c>
      <c r="F73" s="96">
        <f>SUM(F74:F75)</f>
        <v>39</v>
      </c>
    </row>
    <row r="74" spans="1:6" s="48" customFormat="1" ht="12" customHeight="1">
      <c r="A74" s="253" t="s">
        <v>249</v>
      </c>
      <c r="B74" s="204" t="s">
        <v>250</v>
      </c>
      <c r="C74" s="101">
        <v>39</v>
      </c>
      <c r="D74" s="101"/>
      <c r="E74" s="101">
        <v>39</v>
      </c>
      <c r="F74" s="101">
        <v>39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17111</v>
      </c>
      <c r="D76" s="96">
        <f>SUM(D77:D79)</f>
        <v>899</v>
      </c>
      <c r="E76" s="96">
        <f>SUM(E77:E79)</f>
        <v>18010</v>
      </c>
      <c r="F76" s="96">
        <f>SUM(F77:F79)</f>
        <v>6775</v>
      </c>
    </row>
    <row r="77" spans="1:6" s="48" customFormat="1" ht="12" customHeight="1">
      <c r="A77" s="253" t="s">
        <v>255</v>
      </c>
      <c r="B77" s="204" t="s">
        <v>422</v>
      </c>
      <c r="C77" s="101">
        <v>17111</v>
      </c>
      <c r="D77" s="101">
        <v>899</v>
      </c>
      <c r="E77" s="101">
        <v>18010</v>
      </c>
      <c r="F77" s="101">
        <v>6775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17150</v>
      </c>
      <c r="D86" s="102">
        <f>+D64+D68+D73+D76+D80+D85</f>
        <v>899</v>
      </c>
      <c r="E86" s="102">
        <f>+E64+E68+E73+E76+E80+E85</f>
        <v>18049</v>
      </c>
      <c r="F86" s="102">
        <f>+F64+F68+F73+F76+F80+F85</f>
        <v>6814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19810</v>
      </c>
      <c r="D87" s="102">
        <f>+D63+D86</f>
        <v>899</v>
      </c>
      <c r="E87" s="102">
        <f>+E63+E86</f>
        <v>20709</v>
      </c>
      <c r="F87" s="102">
        <f>+F63+F86</f>
        <v>7632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19800</v>
      </c>
      <c r="D91" s="95">
        <f>SUM(D92:D96)</f>
        <v>515</v>
      </c>
      <c r="E91" s="95">
        <f>SUM(E92:E96)</f>
        <v>20315</v>
      </c>
      <c r="F91" s="95">
        <f>SUM(F92:F96)</f>
        <v>6441</v>
      </c>
    </row>
    <row r="92" spans="1:6" ht="12" customHeight="1">
      <c r="A92" s="266" t="s">
        <v>67</v>
      </c>
      <c r="B92" s="7" t="s">
        <v>34</v>
      </c>
      <c r="C92" s="97">
        <v>5880</v>
      </c>
      <c r="D92" s="97">
        <v>417</v>
      </c>
      <c r="E92" s="97">
        <v>6297</v>
      </c>
      <c r="F92" s="97">
        <v>2618</v>
      </c>
    </row>
    <row r="93" spans="1:6" ht="12" customHeight="1">
      <c r="A93" s="254" t="s">
        <v>68</v>
      </c>
      <c r="B93" s="5" t="s">
        <v>111</v>
      </c>
      <c r="C93" s="98">
        <v>1530</v>
      </c>
      <c r="D93" s="98">
        <v>18</v>
      </c>
      <c r="E93" s="98">
        <v>1548</v>
      </c>
      <c r="F93" s="98">
        <v>563</v>
      </c>
    </row>
    <row r="94" spans="1:6" ht="12" customHeight="1">
      <c r="A94" s="254" t="s">
        <v>69</v>
      </c>
      <c r="B94" s="5" t="s">
        <v>86</v>
      </c>
      <c r="C94" s="100">
        <v>12390</v>
      </c>
      <c r="D94" s="100">
        <v>80</v>
      </c>
      <c r="E94" s="100">
        <v>12470</v>
      </c>
      <c r="F94" s="100">
        <v>3260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10</v>
      </c>
      <c r="D107" s="96">
        <f>+D108+D110+D112</f>
        <v>384</v>
      </c>
      <c r="E107" s="96">
        <f>+E108+E110+E112</f>
        <v>394</v>
      </c>
      <c r="F107" s="96">
        <f>+F108+F110+F112</f>
        <v>137</v>
      </c>
    </row>
    <row r="108" spans="1:6" ht="12" customHeight="1">
      <c r="A108" s="253" t="s">
        <v>73</v>
      </c>
      <c r="B108" s="5" t="s">
        <v>133</v>
      </c>
      <c r="C108" s="99">
        <v>10</v>
      </c>
      <c r="D108" s="99">
        <v>384</v>
      </c>
      <c r="E108" s="99">
        <v>394</v>
      </c>
      <c r="F108" s="99">
        <v>137</v>
      </c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19810</v>
      </c>
      <c r="D124" s="96">
        <f>+D91+D107+D121</f>
        <v>899</v>
      </c>
      <c r="E124" s="96">
        <f>+E91+E107+E121</f>
        <v>20709</v>
      </c>
      <c r="F124" s="96">
        <f>+F91+F107+F121</f>
        <v>6578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19810</v>
      </c>
      <c r="D145" s="235">
        <f>+D124+D144</f>
        <v>899</v>
      </c>
      <c r="E145" s="235">
        <f>+E124+E144</f>
        <v>20709</v>
      </c>
      <c r="F145" s="235">
        <f>+F124+F144</f>
        <v>6578</v>
      </c>
    </row>
    <row r="147" spans="3:4" ht="12.75">
      <c r="C147" s="347" t="s">
        <v>425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&amp;C9.4 melléklet az 1/2014.(II.7.) önkormányzati rendelethez </oddHeader>
  </headerFooter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47"/>
  <sheetViews>
    <sheetView view="pageLayout" zoomScaleSheetLayoutView="100" workbookViewId="0" topLeftCell="A1">
      <selection activeCell="B3" sqref="B3:E3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424</v>
      </c>
      <c r="C2" s="458"/>
      <c r="D2" s="458"/>
      <c r="E2" s="459"/>
      <c r="F2" s="151" t="s">
        <v>46</v>
      </c>
    </row>
    <row r="3" spans="1:6" s="45" customFormat="1" ht="23.25" thickBot="1">
      <c r="A3" s="252" t="s">
        <v>127</v>
      </c>
      <c r="B3" s="460" t="s">
        <v>368</v>
      </c>
      <c r="C3" s="461"/>
      <c r="D3" s="461"/>
      <c r="E3" s="462"/>
      <c r="F3" s="270" t="s">
        <v>36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/>
      <c r="E6" s="195">
        <v>4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2660</v>
      </c>
      <c r="D36" s="96"/>
      <c r="E36" s="96">
        <f>SUM(E37:E46)</f>
        <v>2660</v>
      </c>
      <c r="F36" s="96">
        <f>SUM(F37:F46)</f>
        <v>818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>
        <v>1900</v>
      </c>
      <c r="D38" s="98"/>
      <c r="E38" s="98">
        <v>1900</v>
      </c>
      <c r="F38" s="98">
        <v>798</v>
      </c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>
        <v>250</v>
      </c>
      <c r="D40" s="98"/>
      <c r="E40" s="98">
        <v>250</v>
      </c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>
        <v>510</v>
      </c>
      <c r="D42" s="98"/>
      <c r="E42" s="98">
        <v>510</v>
      </c>
      <c r="F42" s="98">
        <v>20</v>
      </c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2660</v>
      </c>
      <c r="D63" s="102"/>
      <c r="E63" s="102">
        <f>+E8+E15+E22+E29+E36+E47+E53+E58</f>
        <v>2660</v>
      </c>
      <c r="F63" s="102">
        <f>+F8+F15+F22+F29+F36+F47+F53+F58</f>
        <v>818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39</v>
      </c>
      <c r="D73" s="96"/>
      <c r="E73" s="96">
        <f>SUM(E74:E75)</f>
        <v>39</v>
      </c>
      <c r="F73" s="96">
        <f>SUM(F74:F75)</f>
        <v>39</v>
      </c>
    </row>
    <row r="74" spans="1:6" s="48" customFormat="1" ht="12" customHeight="1">
      <c r="A74" s="253" t="s">
        <v>249</v>
      </c>
      <c r="B74" s="204" t="s">
        <v>250</v>
      </c>
      <c r="C74" s="101">
        <v>39</v>
      </c>
      <c r="D74" s="101"/>
      <c r="E74" s="101">
        <v>39</v>
      </c>
      <c r="F74" s="101">
        <v>39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17111</v>
      </c>
      <c r="D76" s="96">
        <f>SUM(D77:D79)</f>
        <v>899</v>
      </c>
      <c r="E76" s="96">
        <f>SUM(E77:E79)</f>
        <v>18010</v>
      </c>
      <c r="F76" s="96">
        <f>SUM(F77:F79)</f>
        <v>6775</v>
      </c>
    </row>
    <row r="77" spans="1:6" s="48" customFormat="1" ht="12" customHeight="1">
      <c r="A77" s="253" t="s">
        <v>255</v>
      </c>
      <c r="B77" s="204" t="s">
        <v>422</v>
      </c>
      <c r="C77" s="101">
        <v>17111</v>
      </c>
      <c r="D77" s="101">
        <v>899</v>
      </c>
      <c r="E77" s="101">
        <v>18010</v>
      </c>
      <c r="F77" s="101">
        <v>6775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17150</v>
      </c>
      <c r="D86" s="102">
        <f>+D64+D68+D73+D76+D80+D85</f>
        <v>899</v>
      </c>
      <c r="E86" s="102">
        <f>+E64+E68+E73+E76+E80+E85</f>
        <v>18049</v>
      </c>
      <c r="F86" s="102">
        <f>+F64+F68+F73+F76+F80+F85</f>
        <v>6814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19810</v>
      </c>
      <c r="D87" s="102">
        <f>+D63+D86</f>
        <v>899</v>
      </c>
      <c r="E87" s="102">
        <f>+E63+E86</f>
        <v>20709</v>
      </c>
      <c r="F87" s="102">
        <f>+F63+F86</f>
        <v>7632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19800</v>
      </c>
      <c r="D91" s="95">
        <f>SUM(D92:D96)</f>
        <v>515</v>
      </c>
      <c r="E91" s="95">
        <f>SUM(E92:E96)</f>
        <v>20315</v>
      </c>
      <c r="F91" s="95">
        <f>SUM(F92:F96)</f>
        <v>6441</v>
      </c>
    </row>
    <row r="92" spans="1:6" ht="12" customHeight="1">
      <c r="A92" s="266" t="s">
        <v>67</v>
      </c>
      <c r="B92" s="7" t="s">
        <v>34</v>
      </c>
      <c r="C92" s="97">
        <v>5880</v>
      </c>
      <c r="D92" s="97">
        <v>417</v>
      </c>
      <c r="E92" s="97">
        <v>6297</v>
      </c>
      <c r="F92" s="97">
        <v>2618</v>
      </c>
    </row>
    <row r="93" spans="1:6" ht="12" customHeight="1">
      <c r="A93" s="254" t="s">
        <v>68</v>
      </c>
      <c r="B93" s="5" t="s">
        <v>111</v>
      </c>
      <c r="C93" s="98">
        <v>1530</v>
      </c>
      <c r="D93" s="98">
        <v>18</v>
      </c>
      <c r="E93" s="98">
        <v>1548</v>
      </c>
      <c r="F93" s="98">
        <v>563</v>
      </c>
    </row>
    <row r="94" spans="1:6" ht="12" customHeight="1">
      <c r="A94" s="254" t="s">
        <v>69</v>
      </c>
      <c r="B94" s="5" t="s">
        <v>86</v>
      </c>
      <c r="C94" s="100">
        <v>12390</v>
      </c>
      <c r="D94" s="100">
        <v>80</v>
      </c>
      <c r="E94" s="100">
        <v>12470</v>
      </c>
      <c r="F94" s="100">
        <v>3260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10</v>
      </c>
      <c r="D107" s="96">
        <f>+D108+D110+D112</f>
        <v>384</v>
      </c>
      <c r="E107" s="96">
        <f>+E108+E110+E112</f>
        <v>394</v>
      </c>
      <c r="F107" s="96">
        <f>+F108+F110+F112</f>
        <v>137</v>
      </c>
    </row>
    <row r="108" spans="1:6" ht="12" customHeight="1">
      <c r="A108" s="253" t="s">
        <v>73</v>
      </c>
      <c r="B108" s="5" t="s">
        <v>133</v>
      </c>
      <c r="C108" s="99">
        <v>10</v>
      </c>
      <c r="D108" s="99">
        <v>384</v>
      </c>
      <c r="E108" s="99">
        <v>394</v>
      </c>
      <c r="F108" s="99">
        <v>137</v>
      </c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19810</v>
      </c>
      <c r="D124" s="96">
        <f>+D91+D107+D121</f>
        <v>899</v>
      </c>
      <c r="E124" s="96">
        <f>+E91+E107+E121</f>
        <v>20709</v>
      </c>
      <c r="F124" s="96">
        <f>+F91+F107+F121</f>
        <v>6578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19810</v>
      </c>
      <c r="D145" s="235">
        <f>+D124+D144</f>
        <v>899</v>
      </c>
      <c r="E145" s="235">
        <f>+E124+E144</f>
        <v>20709</v>
      </c>
      <c r="F145" s="235">
        <f>+F124+F144</f>
        <v>6578</v>
      </c>
    </row>
    <row r="147" spans="3:4" ht="12.75">
      <c r="C147" s="347" t="s">
        <v>425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 xml:space="preserve">&amp;C9.4.1 melléklet az 1/2014.(II.7.) önkormányzati rendelethez </oddHeader>
  </headerFooter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66FF"/>
  </sheetPr>
  <dimension ref="A1:L147"/>
  <sheetViews>
    <sheetView view="pageLayout" zoomScaleSheetLayoutView="100" workbookViewId="0" topLeftCell="A1">
      <selection activeCell="D5" sqref="D5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426</v>
      </c>
      <c r="C2" s="458"/>
      <c r="D2" s="458"/>
      <c r="E2" s="459"/>
      <c r="F2" s="271" t="s">
        <v>46</v>
      </c>
    </row>
    <row r="3" spans="1:6" s="45" customFormat="1" ht="23.25" thickBot="1">
      <c r="A3" s="252" t="s">
        <v>127</v>
      </c>
      <c r="B3" s="460" t="s">
        <v>364</v>
      </c>
      <c r="C3" s="461"/>
      <c r="D3" s="461"/>
      <c r="E3" s="462"/>
      <c r="F3" s="270" t="s">
        <v>37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0</v>
      </c>
      <c r="D36" s="96"/>
      <c r="E36" s="96">
        <f>SUM(E37:E46)</f>
        <v>0</v>
      </c>
      <c r="F36" s="96">
        <f>SUM(F37:F46)</f>
        <v>0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/>
      <c r="E38" s="98"/>
      <c r="F38" s="98"/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/>
      <c r="D42" s="98"/>
      <c r="E42" s="98"/>
      <c r="F42" s="98"/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20.25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8.75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0</v>
      </c>
      <c r="D63" s="102"/>
      <c r="E63" s="102">
        <f>+E8+E15+E22+E29+E36+E47+E53+E58</f>
        <v>0</v>
      </c>
      <c r="F63" s="102">
        <f>+F8+F15+F22+F29+F36+F47+F53+F58</f>
        <v>0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30</v>
      </c>
      <c r="D73" s="96"/>
      <c r="E73" s="96">
        <f>SUM(E74:E75)</f>
        <v>30</v>
      </c>
      <c r="F73" s="96">
        <f>SUM(F74:F75)</f>
        <v>30</v>
      </c>
    </row>
    <row r="74" spans="1:6" s="48" customFormat="1" ht="12" customHeight="1">
      <c r="A74" s="253" t="s">
        <v>249</v>
      </c>
      <c r="B74" s="204" t="s">
        <v>250</v>
      </c>
      <c r="C74" s="101">
        <v>30</v>
      </c>
      <c r="D74" s="101"/>
      <c r="E74" s="101">
        <v>30</v>
      </c>
      <c r="F74" s="101">
        <v>30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46232</v>
      </c>
      <c r="D76" s="96">
        <f>SUM(D77:D79)</f>
        <v>1524</v>
      </c>
      <c r="E76" s="96">
        <f>SUM(E77:E79)</f>
        <v>47756</v>
      </c>
      <c r="F76" s="96">
        <f>SUM(F77:F79)</f>
        <v>22050</v>
      </c>
    </row>
    <row r="77" spans="1:6" s="48" customFormat="1" ht="12" customHeight="1">
      <c r="A77" s="253" t="s">
        <v>255</v>
      </c>
      <c r="B77" s="204" t="s">
        <v>422</v>
      </c>
      <c r="C77" s="101">
        <v>46232</v>
      </c>
      <c r="D77" s="101">
        <v>1524</v>
      </c>
      <c r="E77" s="101">
        <v>47756</v>
      </c>
      <c r="F77" s="101">
        <v>22050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46262</v>
      </c>
      <c r="D86" s="102">
        <f>+D64+D68+D73+D76+D80+D85</f>
        <v>1524</v>
      </c>
      <c r="E86" s="102">
        <f>+E64+E68+E73+E76+E80+E85</f>
        <v>47786</v>
      </c>
      <c r="F86" s="102">
        <f>+F64+F68+F73+F76+F80+F85</f>
        <v>22080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46262</v>
      </c>
      <c r="D87" s="102">
        <f>+D63+D86</f>
        <v>1524</v>
      </c>
      <c r="E87" s="102">
        <f>+E63+E86</f>
        <v>47786</v>
      </c>
      <c r="F87" s="102">
        <f>+F63+F86</f>
        <v>22080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46262</v>
      </c>
      <c r="D91" s="95">
        <f>SUM(D92:D96)</f>
        <v>1270</v>
      </c>
      <c r="E91" s="95">
        <f>SUM(E92:E96)</f>
        <v>47532</v>
      </c>
      <c r="F91" s="95">
        <f>SUM(F92:F96)</f>
        <v>21662</v>
      </c>
    </row>
    <row r="92" spans="1:6" ht="12" customHeight="1">
      <c r="A92" s="266" t="s">
        <v>67</v>
      </c>
      <c r="B92" s="7" t="s">
        <v>34</v>
      </c>
      <c r="C92" s="97">
        <v>30335</v>
      </c>
      <c r="D92" s="97">
        <v>271</v>
      </c>
      <c r="E92" s="97">
        <v>30606</v>
      </c>
      <c r="F92" s="97">
        <v>13936</v>
      </c>
    </row>
    <row r="93" spans="1:6" ht="12" customHeight="1">
      <c r="A93" s="254" t="s">
        <v>68</v>
      </c>
      <c r="B93" s="5" t="s">
        <v>111</v>
      </c>
      <c r="C93" s="98">
        <v>8022</v>
      </c>
      <c r="D93" s="98">
        <v>-21</v>
      </c>
      <c r="E93" s="98">
        <v>8001</v>
      </c>
      <c r="F93" s="98">
        <v>3447</v>
      </c>
    </row>
    <row r="94" spans="1:6" ht="12" customHeight="1">
      <c r="A94" s="254" t="s">
        <v>69</v>
      </c>
      <c r="B94" s="5" t="s">
        <v>86</v>
      </c>
      <c r="C94" s="100">
        <v>7905</v>
      </c>
      <c r="D94" s="100">
        <v>1020</v>
      </c>
      <c r="E94" s="100">
        <v>8925</v>
      </c>
      <c r="F94" s="100">
        <v>4279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0</v>
      </c>
      <c r="D107" s="96">
        <f>+D108+D110+D112</f>
        <v>254</v>
      </c>
      <c r="E107" s="96">
        <f>+E108+E110+E112</f>
        <v>254</v>
      </c>
      <c r="F107" s="96">
        <f>+F108+F110+F112</f>
        <v>0</v>
      </c>
    </row>
    <row r="108" spans="1:6" ht="12" customHeight="1">
      <c r="A108" s="253" t="s">
        <v>73</v>
      </c>
      <c r="B108" s="5" t="s">
        <v>133</v>
      </c>
      <c r="C108" s="99"/>
      <c r="D108" s="99">
        <v>254</v>
      </c>
      <c r="E108" s="99">
        <v>254</v>
      </c>
      <c r="F108" s="99"/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46262</v>
      </c>
      <c r="D124" s="96">
        <f>+D91+D107+D121</f>
        <v>1524</v>
      </c>
      <c r="E124" s="96">
        <f>+E91+E107+E121</f>
        <v>47786</v>
      </c>
      <c r="F124" s="96">
        <f>+F91+F107+F121</f>
        <v>21662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46262</v>
      </c>
      <c r="D145" s="235">
        <f>+D124+D144</f>
        <v>1524</v>
      </c>
      <c r="E145" s="235">
        <f>+E124+E144</f>
        <v>47786</v>
      </c>
      <c r="F145" s="235">
        <f>+F124+F144</f>
        <v>21662</v>
      </c>
    </row>
    <row r="147" spans="3:4" ht="12.75">
      <c r="C147" s="347" t="s">
        <v>427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&amp;C9.5 melléklet az 1/2014.(II.7.) önkormányzati rendelethez </oddHeader>
  </headerFooter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66FF"/>
  </sheetPr>
  <dimension ref="A1:L147"/>
  <sheetViews>
    <sheetView view="pageLayout" zoomScaleSheetLayoutView="100" workbookViewId="0" topLeftCell="A1">
      <selection activeCell="B3" sqref="B3:E3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426</v>
      </c>
      <c r="C2" s="458"/>
      <c r="D2" s="458"/>
      <c r="E2" s="459"/>
      <c r="F2" s="151" t="s">
        <v>46</v>
      </c>
    </row>
    <row r="3" spans="1:6" s="45" customFormat="1" ht="23.25" thickBot="1">
      <c r="A3" s="252" t="s">
        <v>127</v>
      </c>
      <c r="B3" s="460" t="s">
        <v>368</v>
      </c>
      <c r="C3" s="461"/>
      <c r="D3" s="461"/>
      <c r="E3" s="462"/>
      <c r="F3" s="270" t="s">
        <v>36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70" t="s">
        <v>448</v>
      </c>
      <c r="E5" s="170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>
        <v>4</v>
      </c>
      <c r="E6" s="195">
        <v>5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18" t="s">
        <v>161</v>
      </c>
      <c r="C8" s="96">
        <f>+C9+C10+C11+C12+C13+C14</f>
        <v>0</v>
      </c>
      <c r="D8" s="96"/>
      <c r="E8" s="96">
        <f>+E9+E10+E11+E12+E13+E14</f>
        <v>0</v>
      </c>
      <c r="F8" s="96">
        <f>+F9+F10+F11+F12+F13+F14</f>
        <v>0</v>
      </c>
    </row>
    <row r="9" spans="1:6" s="47" customFormat="1" ht="12" customHeight="1">
      <c r="A9" s="253" t="s">
        <v>67</v>
      </c>
      <c r="B9" s="204" t="s">
        <v>162</v>
      </c>
      <c r="C9" s="99"/>
      <c r="D9" s="99"/>
      <c r="E9" s="99"/>
      <c r="F9" s="99"/>
    </row>
    <row r="10" spans="1:6" s="48" customFormat="1" ht="12" customHeight="1">
      <c r="A10" s="254" t="s">
        <v>68</v>
      </c>
      <c r="B10" s="206" t="s">
        <v>163</v>
      </c>
      <c r="C10" s="98"/>
      <c r="D10" s="98"/>
      <c r="E10" s="98"/>
      <c r="F10" s="98"/>
    </row>
    <row r="11" spans="1:6" s="48" customFormat="1" ht="12" customHeight="1">
      <c r="A11" s="254" t="s">
        <v>69</v>
      </c>
      <c r="B11" s="206" t="s">
        <v>164</v>
      </c>
      <c r="C11" s="98"/>
      <c r="D11" s="98"/>
      <c r="E11" s="98"/>
      <c r="F11" s="98"/>
    </row>
    <row r="12" spans="1:6" s="48" customFormat="1" ht="12" customHeight="1">
      <c r="A12" s="254" t="s">
        <v>70</v>
      </c>
      <c r="B12" s="206" t="s">
        <v>165</v>
      </c>
      <c r="C12" s="98"/>
      <c r="D12" s="98"/>
      <c r="E12" s="98"/>
      <c r="F12" s="98"/>
    </row>
    <row r="13" spans="1:6" s="48" customFormat="1" ht="12" customHeight="1">
      <c r="A13" s="254" t="s">
        <v>87</v>
      </c>
      <c r="B13" s="206" t="s">
        <v>166</v>
      </c>
      <c r="C13" s="263"/>
      <c r="D13" s="263"/>
      <c r="E13" s="263"/>
      <c r="F13" s="263"/>
    </row>
    <row r="14" spans="1:6" s="47" customFormat="1" ht="12" customHeight="1" thickBot="1">
      <c r="A14" s="255" t="s">
        <v>71</v>
      </c>
      <c r="B14" s="209" t="s">
        <v>167</v>
      </c>
      <c r="C14" s="264"/>
      <c r="D14" s="264"/>
      <c r="E14" s="264"/>
      <c r="F14" s="264"/>
    </row>
    <row r="15" spans="1:6" s="47" customFormat="1" ht="12" customHeight="1" thickBot="1">
      <c r="A15" s="24" t="s">
        <v>6</v>
      </c>
      <c r="B15" s="91" t="s">
        <v>168</v>
      </c>
      <c r="C15" s="96">
        <f>+C16+C17+C18+C19+C20</f>
        <v>0</v>
      </c>
      <c r="D15" s="96"/>
      <c r="E15" s="96">
        <f>+E16+E17+E18+E19+E20</f>
        <v>0</v>
      </c>
      <c r="F15" s="96">
        <f>+F16+F17+F18+F19+F20</f>
        <v>0</v>
      </c>
    </row>
    <row r="16" spans="1:6" s="47" customFormat="1" ht="12" customHeight="1">
      <c r="A16" s="253" t="s">
        <v>73</v>
      </c>
      <c r="B16" s="204" t="s">
        <v>169</v>
      </c>
      <c r="C16" s="99"/>
      <c r="D16" s="99"/>
      <c r="E16" s="99"/>
      <c r="F16" s="99"/>
    </row>
    <row r="17" spans="1:6" s="47" customFormat="1" ht="12" customHeight="1">
      <c r="A17" s="254" t="s">
        <v>74</v>
      </c>
      <c r="B17" s="206" t="s">
        <v>170</v>
      </c>
      <c r="C17" s="98"/>
      <c r="D17" s="98"/>
      <c r="E17" s="98"/>
      <c r="F17" s="98"/>
    </row>
    <row r="18" spans="1:6" s="47" customFormat="1" ht="12" customHeight="1">
      <c r="A18" s="254" t="s">
        <v>75</v>
      </c>
      <c r="B18" s="206" t="s">
        <v>380</v>
      </c>
      <c r="C18" s="98"/>
      <c r="D18" s="98"/>
      <c r="E18" s="98"/>
      <c r="F18" s="98"/>
    </row>
    <row r="19" spans="1:6" s="47" customFormat="1" ht="12" customHeight="1">
      <c r="A19" s="254" t="s">
        <v>76</v>
      </c>
      <c r="B19" s="206" t="s">
        <v>381</v>
      </c>
      <c r="C19" s="98"/>
      <c r="D19" s="98"/>
      <c r="E19" s="98"/>
      <c r="F19" s="98"/>
    </row>
    <row r="20" spans="1:6" s="47" customFormat="1" ht="12" customHeight="1">
      <c r="A20" s="254" t="s">
        <v>77</v>
      </c>
      <c r="B20" s="206" t="s">
        <v>173</v>
      </c>
      <c r="C20" s="98"/>
      <c r="D20" s="98"/>
      <c r="E20" s="98"/>
      <c r="F20" s="98"/>
    </row>
    <row r="21" spans="1:6" s="48" customFormat="1" ht="12" customHeight="1" thickBot="1">
      <c r="A21" s="255" t="s">
        <v>83</v>
      </c>
      <c r="B21" s="209" t="s">
        <v>174</v>
      </c>
      <c r="C21" s="100"/>
      <c r="D21" s="100"/>
      <c r="E21" s="100"/>
      <c r="F21" s="100"/>
    </row>
    <row r="22" spans="1:6" s="48" customFormat="1" ht="12" customHeight="1" thickBot="1">
      <c r="A22" s="24" t="s">
        <v>7</v>
      </c>
      <c r="B22" s="18" t="s">
        <v>175</v>
      </c>
      <c r="C22" s="96">
        <f>+C23+C24+C25+C26+C27</f>
        <v>0</v>
      </c>
      <c r="D22" s="96"/>
      <c r="E22" s="96">
        <f>+E23+E24+E25+E26+E27</f>
        <v>0</v>
      </c>
      <c r="F22" s="96">
        <f>+F23+F24+F25+F26+F27</f>
        <v>0</v>
      </c>
    </row>
    <row r="23" spans="1:6" s="48" customFormat="1" ht="12" customHeight="1">
      <c r="A23" s="253" t="s">
        <v>56</v>
      </c>
      <c r="B23" s="204" t="s">
        <v>176</v>
      </c>
      <c r="C23" s="99"/>
      <c r="D23" s="99"/>
      <c r="E23" s="99"/>
      <c r="F23" s="99"/>
    </row>
    <row r="24" spans="1:6" s="47" customFormat="1" ht="12" customHeight="1">
      <c r="A24" s="254" t="s">
        <v>57</v>
      </c>
      <c r="B24" s="206" t="s">
        <v>177</v>
      </c>
      <c r="C24" s="98"/>
      <c r="D24" s="98"/>
      <c r="E24" s="98"/>
      <c r="F24" s="98"/>
    </row>
    <row r="25" spans="1:6" s="47" customFormat="1" ht="12" customHeight="1">
      <c r="A25" s="254" t="s">
        <v>58</v>
      </c>
      <c r="B25" s="206" t="s">
        <v>382</v>
      </c>
      <c r="C25" s="98"/>
      <c r="D25" s="98"/>
      <c r="E25" s="98"/>
      <c r="F25" s="98"/>
    </row>
    <row r="26" spans="1:6" s="47" customFormat="1" ht="12" customHeight="1">
      <c r="A26" s="254" t="s">
        <v>59</v>
      </c>
      <c r="B26" s="206" t="s">
        <v>383</v>
      </c>
      <c r="C26" s="98"/>
      <c r="D26" s="98"/>
      <c r="E26" s="98"/>
      <c r="F26" s="98"/>
    </row>
    <row r="27" spans="1:6" s="47" customFormat="1" ht="12" customHeight="1">
      <c r="A27" s="254" t="s">
        <v>99</v>
      </c>
      <c r="B27" s="206" t="s">
        <v>180</v>
      </c>
      <c r="C27" s="98"/>
      <c r="D27" s="98"/>
      <c r="E27" s="98"/>
      <c r="F27" s="98"/>
    </row>
    <row r="28" spans="1:6" s="47" customFormat="1" ht="12" customHeight="1" thickBot="1">
      <c r="A28" s="255" t="s">
        <v>100</v>
      </c>
      <c r="B28" s="209" t="s">
        <v>181</v>
      </c>
      <c r="C28" s="100"/>
      <c r="D28" s="100"/>
      <c r="E28" s="100"/>
      <c r="F28" s="100"/>
    </row>
    <row r="29" spans="1:6" s="47" customFormat="1" ht="12" customHeight="1" thickBot="1">
      <c r="A29" s="24" t="s">
        <v>101</v>
      </c>
      <c r="B29" s="18" t="s">
        <v>182</v>
      </c>
      <c r="C29" s="102">
        <f>+C30+C33+C34+C35</f>
        <v>0</v>
      </c>
      <c r="D29" s="102"/>
      <c r="E29" s="102">
        <f>+E30+E33+E34+E35</f>
        <v>0</v>
      </c>
      <c r="F29" s="102">
        <f>+F30+F33+F34+F35</f>
        <v>0</v>
      </c>
    </row>
    <row r="30" spans="1:6" s="47" customFormat="1" ht="12" customHeight="1">
      <c r="A30" s="253" t="s">
        <v>183</v>
      </c>
      <c r="B30" s="204" t="s">
        <v>184</v>
      </c>
      <c r="C30" s="256">
        <f>+C31+C32</f>
        <v>0</v>
      </c>
      <c r="D30" s="256"/>
      <c r="E30" s="256">
        <f>+E31+E32</f>
        <v>0</v>
      </c>
      <c r="F30" s="256">
        <f>+F31+F32</f>
        <v>0</v>
      </c>
    </row>
    <row r="31" spans="1:6" s="47" customFormat="1" ht="12" customHeight="1">
      <c r="A31" s="254" t="s">
        <v>185</v>
      </c>
      <c r="B31" s="206" t="s">
        <v>186</v>
      </c>
      <c r="C31" s="98"/>
      <c r="D31" s="98"/>
      <c r="E31" s="98"/>
      <c r="F31" s="98"/>
    </row>
    <row r="32" spans="1:6" s="47" customFormat="1" ht="12" customHeight="1">
      <c r="A32" s="254" t="s">
        <v>187</v>
      </c>
      <c r="B32" s="206" t="s">
        <v>188</v>
      </c>
      <c r="C32" s="98"/>
      <c r="D32" s="98"/>
      <c r="E32" s="98"/>
      <c r="F32" s="98"/>
    </row>
    <row r="33" spans="1:6" s="47" customFormat="1" ht="12" customHeight="1">
      <c r="A33" s="254" t="s">
        <v>189</v>
      </c>
      <c r="B33" s="206" t="s">
        <v>190</v>
      </c>
      <c r="C33" s="98"/>
      <c r="D33" s="98"/>
      <c r="E33" s="98"/>
      <c r="F33" s="98"/>
    </row>
    <row r="34" spans="1:6" s="47" customFormat="1" ht="12" customHeight="1">
      <c r="A34" s="254" t="s">
        <v>191</v>
      </c>
      <c r="B34" s="206" t="s">
        <v>192</v>
      </c>
      <c r="C34" s="98"/>
      <c r="D34" s="98"/>
      <c r="E34" s="98"/>
      <c r="F34" s="98"/>
    </row>
    <row r="35" spans="1:6" s="47" customFormat="1" ht="12" customHeight="1" thickBot="1">
      <c r="A35" s="255" t="s">
        <v>193</v>
      </c>
      <c r="B35" s="209" t="s">
        <v>194</v>
      </c>
      <c r="C35" s="100"/>
      <c r="D35" s="100"/>
      <c r="E35" s="100"/>
      <c r="F35" s="100"/>
    </row>
    <row r="36" spans="1:6" s="47" customFormat="1" ht="12" customHeight="1" thickBot="1">
      <c r="A36" s="24" t="s">
        <v>9</v>
      </c>
      <c r="B36" s="18" t="s">
        <v>195</v>
      </c>
      <c r="C36" s="96">
        <f>SUM(C37:C46)</f>
        <v>0</v>
      </c>
      <c r="D36" s="96"/>
      <c r="E36" s="96">
        <f>SUM(E37:E46)</f>
        <v>0</v>
      </c>
      <c r="F36" s="96">
        <f>SUM(F37:F46)</f>
        <v>0</v>
      </c>
    </row>
    <row r="37" spans="1:6" s="47" customFormat="1" ht="12" customHeight="1">
      <c r="A37" s="253" t="s">
        <v>60</v>
      </c>
      <c r="B37" s="204" t="s">
        <v>196</v>
      </c>
      <c r="C37" s="99"/>
      <c r="D37" s="99"/>
      <c r="E37" s="99"/>
      <c r="F37" s="99"/>
    </row>
    <row r="38" spans="1:6" s="47" customFormat="1" ht="12" customHeight="1">
      <c r="A38" s="254" t="s">
        <v>61</v>
      </c>
      <c r="B38" s="206" t="s">
        <v>197</v>
      </c>
      <c r="C38" s="98"/>
      <c r="D38" s="98"/>
      <c r="E38" s="98"/>
      <c r="F38" s="98"/>
    </row>
    <row r="39" spans="1:6" s="47" customFormat="1" ht="12" customHeight="1">
      <c r="A39" s="254" t="s">
        <v>62</v>
      </c>
      <c r="B39" s="206" t="s">
        <v>198</v>
      </c>
      <c r="C39" s="98"/>
      <c r="D39" s="98"/>
      <c r="E39" s="98"/>
      <c r="F39" s="98"/>
    </row>
    <row r="40" spans="1:6" s="47" customFormat="1" ht="12" customHeight="1">
      <c r="A40" s="254" t="s">
        <v>103</v>
      </c>
      <c r="B40" s="206" t="s">
        <v>199</v>
      </c>
      <c r="C40" s="98"/>
      <c r="D40" s="98"/>
      <c r="E40" s="98"/>
      <c r="F40" s="98"/>
    </row>
    <row r="41" spans="1:6" s="47" customFormat="1" ht="12" customHeight="1">
      <c r="A41" s="254" t="s">
        <v>104</v>
      </c>
      <c r="B41" s="206" t="s">
        <v>200</v>
      </c>
      <c r="C41" s="98"/>
      <c r="D41" s="98"/>
      <c r="E41" s="98"/>
      <c r="F41" s="98"/>
    </row>
    <row r="42" spans="1:6" s="47" customFormat="1" ht="12" customHeight="1">
      <c r="A42" s="254" t="s">
        <v>105</v>
      </c>
      <c r="B42" s="206" t="s">
        <v>201</v>
      </c>
      <c r="C42" s="98"/>
      <c r="D42" s="98"/>
      <c r="E42" s="98"/>
      <c r="F42" s="98"/>
    </row>
    <row r="43" spans="1:6" s="47" customFormat="1" ht="12" customHeight="1">
      <c r="A43" s="254" t="s">
        <v>106</v>
      </c>
      <c r="B43" s="206" t="s">
        <v>202</v>
      </c>
      <c r="C43" s="98"/>
      <c r="D43" s="98"/>
      <c r="E43" s="98"/>
      <c r="F43" s="98"/>
    </row>
    <row r="44" spans="1:6" s="47" customFormat="1" ht="12" customHeight="1">
      <c r="A44" s="254" t="s">
        <v>107</v>
      </c>
      <c r="B44" s="206" t="s">
        <v>203</v>
      </c>
      <c r="C44" s="98"/>
      <c r="D44" s="98"/>
      <c r="E44" s="98"/>
      <c r="F44" s="98"/>
    </row>
    <row r="45" spans="1:6" s="47" customFormat="1" ht="12" customHeight="1">
      <c r="A45" s="254" t="s">
        <v>204</v>
      </c>
      <c r="B45" s="206" t="s">
        <v>205</v>
      </c>
      <c r="C45" s="101"/>
      <c r="D45" s="101"/>
      <c r="E45" s="101"/>
      <c r="F45" s="101"/>
    </row>
    <row r="46" spans="1:6" s="47" customFormat="1" ht="12" customHeight="1" thickBot="1">
      <c r="A46" s="255" t="s">
        <v>206</v>
      </c>
      <c r="B46" s="209" t="s">
        <v>207</v>
      </c>
      <c r="C46" s="178"/>
      <c r="D46" s="178"/>
      <c r="E46" s="178"/>
      <c r="F46" s="178"/>
    </row>
    <row r="47" spans="1:6" s="47" customFormat="1" ht="12" customHeight="1" thickBot="1">
      <c r="A47" s="24" t="s">
        <v>10</v>
      </c>
      <c r="B47" s="18" t="s">
        <v>208</v>
      </c>
      <c r="C47" s="96">
        <f>SUM(C48:C52)</f>
        <v>0</v>
      </c>
      <c r="D47" s="96"/>
      <c r="E47" s="96">
        <f>SUM(E48:E52)</f>
        <v>0</v>
      </c>
      <c r="F47" s="96">
        <f>SUM(F48:F52)</f>
        <v>0</v>
      </c>
    </row>
    <row r="48" spans="1:6" s="47" customFormat="1" ht="12" customHeight="1">
      <c r="A48" s="253" t="s">
        <v>63</v>
      </c>
      <c r="B48" s="204" t="s">
        <v>209</v>
      </c>
      <c r="C48" s="180"/>
      <c r="D48" s="180"/>
      <c r="E48" s="180"/>
      <c r="F48" s="180"/>
    </row>
    <row r="49" spans="1:6" s="47" customFormat="1" ht="12" customHeight="1">
      <c r="A49" s="254" t="s">
        <v>64</v>
      </c>
      <c r="B49" s="206" t="s">
        <v>210</v>
      </c>
      <c r="C49" s="101"/>
      <c r="D49" s="101"/>
      <c r="E49" s="101"/>
      <c r="F49" s="101"/>
    </row>
    <row r="50" spans="1:6" s="47" customFormat="1" ht="12" customHeight="1">
      <c r="A50" s="254" t="s">
        <v>211</v>
      </c>
      <c r="B50" s="206" t="s">
        <v>212</v>
      </c>
      <c r="C50" s="101"/>
      <c r="D50" s="101"/>
      <c r="E50" s="101"/>
      <c r="F50" s="101"/>
    </row>
    <row r="51" spans="1:6" s="47" customFormat="1" ht="12" customHeight="1">
      <c r="A51" s="254" t="s">
        <v>213</v>
      </c>
      <c r="B51" s="206" t="s">
        <v>214</v>
      </c>
      <c r="C51" s="101"/>
      <c r="D51" s="101"/>
      <c r="E51" s="101"/>
      <c r="F51" s="101"/>
    </row>
    <row r="52" spans="1:6" s="47" customFormat="1" ht="12" customHeight="1" thickBot="1">
      <c r="A52" s="255" t="s">
        <v>215</v>
      </c>
      <c r="B52" s="209" t="s">
        <v>216</v>
      </c>
      <c r="C52" s="178"/>
      <c r="D52" s="178"/>
      <c r="E52" s="178"/>
      <c r="F52" s="178"/>
    </row>
    <row r="53" spans="1:6" s="47" customFormat="1" ht="12" customHeight="1" thickBot="1">
      <c r="A53" s="24" t="s">
        <v>108</v>
      </c>
      <c r="B53" s="18" t="s">
        <v>217</v>
      </c>
      <c r="C53" s="96">
        <f>SUM(C54:C56)</f>
        <v>0</v>
      </c>
      <c r="D53" s="96"/>
      <c r="E53" s="96">
        <f>SUM(E54:E56)</f>
        <v>0</v>
      </c>
      <c r="F53" s="96">
        <f>SUM(F54:F56)</f>
        <v>0</v>
      </c>
    </row>
    <row r="54" spans="1:6" s="48" customFormat="1" ht="12" customHeight="1">
      <c r="A54" s="253" t="s">
        <v>65</v>
      </c>
      <c r="B54" s="204" t="s">
        <v>218</v>
      </c>
      <c r="C54" s="99"/>
      <c r="D54" s="99"/>
      <c r="E54" s="99"/>
      <c r="F54" s="99"/>
    </row>
    <row r="55" spans="1:6" s="48" customFormat="1" ht="12" customHeight="1">
      <c r="A55" s="254" t="s">
        <v>66</v>
      </c>
      <c r="B55" s="206" t="s">
        <v>219</v>
      </c>
      <c r="C55" s="98"/>
      <c r="D55" s="98"/>
      <c r="E55" s="98"/>
      <c r="F55" s="98"/>
    </row>
    <row r="56" spans="1:6" s="48" customFormat="1" ht="12" customHeight="1">
      <c r="A56" s="254" t="s">
        <v>220</v>
      </c>
      <c r="B56" s="206" t="s">
        <v>221</v>
      </c>
      <c r="C56" s="98"/>
      <c r="D56" s="98"/>
      <c r="E56" s="98"/>
      <c r="F56" s="98"/>
    </row>
    <row r="57" spans="1:6" s="48" customFormat="1" ht="12" customHeight="1" thickBot="1">
      <c r="A57" s="255" t="s">
        <v>222</v>
      </c>
      <c r="B57" s="209" t="s">
        <v>223</v>
      </c>
      <c r="C57" s="100"/>
      <c r="D57" s="100"/>
      <c r="E57" s="100"/>
      <c r="F57" s="100"/>
    </row>
    <row r="58" spans="1:6" s="48" customFormat="1" ht="12" customHeight="1" thickBot="1">
      <c r="A58" s="24" t="s">
        <v>12</v>
      </c>
      <c r="B58" s="91" t="s">
        <v>224</v>
      </c>
      <c r="C58" s="96">
        <f>SUM(C59:C61)</f>
        <v>0</v>
      </c>
      <c r="D58" s="96"/>
      <c r="E58" s="96">
        <f>SUM(E59:E61)</f>
        <v>0</v>
      </c>
      <c r="F58" s="96">
        <f>SUM(F59:F61)</f>
        <v>0</v>
      </c>
    </row>
    <row r="59" spans="1:6" s="48" customFormat="1" ht="12" customHeight="1">
      <c r="A59" s="253" t="s">
        <v>109</v>
      </c>
      <c r="B59" s="204" t="s">
        <v>225</v>
      </c>
      <c r="C59" s="101"/>
      <c r="D59" s="101"/>
      <c r="E59" s="101"/>
      <c r="F59" s="101"/>
    </row>
    <row r="60" spans="1:6" s="48" customFormat="1" ht="12" customHeight="1">
      <c r="A60" s="254" t="s">
        <v>110</v>
      </c>
      <c r="B60" s="206" t="s">
        <v>226</v>
      </c>
      <c r="C60" s="101"/>
      <c r="D60" s="101"/>
      <c r="E60" s="101"/>
      <c r="F60" s="101"/>
    </row>
    <row r="61" spans="1:6" s="48" customFormat="1" ht="12" customHeight="1">
      <c r="A61" s="254" t="s">
        <v>135</v>
      </c>
      <c r="B61" s="206" t="s">
        <v>227</v>
      </c>
      <c r="C61" s="101"/>
      <c r="D61" s="101"/>
      <c r="E61" s="101"/>
      <c r="F61" s="101"/>
    </row>
    <row r="62" spans="1:6" s="48" customFormat="1" ht="12" customHeight="1" thickBot="1">
      <c r="A62" s="255" t="s">
        <v>228</v>
      </c>
      <c r="B62" s="209" t="s">
        <v>229</v>
      </c>
      <c r="C62" s="101"/>
      <c r="D62" s="101"/>
      <c r="E62" s="101"/>
      <c r="F62" s="101"/>
    </row>
    <row r="63" spans="1:6" s="48" customFormat="1" ht="12" customHeight="1" thickBot="1">
      <c r="A63" s="24" t="s">
        <v>13</v>
      </c>
      <c r="B63" s="18" t="s">
        <v>230</v>
      </c>
      <c r="C63" s="102">
        <f>+C8+C15+C22+C29+C36+C47+C53+C58</f>
        <v>0</v>
      </c>
      <c r="D63" s="102"/>
      <c r="E63" s="102">
        <f>+E8+E15+E22+E29+E36+E47+E53+E58</f>
        <v>0</v>
      </c>
      <c r="F63" s="102">
        <f>+F8+F15+F22+F29+F36+F47+F53+F58</f>
        <v>0</v>
      </c>
    </row>
    <row r="64" spans="1:6" s="48" customFormat="1" ht="12" customHeight="1" thickBot="1">
      <c r="A64" s="257" t="s">
        <v>366</v>
      </c>
      <c r="B64" s="91" t="s">
        <v>232</v>
      </c>
      <c r="C64" s="96">
        <f>SUM(C65:C67)</f>
        <v>0</v>
      </c>
      <c r="D64" s="96"/>
      <c r="E64" s="96">
        <f>SUM(E65:E67)</f>
        <v>0</v>
      </c>
      <c r="F64" s="96">
        <f>SUM(F65:F67)</f>
        <v>0</v>
      </c>
    </row>
    <row r="65" spans="1:6" s="48" customFormat="1" ht="12" customHeight="1">
      <c r="A65" s="253" t="s">
        <v>233</v>
      </c>
      <c r="B65" s="204" t="s">
        <v>234</v>
      </c>
      <c r="C65" s="101"/>
      <c r="D65" s="101"/>
      <c r="E65" s="101"/>
      <c r="F65" s="101"/>
    </row>
    <row r="66" spans="1:6" s="48" customFormat="1" ht="12" customHeight="1">
      <c r="A66" s="254" t="s">
        <v>235</v>
      </c>
      <c r="B66" s="206" t="s">
        <v>236</v>
      </c>
      <c r="C66" s="101"/>
      <c r="D66" s="101"/>
      <c r="E66" s="101"/>
      <c r="F66" s="101"/>
    </row>
    <row r="67" spans="1:6" s="48" customFormat="1" ht="12" customHeight="1" thickBot="1">
      <c r="A67" s="255" t="s">
        <v>237</v>
      </c>
      <c r="B67" s="219" t="s">
        <v>238</v>
      </c>
      <c r="C67" s="101"/>
      <c r="D67" s="101"/>
      <c r="E67" s="101"/>
      <c r="F67" s="101"/>
    </row>
    <row r="68" spans="1:6" s="48" customFormat="1" ht="12" customHeight="1" thickBot="1">
      <c r="A68" s="257" t="s">
        <v>239</v>
      </c>
      <c r="B68" s="91" t="s">
        <v>240</v>
      </c>
      <c r="C68" s="96">
        <f>SUM(C69:C72)</f>
        <v>0</v>
      </c>
      <c r="D68" s="96"/>
      <c r="E68" s="96">
        <f>SUM(E69:E72)</f>
        <v>0</v>
      </c>
      <c r="F68" s="96">
        <f>SUM(F69:F72)</f>
        <v>0</v>
      </c>
    </row>
    <row r="69" spans="1:6" s="48" customFormat="1" ht="12" customHeight="1">
      <c r="A69" s="253" t="s">
        <v>88</v>
      </c>
      <c r="B69" s="204" t="s">
        <v>241</v>
      </c>
      <c r="C69" s="101"/>
      <c r="D69" s="101"/>
      <c r="E69" s="101"/>
      <c r="F69" s="101"/>
    </row>
    <row r="70" spans="1:6" s="48" customFormat="1" ht="12" customHeight="1">
      <c r="A70" s="254" t="s">
        <v>89</v>
      </c>
      <c r="B70" s="206" t="s">
        <v>242</v>
      </c>
      <c r="C70" s="101"/>
      <c r="D70" s="101"/>
      <c r="E70" s="101"/>
      <c r="F70" s="101"/>
    </row>
    <row r="71" spans="1:6" s="48" customFormat="1" ht="12" customHeight="1">
      <c r="A71" s="254" t="s">
        <v>243</v>
      </c>
      <c r="B71" s="206" t="s">
        <v>244</v>
      </c>
      <c r="C71" s="101"/>
      <c r="D71" s="101"/>
      <c r="E71" s="101"/>
      <c r="F71" s="101"/>
    </row>
    <row r="72" spans="1:6" s="48" customFormat="1" ht="12" customHeight="1" thickBot="1">
      <c r="A72" s="255" t="s">
        <v>245</v>
      </c>
      <c r="B72" s="209" t="s">
        <v>246</v>
      </c>
      <c r="C72" s="101"/>
      <c r="D72" s="101"/>
      <c r="E72" s="101"/>
      <c r="F72" s="101"/>
    </row>
    <row r="73" spans="1:6" s="48" customFormat="1" ht="12" customHeight="1" thickBot="1">
      <c r="A73" s="257" t="s">
        <v>247</v>
      </c>
      <c r="B73" s="91" t="s">
        <v>248</v>
      </c>
      <c r="C73" s="96">
        <f>SUM(C74:C75)</f>
        <v>30</v>
      </c>
      <c r="D73" s="96"/>
      <c r="E73" s="96">
        <f>SUM(E74:E75)</f>
        <v>30</v>
      </c>
      <c r="F73" s="96">
        <f>SUM(F74:F75)</f>
        <v>30</v>
      </c>
    </row>
    <row r="74" spans="1:6" s="48" customFormat="1" ht="12" customHeight="1">
      <c r="A74" s="253" t="s">
        <v>249</v>
      </c>
      <c r="B74" s="204" t="s">
        <v>250</v>
      </c>
      <c r="C74" s="101">
        <v>30</v>
      </c>
      <c r="D74" s="101"/>
      <c r="E74" s="101">
        <v>30</v>
      </c>
      <c r="F74" s="101">
        <v>30</v>
      </c>
    </row>
    <row r="75" spans="1:6" s="47" customFormat="1" ht="12" customHeight="1" thickBot="1">
      <c r="A75" s="255" t="s">
        <v>251</v>
      </c>
      <c r="B75" s="209" t="s">
        <v>252</v>
      </c>
      <c r="C75" s="101"/>
      <c r="D75" s="101"/>
      <c r="E75" s="101"/>
      <c r="F75" s="101"/>
    </row>
    <row r="76" spans="1:6" s="48" customFormat="1" ht="12" customHeight="1" thickBot="1">
      <c r="A76" s="257" t="s">
        <v>253</v>
      </c>
      <c r="B76" s="91" t="s">
        <v>254</v>
      </c>
      <c r="C76" s="96">
        <f>SUM(C77:C79)</f>
        <v>46232</v>
      </c>
      <c r="D76" s="96">
        <f>SUM(D77:D79)</f>
        <v>1524</v>
      </c>
      <c r="E76" s="96">
        <f>SUM(E77:E79)</f>
        <v>47756</v>
      </c>
      <c r="F76" s="96">
        <f>SUM(F77:F79)</f>
        <v>22050</v>
      </c>
    </row>
    <row r="77" spans="1:6" s="48" customFormat="1" ht="12" customHeight="1">
      <c r="A77" s="253" t="s">
        <v>255</v>
      </c>
      <c r="B77" s="204" t="s">
        <v>422</v>
      </c>
      <c r="C77" s="101">
        <v>46232</v>
      </c>
      <c r="D77" s="101">
        <v>1524</v>
      </c>
      <c r="E77" s="101">
        <v>47756</v>
      </c>
      <c r="F77" s="101">
        <v>22050</v>
      </c>
    </row>
    <row r="78" spans="1:6" s="48" customFormat="1" ht="12" customHeight="1">
      <c r="A78" s="254" t="s">
        <v>257</v>
      </c>
      <c r="B78" s="206" t="s">
        <v>258</v>
      </c>
      <c r="C78" s="101"/>
      <c r="D78" s="101"/>
      <c r="E78" s="101"/>
      <c r="F78" s="101"/>
    </row>
    <row r="79" spans="1:6" s="48" customFormat="1" ht="12" customHeight="1" thickBot="1">
      <c r="A79" s="255" t="s">
        <v>259</v>
      </c>
      <c r="B79" s="209" t="s">
        <v>260</v>
      </c>
      <c r="C79" s="101"/>
      <c r="D79" s="101"/>
      <c r="E79" s="101"/>
      <c r="F79" s="101"/>
    </row>
    <row r="80" spans="1:6" s="48" customFormat="1" ht="12" customHeight="1" thickBot="1">
      <c r="A80" s="257" t="s">
        <v>261</v>
      </c>
      <c r="B80" s="91" t="s">
        <v>262</v>
      </c>
      <c r="C80" s="96">
        <f>SUM(C81:C84)</f>
        <v>0</v>
      </c>
      <c r="D80" s="96"/>
      <c r="E80" s="96">
        <f>SUM(E81:E84)</f>
        <v>0</v>
      </c>
      <c r="F80" s="96">
        <f>SUM(F81:F84)</f>
        <v>0</v>
      </c>
    </row>
    <row r="81" spans="1:6" s="48" customFormat="1" ht="12" customHeight="1">
      <c r="A81" s="258" t="s">
        <v>263</v>
      </c>
      <c r="B81" s="204" t="s">
        <v>264</v>
      </c>
      <c r="C81" s="101"/>
      <c r="D81" s="101"/>
      <c r="E81" s="101"/>
      <c r="F81" s="101"/>
    </row>
    <row r="82" spans="1:6" s="48" customFormat="1" ht="12" customHeight="1">
      <c r="A82" s="259" t="s">
        <v>265</v>
      </c>
      <c r="B82" s="206" t="s">
        <v>266</v>
      </c>
      <c r="C82" s="101"/>
      <c r="D82" s="101"/>
      <c r="E82" s="101"/>
      <c r="F82" s="101"/>
    </row>
    <row r="83" spans="1:6" s="47" customFormat="1" ht="12" customHeight="1">
      <c r="A83" s="259" t="s">
        <v>267</v>
      </c>
      <c r="B83" s="206" t="s">
        <v>268</v>
      </c>
      <c r="C83" s="101"/>
      <c r="D83" s="101"/>
      <c r="E83" s="101"/>
      <c r="F83" s="101"/>
    </row>
    <row r="84" spans="1:6" s="47" customFormat="1" ht="12" customHeight="1" thickBot="1">
      <c r="A84" s="260" t="s">
        <v>269</v>
      </c>
      <c r="B84" s="209" t="s">
        <v>270</v>
      </c>
      <c r="C84" s="101"/>
      <c r="D84" s="101"/>
      <c r="E84" s="101"/>
      <c r="F84" s="101"/>
    </row>
    <row r="85" spans="1:6" s="47" customFormat="1" ht="12" customHeight="1" thickBot="1">
      <c r="A85" s="257" t="s">
        <v>271</v>
      </c>
      <c r="B85" s="91" t="s">
        <v>272</v>
      </c>
      <c r="C85" s="261"/>
      <c r="D85" s="261"/>
      <c r="E85" s="261"/>
      <c r="F85" s="261"/>
    </row>
    <row r="86" spans="1:6" s="47" customFormat="1" ht="12" customHeight="1" thickBot="1">
      <c r="A86" s="257" t="s">
        <v>273</v>
      </c>
      <c r="B86" s="225" t="s">
        <v>274</v>
      </c>
      <c r="C86" s="102">
        <f>+C64+C68+C73+C76+C80+C85</f>
        <v>46262</v>
      </c>
      <c r="D86" s="102">
        <f>+D64+D68+D73+D76+D80+D85</f>
        <v>1524</v>
      </c>
      <c r="E86" s="102">
        <f>+E64+E68+E73+E76+E80+E85</f>
        <v>47786</v>
      </c>
      <c r="F86" s="102">
        <f>+F64+F68+F73+F76+F80+F85</f>
        <v>22080</v>
      </c>
    </row>
    <row r="87" spans="1:6" s="48" customFormat="1" ht="12" customHeight="1" thickBot="1">
      <c r="A87" s="262" t="s">
        <v>275</v>
      </c>
      <c r="B87" s="227" t="s">
        <v>367</v>
      </c>
      <c r="C87" s="102">
        <f>+C63+C86</f>
        <v>46262</v>
      </c>
      <c r="D87" s="102">
        <f>+D63+D86</f>
        <v>1524</v>
      </c>
      <c r="E87" s="102">
        <f>+E63+E86</f>
        <v>47786</v>
      </c>
      <c r="F87" s="102">
        <f>+F63+F86</f>
        <v>22080</v>
      </c>
    </row>
    <row r="88" spans="1:6" s="48" customFormat="1" ht="15" customHeight="1">
      <c r="A88" s="85"/>
      <c r="B88" s="86"/>
      <c r="C88" s="153"/>
      <c r="D88" s="153"/>
      <c r="E88" s="153"/>
      <c r="F88" s="153"/>
    </row>
    <row r="89" spans="1:6" ht="13.5" thickBot="1">
      <c r="A89" s="87"/>
      <c r="B89" s="88"/>
      <c r="C89" s="154"/>
      <c r="D89" s="154"/>
      <c r="E89" s="154"/>
      <c r="F89" s="154"/>
    </row>
    <row r="90" spans="1:6" s="43" customFormat="1" ht="16.5" customHeight="1" thickBot="1">
      <c r="A90" s="454" t="s">
        <v>42</v>
      </c>
      <c r="B90" s="455"/>
      <c r="C90" s="455"/>
      <c r="D90" s="455"/>
      <c r="E90" s="455"/>
      <c r="F90" s="456"/>
    </row>
    <row r="91" spans="1:6" s="49" customFormat="1" ht="12" customHeight="1" thickBot="1">
      <c r="A91" s="265" t="s">
        <v>5</v>
      </c>
      <c r="B91" s="23" t="s">
        <v>277</v>
      </c>
      <c r="C91" s="95">
        <f>SUM(C92:C96)</f>
        <v>46262</v>
      </c>
      <c r="D91" s="95">
        <f>SUM(D92:D96)</f>
        <v>1270</v>
      </c>
      <c r="E91" s="95">
        <f>SUM(E92:E96)</f>
        <v>47532</v>
      </c>
      <c r="F91" s="95">
        <f>SUM(F92:F96)</f>
        <v>21662</v>
      </c>
    </row>
    <row r="92" spans="1:6" ht="12" customHeight="1">
      <c r="A92" s="266" t="s">
        <v>67</v>
      </c>
      <c r="B92" s="7" t="s">
        <v>34</v>
      </c>
      <c r="C92" s="97">
        <v>30335</v>
      </c>
      <c r="D92" s="97">
        <v>271</v>
      </c>
      <c r="E92" s="97">
        <v>30606</v>
      </c>
      <c r="F92" s="97">
        <v>13936</v>
      </c>
    </row>
    <row r="93" spans="1:6" ht="12" customHeight="1">
      <c r="A93" s="254" t="s">
        <v>68</v>
      </c>
      <c r="B93" s="5" t="s">
        <v>111</v>
      </c>
      <c r="C93" s="98">
        <v>8022</v>
      </c>
      <c r="D93" s="98">
        <v>-21</v>
      </c>
      <c r="E93" s="98">
        <v>8001</v>
      </c>
      <c r="F93" s="98">
        <v>3447</v>
      </c>
    </row>
    <row r="94" spans="1:6" ht="12" customHeight="1">
      <c r="A94" s="254" t="s">
        <v>69</v>
      </c>
      <c r="B94" s="5" t="s">
        <v>86</v>
      </c>
      <c r="C94" s="100">
        <v>7905</v>
      </c>
      <c r="D94" s="100">
        <v>1020</v>
      </c>
      <c r="E94" s="100">
        <v>8925</v>
      </c>
      <c r="F94" s="100">
        <v>4279</v>
      </c>
    </row>
    <row r="95" spans="1:6" ht="12" customHeight="1">
      <c r="A95" s="254" t="s">
        <v>70</v>
      </c>
      <c r="B95" s="8" t="s">
        <v>112</v>
      </c>
      <c r="C95" s="100"/>
      <c r="D95" s="100"/>
      <c r="E95" s="100"/>
      <c r="F95" s="100"/>
    </row>
    <row r="96" spans="1:6" ht="12" customHeight="1">
      <c r="A96" s="254" t="s">
        <v>78</v>
      </c>
      <c r="B96" s="16" t="s">
        <v>113</v>
      </c>
      <c r="C96" s="100"/>
      <c r="D96" s="100"/>
      <c r="E96" s="100"/>
      <c r="F96" s="100"/>
    </row>
    <row r="97" spans="1:6" ht="12" customHeight="1">
      <c r="A97" s="254" t="s">
        <v>71</v>
      </c>
      <c r="B97" s="5" t="s">
        <v>278</v>
      </c>
      <c r="C97" s="100"/>
      <c r="D97" s="100"/>
      <c r="E97" s="100"/>
      <c r="F97" s="100"/>
    </row>
    <row r="98" spans="1:6" ht="12" customHeight="1">
      <c r="A98" s="254" t="s">
        <v>72</v>
      </c>
      <c r="B98" s="56" t="s">
        <v>279</v>
      </c>
      <c r="C98" s="100"/>
      <c r="D98" s="100"/>
      <c r="E98" s="100"/>
      <c r="F98" s="100"/>
    </row>
    <row r="99" spans="1:6" ht="12" customHeight="1">
      <c r="A99" s="254" t="s">
        <v>79</v>
      </c>
      <c r="B99" s="57" t="s">
        <v>280</v>
      </c>
      <c r="C99" s="100"/>
      <c r="D99" s="100"/>
      <c r="E99" s="100"/>
      <c r="F99" s="100"/>
    </row>
    <row r="100" spans="1:6" ht="12" customHeight="1">
      <c r="A100" s="254" t="s">
        <v>80</v>
      </c>
      <c r="B100" s="57" t="s">
        <v>281</v>
      </c>
      <c r="C100" s="100"/>
      <c r="D100" s="100"/>
      <c r="E100" s="100"/>
      <c r="F100" s="100"/>
    </row>
    <row r="101" spans="1:6" ht="12" customHeight="1">
      <c r="A101" s="254" t="s">
        <v>81</v>
      </c>
      <c r="B101" s="56" t="s">
        <v>282</v>
      </c>
      <c r="C101" s="100"/>
      <c r="D101" s="100"/>
      <c r="E101" s="100"/>
      <c r="F101" s="100"/>
    </row>
    <row r="102" spans="1:6" ht="12" customHeight="1">
      <c r="A102" s="254" t="s">
        <v>82</v>
      </c>
      <c r="B102" s="56" t="s">
        <v>283</v>
      </c>
      <c r="C102" s="100"/>
      <c r="D102" s="100"/>
      <c r="E102" s="100"/>
      <c r="F102" s="100"/>
    </row>
    <row r="103" spans="1:6" ht="12" customHeight="1">
      <c r="A103" s="254" t="s">
        <v>84</v>
      </c>
      <c r="B103" s="57" t="s">
        <v>284</v>
      </c>
      <c r="C103" s="100"/>
      <c r="D103" s="100"/>
      <c r="E103" s="100"/>
      <c r="F103" s="100"/>
    </row>
    <row r="104" spans="1:6" ht="12" customHeight="1">
      <c r="A104" s="267" t="s">
        <v>114</v>
      </c>
      <c r="B104" s="58" t="s">
        <v>285</v>
      </c>
      <c r="C104" s="100"/>
      <c r="D104" s="100"/>
      <c r="E104" s="100"/>
      <c r="F104" s="100"/>
    </row>
    <row r="105" spans="1:6" ht="12" customHeight="1">
      <c r="A105" s="254" t="s">
        <v>286</v>
      </c>
      <c r="B105" s="58" t="s">
        <v>287</v>
      </c>
      <c r="C105" s="100"/>
      <c r="D105" s="100"/>
      <c r="E105" s="100"/>
      <c r="F105" s="100"/>
    </row>
    <row r="106" spans="1:6" ht="12" customHeight="1" thickBot="1">
      <c r="A106" s="268" t="s">
        <v>288</v>
      </c>
      <c r="B106" s="59" t="s">
        <v>289</v>
      </c>
      <c r="C106" s="103"/>
      <c r="D106" s="103"/>
      <c r="E106" s="103"/>
      <c r="F106" s="103"/>
    </row>
    <row r="107" spans="1:6" ht="12" customHeight="1" thickBot="1">
      <c r="A107" s="24" t="s">
        <v>6</v>
      </c>
      <c r="B107" s="22" t="s">
        <v>290</v>
      </c>
      <c r="C107" s="96">
        <f>+C108+C110+C112</f>
        <v>0</v>
      </c>
      <c r="D107" s="96">
        <f>+D108+D110+D112</f>
        <v>254</v>
      </c>
      <c r="E107" s="96">
        <f>+E108+E110+E112</f>
        <v>254</v>
      </c>
      <c r="F107" s="96">
        <f>+F108+F110+F112</f>
        <v>0</v>
      </c>
    </row>
    <row r="108" spans="1:6" ht="12" customHeight="1">
      <c r="A108" s="253" t="s">
        <v>73</v>
      </c>
      <c r="B108" s="5" t="s">
        <v>133</v>
      </c>
      <c r="C108" s="99"/>
      <c r="D108" s="99">
        <v>254</v>
      </c>
      <c r="E108" s="99">
        <v>254</v>
      </c>
      <c r="F108" s="99"/>
    </row>
    <row r="109" spans="1:6" ht="12" customHeight="1">
      <c r="A109" s="253" t="s">
        <v>74</v>
      </c>
      <c r="B109" s="9" t="s">
        <v>291</v>
      </c>
      <c r="C109" s="99"/>
      <c r="D109" s="99"/>
      <c r="E109" s="99"/>
      <c r="F109" s="99"/>
    </row>
    <row r="110" spans="1:6" ht="12" customHeight="1">
      <c r="A110" s="253" t="s">
        <v>75</v>
      </c>
      <c r="B110" s="9" t="s">
        <v>115</v>
      </c>
      <c r="C110" s="98"/>
      <c r="D110" s="98"/>
      <c r="E110" s="98"/>
      <c r="F110" s="98"/>
    </row>
    <row r="111" spans="1:6" ht="12" customHeight="1">
      <c r="A111" s="253" t="s">
        <v>76</v>
      </c>
      <c r="B111" s="9" t="s">
        <v>292</v>
      </c>
      <c r="C111" s="207"/>
      <c r="D111" s="207"/>
      <c r="E111" s="207"/>
      <c r="F111" s="207"/>
    </row>
    <row r="112" spans="1:6" ht="12" customHeight="1">
      <c r="A112" s="253" t="s">
        <v>77</v>
      </c>
      <c r="B112" s="93" t="s">
        <v>136</v>
      </c>
      <c r="C112" s="207"/>
      <c r="D112" s="207"/>
      <c r="E112" s="207"/>
      <c r="F112" s="207"/>
    </row>
    <row r="113" spans="1:6" ht="12" customHeight="1">
      <c r="A113" s="253" t="s">
        <v>83</v>
      </c>
      <c r="B113" s="92" t="s">
        <v>384</v>
      </c>
      <c r="C113" s="207"/>
      <c r="D113" s="207"/>
      <c r="E113" s="207"/>
      <c r="F113" s="207"/>
    </row>
    <row r="114" spans="1:6" ht="12" customHeight="1">
      <c r="A114" s="253" t="s">
        <v>85</v>
      </c>
      <c r="B114" s="234" t="s">
        <v>293</v>
      </c>
      <c r="C114" s="207"/>
      <c r="D114" s="207"/>
      <c r="E114" s="207"/>
      <c r="F114" s="207"/>
    </row>
    <row r="115" spans="1:6" ht="12" customHeight="1">
      <c r="A115" s="253" t="s">
        <v>116</v>
      </c>
      <c r="B115" s="57" t="s">
        <v>281</v>
      </c>
      <c r="C115" s="207"/>
      <c r="D115" s="207"/>
      <c r="E115" s="207"/>
      <c r="F115" s="207"/>
    </row>
    <row r="116" spans="1:6" ht="12" customHeight="1">
      <c r="A116" s="253" t="s">
        <v>117</v>
      </c>
      <c r="B116" s="57" t="s">
        <v>294</v>
      </c>
      <c r="C116" s="207"/>
      <c r="D116" s="207"/>
      <c r="E116" s="207"/>
      <c r="F116" s="207"/>
    </row>
    <row r="117" spans="1:6" ht="12" customHeight="1">
      <c r="A117" s="253" t="s">
        <v>118</v>
      </c>
      <c r="B117" s="57" t="s">
        <v>295</v>
      </c>
      <c r="C117" s="207"/>
      <c r="D117" s="207"/>
      <c r="E117" s="207"/>
      <c r="F117" s="207"/>
    </row>
    <row r="118" spans="1:6" ht="12" customHeight="1">
      <c r="A118" s="253" t="s">
        <v>296</v>
      </c>
      <c r="B118" s="57" t="s">
        <v>284</v>
      </c>
      <c r="C118" s="207"/>
      <c r="D118" s="207"/>
      <c r="E118" s="207"/>
      <c r="F118" s="207"/>
    </row>
    <row r="119" spans="1:6" ht="12" customHeight="1">
      <c r="A119" s="253" t="s">
        <v>297</v>
      </c>
      <c r="B119" s="57" t="s">
        <v>298</v>
      </c>
      <c r="C119" s="207"/>
      <c r="D119" s="207"/>
      <c r="E119" s="207"/>
      <c r="F119" s="207"/>
    </row>
    <row r="120" spans="1:6" ht="12" customHeight="1" thickBot="1">
      <c r="A120" s="267" t="s">
        <v>299</v>
      </c>
      <c r="B120" s="57" t="s">
        <v>300</v>
      </c>
      <c r="C120" s="211"/>
      <c r="D120" s="211"/>
      <c r="E120" s="211"/>
      <c r="F120" s="211"/>
    </row>
    <row r="121" spans="1:6" ht="12" customHeight="1" thickBot="1">
      <c r="A121" s="24" t="s">
        <v>7</v>
      </c>
      <c r="B121" s="52" t="s">
        <v>301</v>
      </c>
      <c r="C121" s="96">
        <f>+C122+C123</f>
        <v>0</v>
      </c>
      <c r="D121" s="96"/>
      <c r="E121" s="96">
        <f>+E122+E123</f>
        <v>0</v>
      </c>
      <c r="F121" s="96">
        <f>+F122+F123</f>
        <v>0</v>
      </c>
    </row>
    <row r="122" spans="1:6" ht="12" customHeight="1">
      <c r="A122" s="253" t="s">
        <v>56</v>
      </c>
      <c r="B122" s="6" t="s">
        <v>43</v>
      </c>
      <c r="C122" s="99"/>
      <c r="D122" s="99"/>
      <c r="E122" s="99"/>
      <c r="F122" s="99"/>
    </row>
    <row r="123" spans="1:6" s="49" customFormat="1" ht="12" customHeight="1" thickBot="1">
      <c r="A123" s="255" t="s">
        <v>57</v>
      </c>
      <c r="B123" s="9" t="s">
        <v>44</v>
      </c>
      <c r="C123" s="100"/>
      <c r="D123" s="100"/>
      <c r="E123" s="100"/>
      <c r="F123" s="100"/>
    </row>
    <row r="124" spans="1:6" ht="12" customHeight="1" thickBot="1">
      <c r="A124" s="24" t="s">
        <v>8</v>
      </c>
      <c r="B124" s="52" t="s">
        <v>302</v>
      </c>
      <c r="C124" s="96">
        <f>+C91+C107+C121</f>
        <v>46262</v>
      </c>
      <c r="D124" s="96">
        <f>+D91+D107+D121</f>
        <v>1524</v>
      </c>
      <c r="E124" s="96">
        <f>+E91+E107+E121</f>
        <v>47786</v>
      </c>
      <c r="F124" s="96">
        <f>+F91+F107+F121</f>
        <v>21662</v>
      </c>
    </row>
    <row r="125" spans="1:6" ht="12" customHeight="1" thickBot="1">
      <c r="A125" s="24" t="s">
        <v>9</v>
      </c>
      <c r="B125" s="52" t="s">
        <v>303</v>
      </c>
      <c r="C125" s="96">
        <f>+C126+C127+C128</f>
        <v>0</v>
      </c>
      <c r="D125" s="96"/>
      <c r="E125" s="96">
        <f>+E126+E127+E128</f>
        <v>0</v>
      </c>
      <c r="F125" s="96">
        <f>+F126+F127+F128</f>
        <v>0</v>
      </c>
    </row>
    <row r="126" spans="1:6" ht="12" customHeight="1">
      <c r="A126" s="253" t="s">
        <v>60</v>
      </c>
      <c r="B126" s="6" t="s">
        <v>304</v>
      </c>
      <c r="C126" s="207"/>
      <c r="D126" s="207"/>
      <c r="E126" s="207"/>
      <c r="F126" s="207"/>
    </row>
    <row r="127" spans="1:6" ht="12" customHeight="1">
      <c r="A127" s="253" t="s">
        <v>61</v>
      </c>
      <c r="B127" s="6" t="s">
        <v>305</v>
      </c>
      <c r="C127" s="207"/>
      <c r="D127" s="207"/>
      <c r="E127" s="207"/>
      <c r="F127" s="207"/>
    </row>
    <row r="128" spans="1:6" ht="12" customHeight="1" thickBot="1">
      <c r="A128" s="267" t="s">
        <v>62</v>
      </c>
      <c r="B128" s="4" t="s">
        <v>306</v>
      </c>
      <c r="C128" s="207"/>
      <c r="D128" s="207"/>
      <c r="E128" s="207"/>
      <c r="F128" s="207"/>
    </row>
    <row r="129" spans="1:6" ht="12" customHeight="1" thickBot="1">
      <c r="A129" s="24" t="s">
        <v>10</v>
      </c>
      <c r="B129" s="52" t="s">
        <v>307</v>
      </c>
      <c r="C129" s="96">
        <f>+C130+C131+C132+C133</f>
        <v>0</v>
      </c>
      <c r="D129" s="96"/>
      <c r="E129" s="96">
        <f>+E130+E131+E132+E133</f>
        <v>0</v>
      </c>
      <c r="F129" s="96">
        <f>+F130+F131+F132+F133</f>
        <v>0</v>
      </c>
    </row>
    <row r="130" spans="1:6" s="49" customFormat="1" ht="12" customHeight="1">
      <c r="A130" s="253" t="s">
        <v>63</v>
      </c>
      <c r="B130" s="6" t="s">
        <v>308</v>
      </c>
      <c r="C130" s="207"/>
      <c r="D130" s="207"/>
      <c r="E130" s="207"/>
      <c r="F130" s="207"/>
    </row>
    <row r="131" spans="1:12" ht="23.25" customHeight="1">
      <c r="A131" s="253" t="s">
        <v>64</v>
      </c>
      <c r="B131" s="6" t="s">
        <v>309</v>
      </c>
      <c r="C131" s="207"/>
      <c r="D131" s="207"/>
      <c r="E131" s="207"/>
      <c r="F131" s="207"/>
      <c r="L131" s="90"/>
    </row>
    <row r="132" spans="1:6" ht="21" customHeight="1">
      <c r="A132" s="253" t="s">
        <v>211</v>
      </c>
      <c r="B132" s="6" t="s">
        <v>310</v>
      </c>
      <c r="C132" s="207"/>
      <c r="D132" s="207"/>
      <c r="E132" s="207"/>
      <c r="F132" s="207"/>
    </row>
    <row r="133" spans="1:6" ht="12" customHeight="1" thickBot="1">
      <c r="A133" s="267" t="s">
        <v>213</v>
      </c>
      <c r="B133" s="4" t="s">
        <v>311</v>
      </c>
      <c r="C133" s="207"/>
      <c r="D133" s="207"/>
      <c r="E133" s="207"/>
      <c r="F133" s="207"/>
    </row>
    <row r="134" spans="1:6" s="49" customFormat="1" ht="12" customHeight="1" thickBot="1">
      <c r="A134" s="24" t="s">
        <v>11</v>
      </c>
      <c r="B134" s="52" t="s">
        <v>312</v>
      </c>
      <c r="C134" s="102">
        <f>+C135+C136+C137+C138</f>
        <v>0</v>
      </c>
      <c r="D134" s="102"/>
      <c r="E134" s="102">
        <f>+E135+E136+E137+E138</f>
        <v>0</v>
      </c>
      <c r="F134" s="102">
        <f>+F135+F136+F137+F138</f>
        <v>0</v>
      </c>
    </row>
    <row r="135" spans="1:6" s="49" customFormat="1" ht="12" customHeight="1">
      <c r="A135" s="253" t="s">
        <v>65</v>
      </c>
      <c r="B135" s="6" t="s">
        <v>313</v>
      </c>
      <c r="C135" s="207"/>
      <c r="D135" s="207"/>
      <c r="E135" s="207"/>
      <c r="F135" s="207"/>
    </row>
    <row r="136" spans="1:6" s="49" customFormat="1" ht="12" customHeight="1">
      <c r="A136" s="253" t="s">
        <v>66</v>
      </c>
      <c r="B136" s="6" t="s">
        <v>314</v>
      </c>
      <c r="C136" s="207"/>
      <c r="D136" s="207"/>
      <c r="E136" s="207"/>
      <c r="F136" s="207"/>
    </row>
    <row r="137" spans="1:6" s="49" customFormat="1" ht="12" customHeight="1">
      <c r="A137" s="253" t="s">
        <v>220</v>
      </c>
      <c r="B137" s="6" t="s">
        <v>315</v>
      </c>
      <c r="C137" s="207"/>
      <c r="D137" s="207"/>
      <c r="E137" s="207"/>
      <c r="F137" s="207"/>
    </row>
    <row r="138" spans="1:6" s="49" customFormat="1" ht="12" customHeight="1" thickBot="1">
      <c r="A138" s="267" t="s">
        <v>222</v>
      </c>
      <c r="B138" s="4" t="s">
        <v>316</v>
      </c>
      <c r="C138" s="207"/>
      <c r="D138" s="207"/>
      <c r="E138" s="207"/>
      <c r="F138" s="207"/>
    </row>
    <row r="139" spans="1:6" s="49" customFormat="1" ht="12" customHeight="1" thickBot="1">
      <c r="A139" s="24" t="s">
        <v>12</v>
      </c>
      <c r="B139" s="52" t="s">
        <v>317</v>
      </c>
      <c r="C139" s="104">
        <f>+C140+C141+C142+C143</f>
        <v>0</v>
      </c>
      <c r="D139" s="104"/>
      <c r="E139" s="104">
        <f>+E140+E141+E142+E143</f>
        <v>0</v>
      </c>
      <c r="F139" s="104">
        <f>+F140+F141+F142+F143</f>
        <v>0</v>
      </c>
    </row>
    <row r="140" spans="1:6" ht="12.75" customHeight="1">
      <c r="A140" s="253" t="s">
        <v>109</v>
      </c>
      <c r="B140" s="6" t="s">
        <v>318</v>
      </c>
      <c r="C140" s="207"/>
      <c r="D140" s="207"/>
      <c r="E140" s="207"/>
      <c r="F140" s="207"/>
    </row>
    <row r="141" spans="1:6" ht="12" customHeight="1">
      <c r="A141" s="253" t="s">
        <v>110</v>
      </c>
      <c r="B141" s="6" t="s">
        <v>319</v>
      </c>
      <c r="C141" s="207"/>
      <c r="D141" s="207"/>
      <c r="E141" s="207"/>
      <c r="F141" s="207"/>
    </row>
    <row r="142" spans="1:6" ht="15" customHeight="1">
      <c r="A142" s="253" t="s">
        <v>135</v>
      </c>
      <c r="B142" s="6" t="s">
        <v>320</v>
      </c>
      <c r="C142" s="207"/>
      <c r="D142" s="207"/>
      <c r="E142" s="207"/>
      <c r="F142" s="207"/>
    </row>
    <row r="143" spans="1:6" ht="13.5" thickBot="1">
      <c r="A143" s="253" t="s">
        <v>228</v>
      </c>
      <c r="B143" s="6" t="s">
        <v>321</v>
      </c>
      <c r="C143" s="207"/>
      <c r="D143" s="207"/>
      <c r="E143" s="207"/>
      <c r="F143" s="207"/>
    </row>
    <row r="144" spans="1:6" ht="15" customHeight="1" thickBot="1">
      <c r="A144" s="24" t="s">
        <v>13</v>
      </c>
      <c r="B144" s="52" t="s">
        <v>322</v>
      </c>
      <c r="C144" s="235">
        <f>+C125+C129+C134+C139</f>
        <v>0</v>
      </c>
      <c r="D144" s="235"/>
      <c r="E144" s="235">
        <f>+E125+E129+E134+E139</f>
        <v>0</v>
      </c>
      <c r="F144" s="235">
        <f>+F125+F129+F134+F139</f>
        <v>0</v>
      </c>
    </row>
    <row r="145" spans="1:6" ht="14.25" customHeight="1" thickBot="1">
      <c r="A145" s="269" t="s">
        <v>14</v>
      </c>
      <c r="B145" s="155" t="s">
        <v>323</v>
      </c>
      <c r="C145" s="235">
        <f>+C124+C144</f>
        <v>46262</v>
      </c>
      <c r="D145" s="235">
        <f>+D124+D144</f>
        <v>1524</v>
      </c>
      <c r="E145" s="235">
        <f>+E124+E144</f>
        <v>47786</v>
      </c>
      <c r="F145" s="235">
        <f>+F124+F144</f>
        <v>21662</v>
      </c>
    </row>
    <row r="147" spans="3:4" ht="12.75">
      <c r="C147" s="347" t="s">
        <v>427</v>
      </c>
      <c r="D147" s="347"/>
    </row>
  </sheetData>
  <sheetProtection formatCells="0"/>
  <mergeCells count="4">
    <mergeCell ref="B2:E2"/>
    <mergeCell ref="B3:E3"/>
    <mergeCell ref="A7:F7"/>
    <mergeCell ref="A90:F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 xml:space="preserve">&amp;C9.5.1 melléklet az 1/2014.(II.7.) önkormányzati rendelethez 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view="pageLayout" zoomScaleNormal="120" zoomScaleSheetLayoutView="130" workbookViewId="0" topLeftCell="B1">
      <selection activeCell="I118" sqref="I118"/>
    </sheetView>
  </sheetViews>
  <sheetFormatPr defaultColWidth="9.375" defaultRowHeight="12.75"/>
  <cols>
    <col min="1" max="1" width="9.00390625" style="156" customWidth="1"/>
    <col min="2" max="2" width="75.75390625" style="156" customWidth="1"/>
    <col min="3" max="4" width="15.50390625" style="157" customWidth="1"/>
    <col min="5" max="5" width="15.50390625" style="156" customWidth="1"/>
    <col min="6" max="6" width="15.50390625" style="156" hidden="1" customWidth="1"/>
    <col min="7" max="7" width="9.00390625" style="27" customWidth="1"/>
    <col min="8" max="16384" width="9.375" style="27" customWidth="1"/>
  </cols>
  <sheetData>
    <row r="1" spans="1:6" ht="15.75" customHeight="1">
      <c r="A1" s="438" t="s">
        <v>2</v>
      </c>
      <c r="B1" s="438"/>
      <c r="C1" s="438"/>
      <c r="D1" s="438"/>
      <c r="E1" s="438"/>
      <c r="F1" s="438"/>
    </row>
    <row r="2" spans="1:6" ht="15.75" customHeight="1" thickBot="1">
      <c r="A2" s="436" t="s">
        <v>444</v>
      </c>
      <c r="B2" s="436"/>
      <c r="E2" s="201"/>
      <c r="F2" s="105" t="s">
        <v>134</v>
      </c>
    </row>
    <row r="3" spans="1:6" ht="15.75" customHeight="1">
      <c r="A3" s="430" t="s">
        <v>55</v>
      </c>
      <c r="B3" s="432" t="s">
        <v>4</v>
      </c>
      <c r="C3" s="440" t="s">
        <v>324</v>
      </c>
      <c r="D3" s="440"/>
      <c r="E3" s="440"/>
      <c r="F3" s="441"/>
    </row>
    <row r="4" spans="1:6" ht="37.5" customHeight="1" thickBot="1">
      <c r="A4" s="431"/>
      <c r="B4" s="433"/>
      <c r="C4" s="164" t="s">
        <v>158</v>
      </c>
      <c r="D4" s="164" t="s">
        <v>471</v>
      </c>
      <c r="E4" s="164" t="s">
        <v>159</v>
      </c>
      <c r="F4" s="165" t="s">
        <v>325</v>
      </c>
    </row>
    <row r="5" spans="1:6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02">
        <v>5</v>
      </c>
    </row>
    <row r="6" spans="1:6" s="1" customFormat="1" ht="12" customHeight="1" thickBot="1">
      <c r="A6" s="17" t="s">
        <v>5</v>
      </c>
      <c r="B6" s="308" t="s">
        <v>161</v>
      </c>
      <c r="C6" s="172">
        <f>+C7+C8+C9+C11+C12+C13</f>
        <v>212201</v>
      </c>
      <c r="D6" s="172">
        <f>+D7+D8+D9+D11+D12+D13</f>
        <v>-52209</v>
      </c>
      <c r="E6" s="172">
        <f>+E7+E8+E9+E11+E12+E13</f>
        <v>159992</v>
      </c>
      <c r="F6" s="203">
        <f>+F7+F8+F9+F11+F12+F13</f>
        <v>84045</v>
      </c>
    </row>
    <row r="7" spans="1:6" s="1" customFormat="1" ht="12" customHeight="1">
      <c r="A7" s="12" t="s">
        <v>67</v>
      </c>
      <c r="B7" s="309" t="s">
        <v>162</v>
      </c>
      <c r="C7" s="174">
        <v>30431</v>
      </c>
      <c r="D7" s="174">
        <v>-1633</v>
      </c>
      <c r="E7" s="174">
        <f>97773-68975</f>
        <v>28798</v>
      </c>
      <c r="F7" s="205">
        <f>50720-35867</f>
        <v>14853</v>
      </c>
    </row>
    <row r="8" spans="1:6" s="1" customFormat="1" ht="12" customHeight="1">
      <c r="A8" s="11" t="s">
        <v>68</v>
      </c>
      <c r="B8" s="306" t="s">
        <v>163</v>
      </c>
      <c r="C8" s="173">
        <v>43005</v>
      </c>
      <c r="D8" s="173"/>
      <c r="E8" s="173">
        <f>43005</f>
        <v>43005</v>
      </c>
      <c r="F8" s="207">
        <f>21655</f>
        <v>21655</v>
      </c>
    </row>
    <row r="9" spans="1:6" s="1" customFormat="1" ht="12" customHeight="1">
      <c r="A9" s="11" t="s">
        <v>69</v>
      </c>
      <c r="B9" s="306" t="s">
        <v>164</v>
      </c>
      <c r="C9" s="173">
        <v>47687</v>
      </c>
      <c r="D9" s="173"/>
      <c r="E9" s="173">
        <f>71830-24143</f>
        <v>47687</v>
      </c>
      <c r="F9" s="207">
        <f>37352-12555</f>
        <v>24797</v>
      </c>
    </row>
    <row r="10" spans="1:6" s="1" customFormat="1" ht="12" customHeight="1">
      <c r="A10" s="11" t="s">
        <v>438</v>
      </c>
      <c r="B10" s="306" t="s">
        <v>429</v>
      </c>
      <c r="C10" s="173"/>
      <c r="D10" s="173"/>
      <c r="E10" s="173"/>
      <c r="F10" s="207"/>
    </row>
    <row r="11" spans="1:6" s="1" customFormat="1" ht="12" customHeight="1">
      <c r="A11" s="11" t="s">
        <v>70</v>
      </c>
      <c r="B11" s="306" t="s">
        <v>165</v>
      </c>
      <c r="C11" s="173">
        <v>3765</v>
      </c>
      <c r="D11" s="173"/>
      <c r="E11" s="173">
        <v>3765</v>
      </c>
      <c r="F11" s="207">
        <v>1958</v>
      </c>
    </row>
    <row r="12" spans="1:6" s="1" customFormat="1" ht="12" customHeight="1">
      <c r="A12" s="11" t="s">
        <v>87</v>
      </c>
      <c r="B12" s="306" t="s">
        <v>166</v>
      </c>
      <c r="C12" s="208"/>
      <c r="D12" s="208">
        <f>21567</f>
        <v>21567</v>
      </c>
      <c r="E12" s="208">
        <f>21567</f>
        <v>21567</v>
      </c>
      <c r="F12" s="293">
        <v>20782</v>
      </c>
    </row>
    <row r="13" spans="1:6" s="1" customFormat="1" ht="12" customHeight="1" thickBot="1">
      <c r="A13" s="13" t="s">
        <v>71</v>
      </c>
      <c r="B13" s="305" t="s">
        <v>167</v>
      </c>
      <c r="C13" s="210">
        <v>87313</v>
      </c>
      <c r="D13" s="210">
        <f>-70406-1737</f>
        <v>-72143</v>
      </c>
      <c r="E13" s="210">
        <f>16907-1737</f>
        <v>15170</v>
      </c>
      <c r="F13" s="294"/>
    </row>
    <row r="14" spans="1:6" s="1" customFormat="1" ht="12" customHeight="1" thickBot="1">
      <c r="A14" s="17" t="s">
        <v>6</v>
      </c>
      <c r="B14" s="310" t="s">
        <v>168</v>
      </c>
      <c r="C14" s="172">
        <f>+C15+C16+C17+C18+C19</f>
        <v>174665</v>
      </c>
      <c r="D14" s="172">
        <f>+D15+D16+D17+D18+D19</f>
        <v>2175</v>
      </c>
      <c r="E14" s="172">
        <f>+E15+E16+E17+E18+E19</f>
        <v>176840</v>
      </c>
      <c r="F14" s="203">
        <f>+F15+F16+F17+F18+F19</f>
        <v>84063</v>
      </c>
    </row>
    <row r="15" spans="1:6" s="1" customFormat="1" ht="12" customHeight="1">
      <c r="A15" s="12" t="s">
        <v>73</v>
      </c>
      <c r="B15" s="309" t="s">
        <v>169</v>
      </c>
      <c r="C15" s="174"/>
      <c r="D15" s="174"/>
      <c r="E15" s="174"/>
      <c r="F15" s="205"/>
    </row>
    <row r="16" spans="1:6" s="1" customFormat="1" ht="12" customHeight="1">
      <c r="A16" s="11" t="s">
        <v>74</v>
      </c>
      <c r="B16" s="306" t="s">
        <v>170</v>
      </c>
      <c r="C16" s="173"/>
      <c r="D16" s="173"/>
      <c r="E16" s="173"/>
      <c r="F16" s="207"/>
    </row>
    <row r="17" spans="1:6" s="1" customFormat="1" ht="12" customHeight="1">
      <c r="A17" s="11" t="s">
        <v>75</v>
      </c>
      <c r="B17" s="306" t="s">
        <v>380</v>
      </c>
      <c r="C17" s="173"/>
      <c r="D17" s="173"/>
      <c r="E17" s="173"/>
      <c r="F17" s="207"/>
    </row>
    <row r="18" spans="1:6" s="1" customFormat="1" ht="12" customHeight="1">
      <c r="A18" s="11" t="s">
        <v>76</v>
      </c>
      <c r="B18" s="306" t="s">
        <v>381</v>
      </c>
      <c r="C18" s="173"/>
      <c r="D18" s="173"/>
      <c r="E18" s="173"/>
      <c r="F18" s="207"/>
    </row>
    <row r="19" spans="1:6" s="1" customFormat="1" ht="12" customHeight="1">
      <c r="A19" s="11" t="s">
        <v>77</v>
      </c>
      <c r="B19" s="306" t="s">
        <v>173</v>
      </c>
      <c r="C19" s="173">
        <v>174665</v>
      </c>
      <c r="D19" s="173">
        <v>2175</v>
      </c>
      <c r="E19" s="173">
        <f>178553-1713</f>
        <v>176840</v>
      </c>
      <c r="F19" s="207">
        <f>85776-1713</f>
        <v>84063</v>
      </c>
    </row>
    <row r="20" spans="1:6" s="1" customFormat="1" ht="12" customHeight="1" thickBot="1">
      <c r="A20" s="13" t="s">
        <v>83</v>
      </c>
      <c r="B20" s="305" t="s">
        <v>174</v>
      </c>
      <c r="C20" s="175">
        <v>9630</v>
      </c>
      <c r="D20" s="175"/>
      <c r="E20" s="175">
        <v>9630</v>
      </c>
      <c r="F20" s="211"/>
    </row>
    <row r="21" spans="1:6" s="1" customFormat="1" ht="12" customHeight="1" thickBot="1">
      <c r="A21" s="17" t="s">
        <v>7</v>
      </c>
      <c r="B21" s="308" t="s">
        <v>175</v>
      </c>
      <c r="C21" s="172">
        <f>+C22+C23+C24+C25+C26</f>
        <v>46250</v>
      </c>
      <c r="D21" s="172">
        <f>+D22+D23+D24+D25+D26</f>
        <v>144472</v>
      </c>
      <c r="E21" s="172">
        <f>+E22+E23+E24+E25+E26</f>
        <v>190722</v>
      </c>
      <c r="F21" s="203">
        <f>+F22+F23+F24+F25+F26</f>
        <v>145229</v>
      </c>
    </row>
    <row r="22" spans="1:6" s="1" customFormat="1" ht="12" customHeight="1">
      <c r="A22" s="12" t="s">
        <v>56</v>
      </c>
      <c r="B22" s="309" t="s">
        <v>176</v>
      </c>
      <c r="C22" s="174"/>
      <c r="D22" s="174">
        <v>1737</v>
      </c>
      <c r="E22" s="174">
        <v>1737</v>
      </c>
      <c r="F22" s="205">
        <v>1737</v>
      </c>
    </row>
    <row r="23" spans="1:6" s="1" customFormat="1" ht="12" customHeight="1">
      <c r="A23" s="11" t="s">
        <v>57</v>
      </c>
      <c r="B23" s="306" t="s">
        <v>177</v>
      </c>
      <c r="C23" s="173"/>
      <c r="D23" s="173"/>
      <c r="E23" s="173"/>
      <c r="F23" s="207"/>
    </row>
    <row r="24" spans="1:6" s="1" customFormat="1" ht="12" customHeight="1">
      <c r="A24" s="11" t="s">
        <v>58</v>
      </c>
      <c r="B24" s="306" t="s">
        <v>382</v>
      </c>
      <c r="C24" s="173"/>
      <c r="D24" s="173"/>
      <c r="E24" s="173"/>
      <c r="F24" s="207"/>
    </row>
    <row r="25" spans="1:6" s="1" customFormat="1" ht="12" customHeight="1">
      <c r="A25" s="11" t="s">
        <v>59</v>
      </c>
      <c r="B25" s="306" t="s">
        <v>383</v>
      </c>
      <c r="C25" s="173"/>
      <c r="D25" s="173"/>
      <c r="E25" s="173"/>
      <c r="F25" s="207"/>
    </row>
    <row r="26" spans="1:6" s="1" customFormat="1" ht="12" customHeight="1">
      <c r="A26" s="11" t="s">
        <v>99</v>
      </c>
      <c r="B26" s="306" t="s">
        <v>180</v>
      </c>
      <c r="C26" s="173">
        <v>46250</v>
      </c>
      <c r="D26" s="173">
        <v>142735</v>
      </c>
      <c r="E26" s="173">
        <v>188985</v>
      </c>
      <c r="F26" s="207">
        <v>143492</v>
      </c>
    </row>
    <row r="27" spans="1:6" s="1" customFormat="1" ht="12" customHeight="1" thickBot="1">
      <c r="A27" s="13" t="s">
        <v>100</v>
      </c>
      <c r="B27" s="305" t="s">
        <v>181</v>
      </c>
      <c r="C27" s="175">
        <v>46250</v>
      </c>
      <c r="D27" s="175">
        <v>142735</v>
      </c>
      <c r="E27" s="175">
        <v>188985</v>
      </c>
      <c r="F27" s="211">
        <v>143492</v>
      </c>
    </row>
    <row r="28" spans="1:6" s="1" customFormat="1" ht="12" customHeight="1" thickBot="1">
      <c r="A28" s="17" t="s">
        <v>101</v>
      </c>
      <c r="B28" s="308" t="s">
        <v>182</v>
      </c>
      <c r="C28" s="181">
        <f>+C29+C32+C33+C34</f>
        <v>45200</v>
      </c>
      <c r="D28" s="181">
        <f>+D29+D32+D33+D34</f>
        <v>26763</v>
      </c>
      <c r="E28" s="181">
        <f>+E29+E32+E33+E34</f>
        <v>71963</v>
      </c>
      <c r="F28" s="212">
        <f>+F29+F32+F33+F34</f>
        <v>28886</v>
      </c>
    </row>
    <row r="29" spans="1:6" s="1" customFormat="1" ht="12" customHeight="1">
      <c r="A29" s="12" t="s">
        <v>183</v>
      </c>
      <c r="B29" s="309" t="s">
        <v>184</v>
      </c>
      <c r="C29" s="213">
        <f>+C30+C31</f>
        <v>40000</v>
      </c>
      <c r="D29" s="213">
        <f>+D30+D31</f>
        <v>14524</v>
      </c>
      <c r="E29" s="213">
        <f>+E30+E31</f>
        <v>54524</v>
      </c>
      <c r="F29" s="214">
        <f>+F30+F31</f>
        <v>26625</v>
      </c>
    </row>
    <row r="30" spans="1:6" s="1" customFormat="1" ht="12" customHeight="1">
      <c r="A30" s="11" t="s">
        <v>185</v>
      </c>
      <c r="B30" s="306" t="s">
        <v>186</v>
      </c>
      <c r="C30" s="173">
        <v>40000</v>
      </c>
      <c r="D30" s="173">
        <v>14524</v>
      </c>
      <c r="E30" s="173">
        <v>54524</v>
      </c>
      <c r="F30" s="207">
        <v>26625</v>
      </c>
    </row>
    <row r="31" spans="1:6" s="1" customFormat="1" ht="12" customHeight="1">
      <c r="A31" s="11" t="s">
        <v>187</v>
      </c>
      <c r="B31" s="306" t="s">
        <v>188</v>
      </c>
      <c r="C31" s="173"/>
      <c r="D31" s="173"/>
      <c r="E31" s="173"/>
      <c r="F31" s="207"/>
    </row>
    <row r="32" spans="1:6" s="1" customFormat="1" ht="12" customHeight="1">
      <c r="A32" s="11" t="s">
        <v>189</v>
      </c>
      <c r="B32" s="306" t="s">
        <v>190</v>
      </c>
      <c r="C32" s="173">
        <v>4800</v>
      </c>
      <c r="D32" s="173">
        <v>4561</v>
      </c>
      <c r="E32" s="173">
        <v>9361</v>
      </c>
      <c r="F32" s="207">
        <v>2014</v>
      </c>
    </row>
    <row r="33" spans="1:6" s="1" customFormat="1" ht="12" customHeight="1">
      <c r="A33" s="11" t="s">
        <v>191</v>
      </c>
      <c r="B33" s="306" t="s">
        <v>192</v>
      </c>
      <c r="C33" s="173"/>
      <c r="D33" s="173"/>
      <c r="E33" s="173"/>
      <c r="F33" s="207"/>
    </row>
    <row r="34" spans="1:6" s="1" customFormat="1" ht="12" customHeight="1" thickBot="1">
      <c r="A34" s="13" t="s">
        <v>193</v>
      </c>
      <c r="B34" s="305" t="s">
        <v>194</v>
      </c>
      <c r="C34" s="175">
        <v>400</v>
      </c>
      <c r="D34" s="175">
        <v>7678</v>
      </c>
      <c r="E34" s="175">
        <v>8078</v>
      </c>
      <c r="F34" s="211">
        <v>247</v>
      </c>
    </row>
    <row r="35" spans="1:6" s="1" customFormat="1" ht="12" customHeight="1" thickBot="1">
      <c r="A35" s="17" t="s">
        <v>9</v>
      </c>
      <c r="B35" s="308" t="s">
        <v>195</v>
      </c>
      <c r="C35" s="172">
        <f>SUM(C36:C45)</f>
        <v>47740</v>
      </c>
      <c r="D35" s="172">
        <f>SUM(D36:D45)</f>
        <v>32455</v>
      </c>
      <c r="E35" s="172">
        <f>SUM(E36:E45)</f>
        <v>80195</v>
      </c>
      <c r="F35" s="203">
        <f>SUM(F36:F45)</f>
        <v>42762</v>
      </c>
    </row>
    <row r="36" spans="1:6" s="1" customFormat="1" ht="12" customHeight="1">
      <c r="A36" s="12" t="s">
        <v>60</v>
      </c>
      <c r="B36" s="309" t="s">
        <v>196</v>
      </c>
      <c r="C36" s="174"/>
      <c r="D36" s="174">
        <v>16</v>
      </c>
      <c r="E36" s="174">
        <v>16</v>
      </c>
      <c r="F36" s="205">
        <v>15</v>
      </c>
    </row>
    <row r="37" spans="1:6" s="1" customFormat="1" ht="12" customHeight="1">
      <c r="A37" s="11" t="s">
        <v>61</v>
      </c>
      <c r="B37" s="306" t="s">
        <v>197</v>
      </c>
      <c r="C37" s="173">
        <v>10895</v>
      </c>
      <c r="D37" s="173">
        <v>25787</v>
      </c>
      <c r="E37" s="173">
        <f>36734-52</f>
        <v>36682</v>
      </c>
      <c r="F37" s="207">
        <f>20381-36</f>
        <v>20345</v>
      </c>
    </row>
    <row r="38" spans="1:6" s="1" customFormat="1" ht="12" customHeight="1">
      <c r="A38" s="11" t="s">
        <v>62</v>
      </c>
      <c r="B38" s="306" t="s">
        <v>198</v>
      </c>
      <c r="C38" s="173"/>
      <c r="D38" s="173"/>
      <c r="E38" s="173"/>
      <c r="F38" s="207"/>
    </row>
    <row r="39" spans="1:6" s="1" customFormat="1" ht="12" customHeight="1">
      <c r="A39" s="11" t="s">
        <v>103</v>
      </c>
      <c r="B39" s="306" t="s">
        <v>199</v>
      </c>
      <c r="C39" s="173">
        <v>3750</v>
      </c>
      <c r="D39" s="173"/>
      <c r="E39" s="173">
        <v>3750</v>
      </c>
      <c r="F39" s="207">
        <v>3225</v>
      </c>
    </row>
    <row r="40" spans="1:6" s="1" customFormat="1" ht="12" customHeight="1">
      <c r="A40" s="11" t="s">
        <v>104</v>
      </c>
      <c r="B40" s="306" t="s">
        <v>200</v>
      </c>
      <c r="C40" s="173">
        <v>11940</v>
      </c>
      <c r="D40" s="173"/>
      <c r="E40" s="173">
        <v>11940</v>
      </c>
      <c r="F40" s="207">
        <v>6528</v>
      </c>
    </row>
    <row r="41" spans="1:6" s="1" customFormat="1" ht="12" customHeight="1">
      <c r="A41" s="11" t="s">
        <v>105</v>
      </c>
      <c r="B41" s="306" t="s">
        <v>201</v>
      </c>
      <c r="C41" s="173">
        <v>6155</v>
      </c>
      <c r="D41" s="173">
        <v>3647</v>
      </c>
      <c r="E41" s="173">
        <f>9812-10</f>
        <v>9802</v>
      </c>
      <c r="F41" s="207">
        <f>7037-10</f>
        <v>7027</v>
      </c>
    </row>
    <row r="42" spans="1:6" s="1" customFormat="1" ht="12" customHeight="1">
      <c r="A42" s="11" t="s">
        <v>106</v>
      </c>
      <c r="B42" s="306" t="s">
        <v>202</v>
      </c>
      <c r="C42" s="173"/>
      <c r="D42" s="173">
        <v>3000</v>
      </c>
      <c r="E42" s="173">
        <v>3000</v>
      </c>
      <c r="F42" s="207">
        <v>2178</v>
      </c>
    </row>
    <row r="43" spans="1:6" s="1" customFormat="1" ht="12" customHeight="1">
      <c r="A43" s="11" t="s">
        <v>107</v>
      </c>
      <c r="B43" s="306" t="s">
        <v>203</v>
      </c>
      <c r="C43" s="173">
        <v>15000</v>
      </c>
      <c r="D43" s="173">
        <v>5</v>
      </c>
      <c r="E43" s="173">
        <v>15005</v>
      </c>
      <c r="F43" s="207">
        <v>3444</v>
      </c>
    </row>
    <row r="44" spans="1:6" s="1" customFormat="1" ht="12" customHeight="1">
      <c r="A44" s="11" t="s">
        <v>204</v>
      </c>
      <c r="B44" s="306" t="s">
        <v>205</v>
      </c>
      <c r="C44" s="176"/>
      <c r="D44" s="176"/>
      <c r="E44" s="176"/>
      <c r="F44" s="215"/>
    </row>
    <row r="45" spans="1:6" s="1" customFormat="1" ht="12" customHeight="1" thickBot="1">
      <c r="A45" s="13" t="s">
        <v>206</v>
      </c>
      <c r="B45" s="305" t="s">
        <v>207</v>
      </c>
      <c r="C45" s="177"/>
      <c r="D45" s="177"/>
      <c r="E45" s="177"/>
      <c r="F45" s="216"/>
    </row>
    <row r="46" spans="1:6" s="1" customFormat="1" ht="12" customHeight="1" thickBot="1">
      <c r="A46" s="17" t="s">
        <v>10</v>
      </c>
      <c r="B46" s="308" t="s">
        <v>208</v>
      </c>
      <c r="C46" s="172">
        <f>SUM(C47:C51)</f>
        <v>0</v>
      </c>
      <c r="D46" s="172"/>
      <c r="E46" s="172">
        <f>SUM(E47:E51)</f>
        <v>0</v>
      </c>
      <c r="F46" s="203">
        <f>SUM(F47:F51)</f>
        <v>0</v>
      </c>
    </row>
    <row r="47" spans="1:6" s="1" customFormat="1" ht="12" customHeight="1">
      <c r="A47" s="12" t="s">
        <v>63</v>
      </c>
      <c r="B47" s="309" t="s">
        <v>209</v>
      </c>
      <c r="C47" s="179"/>
      <c r="D47" s="179"/>
      <c r="E47" s="179"/>
      <c r="F47" s="217"/>
    </row>
    <row r="48" spans="1:6" s="1" customFormat="1" ht="12" customHeight="1">
      <c r="A48" s="11" t="s">
        <v>64</v>
      </c>
      <c r="B48" s="306" t="s">
        <v>210</v>
      </c>
      <c r="C48" s="176"/>
      <c r="D48" s="176"/>
      <c r="E48" s="176"/>
      <c r="F48" s="215"/>
    </row>
    <row r="49" spans="1:6" s="1" customFormat="1" ht="12" customHeight="1">
      <c r="A49" s="11" t="s">
        <v>211</v>
      </c>
      <c r="B49" s="306" t="s">
        <v>212</v>
      </c>
      <c r="C49" s="176"/>
      <c r="D49" s="176"/>
      <c r="E49" s="176"/>
      <c r="F49" s="215"/>
    </row>
    <row r="50" spans="1:6" s="1" customFormat="1" ht="12" customHeight="1">
      <c r="A50" s="11" t="s">
        <v>213</v>
      </c>
      <c r="B50" s="306" t="s">
        <v>214</v>
      </c>
      <c r="C50" s="176"/>
      <c r="D50" s="176"/>
      <c r="E50" s="176"/>
      <c r="F50" s="215"/>
    </row>
    <row r="51" spans="1:6" s="1" customFormat="1" ht="12" customHeight="1" thickBot="1">
      <c r="A51" s="13" t="s">
        <v>215</v>
      </c>
      <c r="B51" s="305" t="s">
        <v>216</v>
      </c>
      <c r="C51" s="177"/>
      <c r="D51" s="177"/>
      <c r="E51" s="177"/>
      <c r="F51" s="216"/>
    </row>
    <row r="52" spans="1:6" s="1" customFormat="1" ht="12" customHeight="1" thickBot="1">
      <c r="A52" s="17" t="s">
        <v>108</v>
      </c>
      <c r="B52" s="308" t="s">
        <v>217</v>
      </c>
      <c r="C52" s="172">
        <f>SUM(C53:C55)</f>
        <v>0</v>
      </c>
      <c r="D52" s="172">
        <f>SUM(D53:D55)</f>
        <v>8771</v>
      </c>
      <c r="E52" s="172">
        <f>SUM(E53:E55)</f>
        <v>8771</v>
      </c>
      <c r="F52" s="203">
        <f>SUM(F53:F55)</f>
        <v>2715</v>
      </c>
    </row>
    <row r="53" spans="1:6" s="1" customFormat="1" ht="12" customHeight="1">
      <c r="A53" s="12" t="s">
        <v>65</v>
      </c>
      <c r="B53" s="309" t="s">
        <v>218</v>
      </c>
      <c r="C53" s="174"/>
      <c r="D53" s="174"/>
      <c r="E53" s="174"/>
      <c r="F53" s="205"/>
    </row>
    <row r="54" spans="1:6" s="1" customFormat="1" ht="12" customHeight="1">
      <c r="A54" s="11" t="s">
        <v>66</v>
      </c>
      <c r="B54" s="306" t="s">
        <v>219</v>
      </c>
      <c r="C54" s="173"/>
      <c r="D54" s="173">
        <v>8671</v>
      </c>
      <c r="E54" s="173">
        <v>8671</v>
      </c>
      <c r="F54" s="207">
        <v>2615</v>
      </c>
    </row>
    <row r="55" spans="1:6" s="1" customFormat="1" ht="12" customHeight="1">
      <c r="A55" s="11" t="s">
        <v>220</v>
      </c>
      <c r="B55" s="306" t="s">
        <v>221</v>
      </c>
      <c r="C55" s="173"/>
      <c r="D55" s="173">
        <v>100</v>
      </c>
      <c r="E55" s="173">
        <v>100</v>
      </c>
      <c r="F55" s="207">
        <v>100</v>
      </c>
    </row>
    <row r="56" spans="1:6" s="1" customFormat="1" ht="12" customHeight="1" thickBot="1">
      <c r="A56" s="13" t="s">
        <v>222</v>
      </c>
      <c r="B56" s="305" t="s">
        <v>223</v>
      </c>
      <c r="C56" s="175"/>
      <c r="D56" s="175"/>
      <c r="E56" s="175"/>
      <c r="F56" s="211"/>
    </row>
    <row r="57" spans="1:6" s="1" customFormat="1" ht="12" customHeight="1" thickBot="1">
      <c r="A57" s="17" t="s">
        <v>12</v>
      </c>
      <c r="B57" s="310" t="s">
        <v>224</v>
      </c>
      <c r="C57" s="172">
        <f>SUM(C58:C60)</f>
        <v>0</v>
      </c>
      <c r="D57" s="172">
        <f>SUM(D58:D60)</f>
        <v>2414</v>
      </c>
      <c r="E57" s="172">
        <f>SUM(E58:E60)</f>
        <v>2414</v>
      </c>
      <c r="F57" s="203">
        <f>SUM(F58:F60)</f>
        <v>0</v>
      </c>
    </row>
    <row r="58" spans="1:6" s="1" customFormat="1" ht="12" customHeight="1">
      <c r="A58" s="11" t="s">
        <v>109</v>
      </c>
      <c r="B58" s="309" t="s">
        <v>225</v>
      </c>
      <c r="C58" s="176"/>
      <c r="D58" s="176"/>
      <c r="E58" s="176"/>
      <c r="F58" s="215"/>
    </row>
    <row r="59" spans="1:6" s="1" customFormat="1" ht="12" customHeight="1">
      <c r="A59" s="11" t="s">
        <v>110</v>
      </c>
      <c r="B59" s="306" t="s">
        <v>226</v>
      </c>
      <c r="C59" s="176"/>
      <c r="D59" s="176">
        <v>2414</v>
      </c>
      <c r="E59" s="176">
        <v>2414</v>
      </c>
      <c r="F59" s="215"/>
    </row>
    <row r="60" spans="1:6" s="1" customFormat="1" ht="12" customHeight="1">
      <c r="A60" s="11" t="s">
        <v>135</v>
      </c>
      <c r="B60" s="306" t="s">
        <v>227</v>
      </c>
      <c r="C60" s="176"/>
      <c r="D60" s="176"/>
      <c r="E60" s="176"/>
      <c r="F60" s="215"/>
    </row>
    <row r="61" spans="1:6" s="1" customFormat="1" ht="12" customHeight="1" thickBot="1">
      <c r="A61" s="11" t="s">
        <v>228</v>
      </c>
      <c r="B61" s="305" t="s">
        <v>229</v>
      </c>
      <c r="C61" s="176"/>
      <c r="D61" s="176"/>
      <c r="E61" s="176"/>
      <c r="F61" s="215"/>
    </row>
    <row r="62" spans="1:6" s="1" customFormat="1" ht="12" customHeight="1" thickBot="1">
      <c r="A62" s="17" t="s">
        <v>13</v>
      </c>
      <c r="B62" s="308" t="s">
        <v>230</v>
      </c>
      <c r="C62" s="181">
        <f>+C6+C14+C21+C28+C35+C46+C52+C57</f>
        <v>526056</v>
      </c>
      <c r="D62" s="181">
        <f>+D6+D14+D21+D28+D35+D46+D52+D57</f>
        <v>164841</v>
      </c>
      <c r="E62" s="181">
        <f>+E6+E14+E21+E28+E35+E46+E52+E57</f>
        <v>690897</v>
      </c>
      <c r="F62" s="212">
        <f>+F6+F14+F21+F28+F35+F46+F52+F57</f>
        <v>387700</v>
      </c>
    </row>
    <row r="63" spans="1:6" s="1" customFormat="1" ht="12" customHeight="1" thickBot="1">
      <c r="A63" s="218" t="s">
        <v>231</v>
      </c>
      <c r="B63" s="310" t="s">
        <v>232</v>
      </c>
      <c r="C63" s="172">
        <f>SUM(C64:C66)</f>
        <v>0</v>
      </c>
      <c r="D63" s="172"/>
      <c r="E63" s="172">
        <f>SUM(E64:E66)</f>
        <v>0</v>
      </c>
      <c r="F63" s="203">
        <f>SUM(F64:F66)</f>
        <v>0</v>
      </c>
    </row>
    <row r="64" spans="1:6" s="1" customFormat="1" ht="12" customHeight="1">
      <c r="A64" s="11" t="s">
        <v>233</v>
      </c>
      <c r="B64" s="309" t="s">
        <v>234</v>
      </c>
      <c r="C64" s="176"/>
      <c r="D64" s="176"/>
      <c r="E64" s="176"/>
      <c r="F64" s="215"/>
    </row>
    <row r="65" spans="1:6" s="1" customFormat="1" ht="12" customHeight="1">
      <c r="A65" s="11" t="s">
        <v>235</v>
      </c>
      <c r="B65" s="306" t="s">
        <v>236</v>
      </c>
      <c r="C65" s="176"/>
      <c r="D65" s="176"/>
      <c r="E65" s="176"/>
      <c r="F65" s="215"/>
    </row>
    <row r="66" spans="1:6" s="1" customFormat="1" ht="12" customHeight="1" thickBot="1">
      <c r="A66" s="11" t="s">
        <v>237</v>
      </c>
      <c r="B66" s="295" t="s">
        <v>379</v>
      </c>
      <c r="C66" s="176"/>
      <c r="D66" s="176"/>
      <c r="E66" s="176"/>
      <c r="F66" s="215"/>
    </row>
    <row r="67" spans="1:6" s="1" customFormat="1" ht="12" customHeight="1" thickBot="1">
      <c r="A67" s="218" t="s">
        <v>239</v>
      </c>
      <c r="B67" s="310" t="s">
        <v>240</v>
      </c>
      <c r="C67" s="172">
        <f>SUM(C68:C71)</f>
        <v>0</v>
      </c>
      <c r="D67" s="172"/>
      <c r="E67" s="172">
        <f>SUM(E68:E71)</f>
        <v>0</v>
      </c>
      <c r="F67" s="203">
        <f>SUM(F68:F71)</f>
        <v>0</v>
      </c>
    </row>
    <row r="68" spans="1:6" s="1" customFormat="1" ht="12" customHeight="1">
      <c r="A68" s="11" t="s">
        <v>88</v>
      </c>
      <c r="B68" s="309" t="s">
        <v>241</v>
      </c>
      <c r="C68" s="176"/>
      <c r="D68" s="176"/>
      <c r="E68" s="176"/>
      <c r="F68" s="215"/>
    </row>
    <row r="69" spans="1:6" s="1" customFormat="1" ht="12" customHeight="1">
      <c r="A69" s="11" t="s">
        <v>89</v>
      </c>
      <c r="B69" s="306" t="s">
        <v>242</v>
      </c>
      <c r="C69" s="176"/>
      <c r="D69" s="176"/>
      <c r="E69" s="176"/>
      <c r="F69" s="215"/>
    </row>
    <row r="70" spans="1:6" s="1" customFormat="1" ht="12" customHeight="1">
      <c r="A70" s="11" t="s">
        <v>243</v>
      </c>
      <c r="B70" s="306" t="s">
        <v>244</v>
      </c>
      <c r="C70" s="176"/>
      <c r="D70" s="176"/>
      <c r="E70" s="176"/>
      <c r="F70" s="215"/>
    </row>
    <row r="71" spans="1:8" s="1" customFormat="1" ht="12" customHeight="1" thickBot="1">
      <c r="A71" s="11" t="s">
        <v>245</v>
      </c>
      <c r="B71" s="305" t="s">
        <v>246</v>
      </c>
      <c r="C71" s="176"/>
      <c r="D71" s="176"/>
      <c r="E71" s="176"/>
      <c r="F71" s="215"/>
      <c r="H71" s="29"/>
    </row>
    <row r="72" spans="1:6" s="1" customFormat="1" ht="12" customHeight="1" thickBot="1">
      <c r="A72" s="218" t="s">
        <v>247</v>
      </c>
      <c r="B72" s="310" t="s">
        <v>248</v>
      </c>
      <c r="C72" s="172">
        <f>SUM(C73:C74)</f>
        <v>371933</v>
      </c>
      <c r="D72" s="172">
        <f>SUM(D73:D74)</f>
        <v>-35</v>
      </c>
      <c r="E72" s="172">
        <f>SUM(E73:E74)</f>
        <v>371898</v>
      </c>
      <c r="F72" s="203">
        <f>SUM(F73:F74)</f>
        <v>377403</v>
      </c>
    </row>
    <row r="73" spans="1:6" s="1" customFormat="1" ht="12" customHeight="1">
      <c r="A73" s="11" t="s">
        <v>249</v>
      </c>
      <c r="B73" s="309" t="s">
        <v>430</v>
      </c>
      <c r="C73" s="176">
        <v>71245</v>
      </c>
      <c r="D73" s="176">
        <v>-35</v>
      </c>
      <c r="E73" s="176">
        <f>78957-7170-577</f>
        <v>71210</v>
      </c>
      <c r="F73" s="215">
        <f>78957-1665-577</f>
        <v>76715</v>
      </c>
    </row>
    <row r="74" spans="1:6" s="1" customFormat="1" ht="12" customHeight="1" thickBot="1">
      <c r="A74" s="11" t="s">
        <v>251</v>
      </c>
      <c r="B74" s="309" t="s">
        <v>431</v>
      </c>
      <c r="C74" s="176">
        <v>300688</v>
      </c>
      <c r="D74" s="176"/>
      <c r="E74" s="176">
        <v>300688</v>
      </c>
      <c r="F74" s="215">
        <v>300688</v>
      </c>
    </row>
    <row r="75" spans="1:6" s="1" customFormat="1" ht="12" customHeight="1" thickBot="1">
      <c r="A75" s="218" t="s">
        <v>253</v>
      </c>
      <c r="B75" s="310" t="s">
        <v>254</v>
      </c>
      <c r="C75" s="172">
        <f>SUM(C76:C78)</f>
        <v>0</v>
      </c>
      <c r="D75" s="172"/>
      <c r="E75" s="172">
        <f>SUM(E76:E78)</f>
        <v>0</v>
      </c>
      <c r="F75" s="203">
        <f>SUM(F76:F78)</f>
        <v>0</v>
      </c>
    </row>
    <row r="76" spans="1:6" s="1" customFormat="1" ht="12" customHeight="1">
      <c r="A76" s="11" t="s">
        <v>255</v>
      </c>
      <c r="B76" s="309" t="s">
        <v>256</v>
      </c>
      <c r="C76" s="176"/>
      <c r="D76" s="176"/>
      <c r="E76" s="176"/>
      <c r="F76" s="215"/>
    </row>
    <row r="77" spans="1:6" s="1" customFormat="1" ht="12" customHeight="1">
      <c r="A77" s="11" t="s">
        <v>257</v>
      </c>
      <c r="B77" s="306" t="s">
        <v>258</v>
      </c>
      <c r="C77" s="176"/>
      <c r="D77" s="176"/>
      <c r="E77" s="176"/>
      <c r="F77" s="215"/>
    </row>
    <row r="78" spans="1:6" s="1" customFormat="1" ht="12" customHeight="1" thickBot="1">
      <c r="A78" s="11" t="s">
        <v>259</v>
      </c>
      <c r="B78" s="305" t="s">
        <v>260</v>
      </c>
      <c r="C78" s="176"/>
      <c r="D78" s="176"/>
      <c r="E78" s="176"/>
      <c r="F78" s="215"/>
    </row>
    <row r="79" spans="1:6" s="1" customFormat="1" ht="12" customHeight="1" thickBot="1">
      <c r="A79" s="218" t="s">
        <v>261</v>
      </c>
      <c r="B79" s="310" t="s">
        <v>262</v>
      </c>
      <c r="C79" s="172">
        <f>SUM(C80:C83)</f>
        <v>0</v>
      </c>
      <c r="D79" s="172"/>
      <c r="E79" s="172">
        <f>SUM(E80:E83)</f>
        <v>0</v>
      </c>
      <c r="F79" s="203">
        <f>SUM(F80:F83)</f>
        <v>0</v>
      </c>
    </row>
    <row r="80" spans="1:6" s="1" customFormat="1" ht="12" customHeight="1">
      <c r="A80" s="220" t="s">
        <v>263</v>
      </c>
      <c r="B80" s="309" t="s">
        <v>264</v>
      </c>
      <c r="C80" s="176"/>
      <c r="D80" s="176"/>
      <c r="E80" s="176"/>
      <c r="F80" s="215"/>
    </row>
    <row r="81" spans="1:6" s="1" customFormat="1" ht="12" customHeight="1">
      <c r="A81" s="221" t="s">
        <v>265</v>
      </c>
      <c r="B81" s="306" t="s">
        <v>266</v>
      </c>
      <c r="C81" s="176"/>
      <c r="D81" s="176"/>
      <c r="E81" s="176"/>
      <c r="F81" s="215"/>
    </row>
    <row r="82" spans="1:6" s="1" customFormat="1" ht="12" customHeight="1">
      <c r="A82" s="221" t="s">
        <v>267</v>
      </c>
      <c r="B82" s="306" t="s">
        <v>268</v>
      </c>
      <c r="C82" s="176"/>
      <c r="D82" s="176"/>
      <c r="E82" s="176"/>
      <c r="F82" s="215"/>
    </row>
    <row r="83" spans="1:6" s="1" customFormat="1" ht="12" customHeight="1" thickBot="1">
      <c r="A83" s="222" t="s">
        <v>269</v>
      </c>
      <c r="B83" s="305" t="s">
        <v>270</v>
      </c>
      <c r="C83" s="176"/>
      <c r="D83" s="176"/>
      <c r="E83" s="176"/>
      <c r="F83" s="215"/>
    </row>
    <row r="84" spans="1:6" s="1" customFormat="1" ht="12" customHeight="1" thickBot="1">
      <c r="A84" s="218" t="s">
        <v>271</v>
      </c>
      <c r="B84" s="310" t="s">
        <v>272</v>
      </c>
      <c r="C84" s="223"/>
      <c r="D84" s="223"/>
      <c r="E84" s="223"/>
      <c r="F84" s="224"/>
    </row>
    <row r="85" spans="1:6" s="1" customFormat="1" ht="12" customHeight="1" thickBot="1">
      <c r="A85" s="218" t="s">
        <v>273</v>
      </c>
      <c r="B85" s="272" t="s">
        <v>274</v>
      </c>
      <c r="C85" s="181">
        <f>+C63+C67+C72+C75+C79+C84</f>
        <v>371933</v>
      </c>
      <c r="D85" s="181">
        <f>+D63+D67+D72+D75+D79+D84</f>
        <v>-35</v>
      </c>
      <c r="E85" s="181">
        <f>+E63+E67+E72+E75+E79+E84</f>
        <v>371898</v>
      </c>
      <c r="F85" s="212">
        <f>+F63+F67+F72+F75+F79+F84</f>
        <v>377403</v>
      </c>
    </row>
    <row r="86" spans="1:6" s="1" customFormat="1" ht="12" customHeight="1" thickBot="1">
      <c r="A86" s="226" t="s">
        <v>275</v>
      </c>
      <c r="B86" s="273" t="s">
        <v>276</v>
      </c>
      <c r="C86" s="181">
        <f>+C62+C85</f>
        <v>897989</v>
      </c>
      <c r="D86" s="181">
        <f>+D62+D85</f>
        <v>164806</v>
      </c>
      <c r="E86" s="181">
        <f>+E62+E85</f>
        <v>1062795</v>
      </c>
      <c r="F86" s="212">
        <f>+F62+F85</f>
        <v>765103</v>
      </c>
    </row>
    <row r="87" spans="1:6" s="1" customFormat="1" ht="12" customHeight="1">
      <c r="A87" s="228"/>
      <c r="B87" s="229">
        <v>3</v>
      </c>
      <c r="C87" s="230"/>
      <c r="D87" s="230"/>
      <c r="E87" s="231"/>
      <c r="F87" s="232"/>
    </row>
    <row r="88" spans="1:6" s="1" customFormat="1" ht="12" customHeight="1">
      <c r="A88" s="438" t="s">
        <v>33</v>
      </c>
      <c r="B88" s="438"/>
      <c r="C88" s="438"/>
      <c r="D88" s="438"/>
      <c r="E88" s="438"/>
      <c r="F88" s="438"/>
    </row>
    <row r="89" spans="1:6" s="1" customFormat="1" ht="12" customHeight="1" thickBot="1">
      <c r="A89" s="439" t="s">
        <v>91</v>
      </c>
      <c r="B89" s="439"/>
      <c r="C89" s="157"/>
      <c r="D89" s="157"/>
      <c r="E89" s="201"/>
      <c r="F89" s="105" t="s">
        <v>134</v>
      </c>
    </row>
    <row r="90" spans="1:6" s="1" customFormat="1" ht="12" customHeight="1">
      <c r="A90" s="430" t="s">
        <v>55</v>
      </c>
      <c r="B90" s="432" t="s">
        <v>387</v>
      </c>
      <c r="C90" s="440" t="s">
        <v>324</v>
      </c>
      <c r="D90" s="440"/>
      <c r="E90" s="440"/>
      <c r="F90" s="441"/>
    </row>
    <row r="91" spans="1:7" s="1" customFormat="1" ht="24" customHeight="1" thickBot="1">
      <c r="A91" s="431"/>
      <c r="B91" s="433"/>
      <c r="C91" s="164" t="s">
        <v>158</v>
      </c>
      <c r="D91" s="164" t="s">
        <v>471</v>
      </c>
      <c r="E91" s="164" t="s">
        <v>159</v>
      </c>
      <c r="F91" s="165" t="s">
        <v>325</v>
      </c>
      <c r="G91" s="233"/>
    </row>
    <row r="92" spans="1:7" s="1" customFormat="1" ht="12" customHeight="1" thickBot="1">
      <c r="A92" s="24">
        <v>1</v>
      </c>
      <c r="B92" s="25">
        <v>2</v>
      </c>
      <c r="C92" s="25">
        <v>3</v>
      </c>
      <c r="D92" s="25"/>
      <c r="E92" s="25">
        <v>4</v>
      </c>
      <c r="F92" s="26">
        <v>5</v>
      </c>
      <c r="G92" s="233"/>
    </row>
    <row r="93" spans="1:7" s="1" customFormat="1" ht="15" customHeight="1" thickBot="1">
      <c r="A93" s="19" t="s">
        <v>5</v>
      </c>
      <c r="B93" s="23" t="s">
        <v>385</v>
      </c>
      <c r="C93" s="274">
        <f>SUM(C94:C98)</f>
        <v>498830</v>
      </c>
      <c r="D93" s="274">
        <f>SUM(D94:D98)</f>
        <v>52127</v>
      </c>
      <c r="E93" s="171">
        <f>+E94+E95+E96+E97+E98</f>
        <v>550957</v>
      </c>
      <c r="F93" s="284">
        <f>+F94+F95+F96+F97+F98</f>
        <v>245208</v>
      </c>
      <c r="G93" s="233"/>
    </row>
    <row r="94" spans="1:6" s="1" customFormat="1" ht="12.75" customHeight="1">
      <c r="A94" s="14" t="s">
        <v>67</v>
      </c>
      <c r="B94" s="298" t="s">
        <v>34</v>
      </c>
      <c r="C94" s="275">
        <v>203148</v>
      </c>
      <c r="D94" s="275">
        <f>2355+1363</f>
        <v>3718</v>
      </c>
      <c r="E94" s="289">
        <v>206866</v>
      </c>
      <c r="F94" s="285">
        <v>92255</v>
      </c>
    </row>
    <row r="95" spans="1:6" ht="16.5" customHeight="1">
      <c r="A95" s="11" t="s">
        <v>68</v>
      </c>
      <c r="B95" s="299" t="s">
        <v>111</v>
      </c>
      <c r="C95" s="276">
        <v>54247</v>
      </c>
      <c r="D95" s="276">
        <f>485+370</f>
        <v>855</v>
      </c>
      <c r="E95" s="173">
        <v>55102</v>
      </c>
      <c r="F95" s="207">
        <f>25776-24-6416</f>
        <v>19336</v>
      </c>
    </row>
    <row r="96" spans="1:6" ht="15">
      <c r="A96" s="11" t="s">
        <v>69</v>
      </c>
      <c r="B96" s="299" t="s">
        <v>86</v>
      </c>
      <c r="C96" s="277">
        <v>208865</v>
      </c>
      <c r="D96" s="277">
        <v>4810</v>
      </c>
      <c r="E96" s="175">
        <f>233990-845-19470</f>
        <v>213675</v>
      </c>
      <c r="F96" s="211">
        <f>85353-75-8974</f>
        <v>76304</v>
      </c>
    </row>
    <row r="97" spans="1:6" s="28" customFormat="1" ht="12" customHeight="1">
      <c r="A97" s="11" t="s">
        <v>70</v>
      </c>
      <c r="B97" s="300" t="s">
        <v>112</v>
      </c>
      <c r="C97" s="277">
        <v>3380</v>
      </c>
      <c r="D97" s="277">
        <v>455</v>
      </c>
      <c r="E97" s="175">
        <f>103885-100050</f>
        <v>3835</v>
      </c>
      <c r="F97" s="211">
        <f>43246-42153</f>
        <v>1093</v>
      </c>
    </row>
    <row r="98" spans="1:6" ht="12" customHeight="1">
      <c r="A98" s="11" t="s">
        <v>78</v>
      </c>
      <c r="B98" s="301" t="s">
        <v>113</v>
      </c>
      <c r="C98" s="277">
        <v>29190</v>
      </c>
      <c r="D98" s="277">
        <f>41789+500</f>
        <v>42289</v>
      </c>
      <c r="E98" s="175">
        <f>76979-6000+500</f>
        <v>71479</v>
      </c>
      <c r="F98" s="211">
        <f>57720-1500</f>
        <v>56220</v>
      </c>
    </row>
    <row r="99" spans="1:6" ht="12" customHeight="1">
      <c r="A99" s="11" t="s">
        <v>71</v>
      </c>
      <c r="B99" s="299" t="s">
        <v>278</v>
      </c>
      <c r="C99" s="277"/>
      <c r="D99" s="277">
        <v>4503</v>
      </c>
      <c r="E99" s="175">
        <v>4503</v>
      </c>
      <c r="F99" s="211">
        <v>4502</v>
      </c>
    </row>
    <row r="100" spans="1:6" ht="12" customHeight="1">
      <c r="A100" s="11" t="s">
        <v>72</v>
      </c>
      <c r="B100" s="302" t="s">
        <v>279</v>
      </c>
      <c r="C100" s="277"/>
      <c r="D100" s="277"/>
      <c r="E100" s="175"/>
      <c r="F100" s="211"/>
    </row>
    <row r="101" spans="1:6" ht="12" customHeight="1">
      <c r="A101" s="11" t="s">
        <v>79</v>
      </c>
      <c r="B101" s="299" t="s">
        <v>280</v>
      </c>
      <c r="C101" s="277"/>
      <c r="D101" s="277"/>
      <c r="E101" s="175"/>
      <c r="F101" s="211"/>
    </row>
    <row r="102" spans="1:6" ht="12" customHeight="1">
      <c r="A102" s="11" t="s">
        <v>80</v>
      </c>
      <c r="B102" s="299" t="s">
        <v>281</v>
      </c>
      <c r="C102" s="277"/>
      <c r="D102" s="277"/>
      <c r="E102" s="175"/>
      <c r="F102" s="211"/>
    </row>
    <row r="103" spans="1:6" ht="12" customHeight="1">
      <c r="A103" s="11" t="s">
        <v>81</v>
      </c>
      <c r="B103" s="302" t="s">
        <v>282</v>
      </c>
      <c r="C103" s="277">
        <v>29190</v>
      </c>
      <c r="D103" s="277">
        <f>37286+500</f>
        <v>37786</v>
      </c>
      <c r="E103" s="175">
        <f>66476+500</f>
        <v>66976</v>
      </c>
      <c r="F103" s="211">
        <v>51718</v>
      </c>
    </row>
    <row r="104" spans="1:6" ht="12" customHeight="1">
      <c r="A104" s="11" t="s">
        <v>82</v>
      </c>
      <c r="B104" s="302" t="s">
        <v>283</v>
      </c>
      <c r="C104" s="277"/>
      <c r="D104" s="277"/>
      <c r="E104" s="175"/>
      <c r="F104" s="211"/>
    </row>
    <row r="105" spans="1:6" ht="12" customHeight="1">
      <c r="A105" s="11" t="s">
        <v>84</v>
      </c>
      <c r="B105" s="299" t="s">
        <v>284</v>
      </c>
      <c r="C105" s="277"/>
      <c r="D105" s="277"/>
      <c r="E105" s="175"/>
      <c r="F105" s="211"/>
    </row>
    <row r="106" spans="1:6" ht="12" customHeight="1">
      <c r="A106" s="10" t="s">
        <v>114</v>
      </c>
      <c r="B106" s="303" t="s">
        <v>285</v>
      </c>
      <c r="C106" s="277"/>
      <c r="D106" s="277"/>
      <c r="E106" s="175"/>
      <c r="F106" s="211"/>
    </row>
    <row r="107" spans="1:6" ht="12" customHeight="1">
      <c r="A107" s="11" t="s">
        <v>286</v>
      </c>
      <c r="B107" s="303" t="s">
        <v>287</v>
      </c>
      <c r="C107" s="277"/>
      <c r="D107" s="277"/>
      <c r="E107" s="175"/>
      <c r="F107" s="211"/>
    </row>
    <row r="108" spans="1:6" ht="12" customHeight="1" thickBot="1">
      <c r="A108" s="15" t="s">
        <v>288</v>
      </c>
      <c r="B108" s="304" t="s">
        <v>289</v>
      </c>
      <c r="C108" s="278"/>
      <c r="D108" s="278"/>
      <c r="E108" s="290"/>
      <c r="F108" s="286"/>
    </row>
    <row r="109" spans="1:6" ht="12" customHeight="1" thickBot="1">
      <c r="A109" s="17" t="s">
        <v>6</v>
      </c>
      <c r="B109" s="22" t="s">
        <v>386</v>
      </c>
      <c r="C109" s="279">
        <f>+C110+C112+C114</f>
        <v>226106</v>
      </c>
      <c r="D109" s="279">
        <f>+D110+D112+D114</f>
        <v>28130</v>
      </c>
      <c r="E109" s="172">
        <f>+E110+E112+E114</f>
        <v>254236</v>
      </c>
      <c r="F109" s="203">
        <f>+F110+F112+F114</f>
        <v>132809</v>
      </c>
    </row>
    <row r="110" spans="1:6" ht="12" customHeight="1">
      <c r="A110" s="12" t="s">
        <v>73</v>
      </c>
      <c r="B110" s="299" t="s">
        <v>133</v>
      </c>
      <c r="C110" s="289">
        <v>38195</v>
      </c>
      <c r="D110" s="421">
        <f>16297</f>
        <v>16297</v>
      </c>
      <c r="E110" s="174">
        <f>54892-400</f>
        <v>54492</v>
      </c>
      <c r="F110" s="205">
        <f>14903-133</f>
        <v>14770</v>
      </c>
    </row>
    <row r="111" spans="1:6" ht="12" customHeight="1">
      <c r="A111" s="12" t="s">
        <v>74</v>
      </c>
      <c r="B111" s="303" t="s">
        <v>291</v>
      </c>
      <c r="C111" s="174">
        <v>36155</v>
      </c>
      <c r="D111" s="421">
        <v>36155</v>
      </c>
      <c r="E111" s="174">
        <v>36155</v>
      </c>
      <c r="F111" s="205">
        <v>4013</v>
      </c>
    </row>
    <row r="112" spans="1:6" ht="12" customHeight="1">
      <c r="A112" s="12" t="s">
        <v>75</v>
      </c>
      <c r="B112" s="303" t="s">
        <v>115</v>
      </c>
      <c r="C112" s="173">
        <v>186125</v>
      </c>
      <c r="D112" s="281">
        <v>11753</v>
      </c>
      <c r="E112" s="173">
        <v>197878</v>
      </c>
      <c r="F112" s="207">
        <v>117959</v>
      </c>
    </row>
    <row r="113" spans="1:6" ht="12" customHeight="1">
      <c r="A113" s="12" t="s">
        <v>76</v>
      </c>
      <c r="B113" s="303" t="s">
        <v>292</v>
      </c>
      <c r="C113" s="173">
        <v>25005</v>
      </c>
      <c r="D113" s="207">
        <v>11753</v>
      </c>
      <c r="E113" s="207">
        <v>36758</v>
      </c>
      <c r="F113" s="207">
        <v>115914</v>
      </c>
    </row>
    <row r="114" spans="1:6" ht="12" customHeight="1">
      <c r="A114" s="12" t="s">
        <v>77</v>
      </c>
      <c r="B114" s="305" t="s">
        <v>136</v>
      </c>
      <c r="C114" s="173">
        <v>1786</v>
      </c>
      <c r="D114" s="281">
        <v>80</v>
      </c>
      <c r="E114" s="173">
        <v>1866</v>
      </c>
      <c r="F114" s="207">
        <v>80</v>
      </c>
    </row>
    <row r="115" spans="1:6" ht="12" customHeight="1">
      <c r="A115" s="12" t="s">
        <v>83</v>
      </c>
      <c r="B115" s="306" t="s">
        <v>384</v>
      </c>
      <c r="C115" s="173"/>
      <c r="D115" s="281"/>
      <c r="E115" s="173"/>
      <c r="F115" s="207"/>
    </row>
    <row r="116" spans="1:6" ht="15">
      <c r="A116" s="12" t="s">
        <v>85</v>
      </c>
      <c r="B116" s="296" t="s">
        <v>293</v>
      </c>
      <c r="C116" s="173"/>
      <c r="D116" s="281"/>
      <c r="E116" s="173"/>
      <c r="F116" s="207"/>
    </row>
    <row r="117" spans="1:6" ht="12" customHeight="1">
      <c r="A117" s="12" t="s">
        <v>116</v>
      </c>
      <c r="B117" s="299" t="s">
        <v>281</v>
      </c>
      <c r="C117" s="173"/>
      <c r="D117" s="281"/>
      <c r="E117" s="173"/>
      <c r="F117" s="207"/>
    </row>
    <row r="118" spans="1:6" ht="12" customHeight="1">
      <c r="A118" s="12" t="s">
        <v>117</v>
      </c>
      <c r="B118" s="299" t="s">
        <v>294</v>
      </c>
      <c r="C118" s="173"/>
      <c r="D118" s="281"/>
      <c r="E118" s="173"/>
      <c r="F118" s="207"/>
    </row>
    <row r="119" spans="1:6" ht="12" customHeight="1">
      <c r="A119" s="12" t="s">
        <v>118</v>
      </c>
      <c r="B119" s="299" t="s">
        <v>295</v>
      </c>
      <c r="C119" s="173"/>
      <c r="D119" s="281"/>
      <c r="E119" s="173"/>
      <c r="F119" s="207"/>
    </row>
    <row r="120" spans="1:6" ht="12" customHeight="1">
      <c r="A120" s="12" t="s">
        <v>296</v>
      </c>
      <c r="B120" s="299" t="s">
        <v>284</v>
      </c>
      <c r="C120" s="173"/>
      <c r="D120" s="281">
        <v>80</v>
      </c>
      <c r="E120" s="173">
        <v>80</v>
      </c>
      <c r="F120" s="207">
        <v>80</v>
      </c>
    </row>
    <row r="121" spans="1:6" ht="12" customHeight="1">
      <c r="A121" s="12" t="s">
        <v>297</v>
      </c>
      <c r="B121" s="299" t="s">
        <v>298</v>
      </c>
      <c r="C121" s="173"/>
      <c r="D121" s="281"/>
      <c r="E121" s="173"/>
      <c r="F121" s="207"/>
    </row>
    <row r="122" spans="1:6" ht="12" customHeight="1" thickBot="1">
      <c r="A122" s="10" t="s">
        <v>299</v>
      </c>
      <c r="B122" s="299" t="s">
        <v>300</v>
      </c>
      <c r="C122" s="175">
        <v>1786</v>
      </c>
      <c r="D122" s="282"/>
      <c r="E122" s="175">
        <v>1786</v>
      </c>
      <c r="F122" s="211"/>
    </row>
    <row r="123" spans="1:6" ht="12" customHeight="1" thickBot="1">
      <c r="A123" s="17" t="s">
        <v>7</v>
      </c>
      <c r="B123" s="55" t="s">
        <v>301</v>
      </c>
      <c r="C123" s="172">
        <f>+C124+C125</f>
        <v>173053</v>
      </c>
      <c r="D123" s="172">
        <f>+D124+D125</f>
        <v>84520</v>
      </c>
      <c r="E123" s="172">
        <f>+E124+E125</f>
        <v>257573</v>
      </c>
      <c r="F123" s="203">
        <f>+F124+F125</f>
        <v>0</v>
      </c>
    </row>
    <row r="124" spans="1:6" ht="12" customHeight="1">
      <c r="A124" s="12" t="s">
        <v>56</v>
      </c>
      <c r="B124" s="296" t="s">
        <v>43</v>
      </c>
      <c r="C124" s="174">
        <v>37221</v>
      </c>
      <c r="D124" s="421">
        <f>86753-1733-500</f>
        <v>84520</v>
      </c>
      <c r="E124" s="174">
        <f>122241-500</f>
        <v>121741</v>
      </c>
      <c r="F124" s="205"/>
    </row>
    <row r="125" spans="1:6" ht="12" customHeight="1" thickBot="1">
      <c r="A125" s="13" t="s">
        <v>57</v>
      </c>
      <c r="B125" s="303" t="s">
        <v>44</v>
      </c>
      <c r="C125" s="175">
        <v>135832</v>
      </c>
      <c r="D125" s="282"/>
      <c r="E125" s="175">
        <v>135832</v>
      </c>
      <c r="F125" s="211"/>
    </row>
    <row r="126" spans="1:6" ht="12" customHeight="1" thickBot="1">
      <c r="A126" s="17" t="s">
        <v>8</v>
      </c>
      <c r="B126" s="55" t="s">
        <v>302</v>
      </c>
      <c r="C126" s="172">
        <f>+C93+C109+C123</f>
        <v>897989</v>
      </c>
      <c r="D126" s="172">
        <f>+D93+D109+D123</f>
        <v>164777</v>
      </c>
      <c r="E126" s="172">
        <f>+E93+E109+E123</f>
        <v>1062766</v>
      </c>
      <c r="F126" s="203">
        <f>+F93+F109+F123</f>
        <v>378017</v>
      </c>
    </row>
    <row r="127" spans="1:6" ht="12" customHeight="1" thickBot="1">
      <c r="A127" s="17" t="s">
        <v>9</v>
      </c>
      <c r="B127" s="55" t="s">
        <v>303</v>
      </c>
      <c r="C127" s="172">
        <f>+C128+C129+C130</f>
        <v>0</v>
      </c>
      <c r="D127" s="422"/>
      <c r="E127" s="172">
        <f>+E128+E129+E130</f>
        <v>0</v>
      </c>
      <c r="F127" s="203">
        <f>+F128+F129+F130</f>
        <v>0</v>
      </c>
    </row>
    <row r="128" spans="1:6" ht="12" customHeight="1">
      <c r="A128" s="12" t="s">
        <v>60</v>
      </c>
      <c r="B128" s="296" t="s">
        <v>371</v>
      </c>
      <c r="C128" s="173"/>
      <c r="D128" s="281"/>
      <c r="E128" s="173"/>
      <c r="F128" s="207"/>
    </row>
    <row r="129" spans="1:6" ht="12" customHeight="1">
      <c r="A129" s="12" t="s">
        <v>61</v>
      </c>
      <c r="B129" s="296" t="s">
        <v>372</v>
      </c>
      <c r="C129" s="173"/>
      <c r="D129" s="281"/>
      <c r="E129" s="173"/>
      <c r="F129" s="207"/>
    </row>
    <row r="130" spans="1:6" ht="12" customHeight="1" thickBot="1">
      <c r="A130" s="10" t="s">
        <v>62</v>
      </c>
      <c r="B130" s="307" t="s">
        <v>373</v>
      </c>
      <c r="C130" s="173"/>
      <c r="D130" s="281"/>
      <c r="E130" s="173"/>
      <c r="F130" s="207"/>
    </row>
    <row r="131" spans="1:6" ht="12" customHeight="1" thickBot="1">
      <c r="A131" s="17" t="s">
        <v>10</v>
      </c>
      <c r="B131" s="55" t="s">
        <v>307</v>
      </c>
      <c r="C131" s="172">
        <f>+C132+C133+C134+C135</f>
        <v>0</v>
      </c>
      <c r="D131" s="172">
        <f>+D132+D133+D134+D135</f>
        <v>29</v>
      </c>
      <c r="E131" s="172">
        <f>+E132+E133+E134+E135</f>
        <v>29</v>
      </c>
      <c r="F131" s="203">
        <f>+F132+F133+F134+F135</f>
        <v>29</v>
      </c>
    </row>
    <row r="132" spans="1:6" ht="12" customHeight="1">
      <c r="A132" s="12" t="s">
        <v>63</v>
      </c>
      <c r="B132" s="296" t="s">
        <v>374</v>
      </c>
      <c r="C132" s="173"/>
      <c r="D132" s="281"/>
      <c r="E132" s="173"/>
      <c r="F132" s="207"/>
    </row>
    <row r="133" spans="1:6" ht="12" customHeight="1">
      <c r="A133" s="12" t="s">
        <v>64</v>
      </c>
      <c r="B133" s="296" t="s">
        <v>375</v>
      </c>
      <c r="C133" s="173"/>
      <c r="D133" s="281"/>
      <c r="E133" s="173"/>
      <c r="F133" s="207"/>
    </row>
    <row r="134" spans="1:6" ht="12" customHeight="1">
      <c r="A134" s="12" t="s">
        <v>211</v>
      </c>
      <c r="B134" s="296" t="s">
        <v>376</v>
      </c>
      <c r="C134" s="173"/>
      <c r="D134" s="281">
        <v>29</v>
      </c>
      <c r="E134" s="173">
        <v>29</v>
      </c>
      <c r="F134" s="207">
        <v>29</v>
      </c>
    </row>
    <row r="135" spans="1:6" ht="12" customHeight="1" thickBot="1">
      <c r="A135" s="10" t="s">
        <v>213</v>
      </c>
      <c r="B135" s="307" t="s">
        <v>377</v>
      </c>
      <c r="C135" s="173"/>
      <c r="D135" s="281"/>
      <c r="E135" s="173"/>
      <c r="F135" s="207"/>
    </row>
    <row r="136" spans="1:6" ht="12" customHeight="1" thickBot="1">
      <c r="A136" s="17" t="s">
        <v>11</v>
      </c>
      <c r="B136" s="55" t="s">
        <v>312</v>
      </c>
      <c r="C136" s="181">
        <f>+C137+C138+C139+C140</f>
        <v>0</v>
      </c>
      <c r="D136" s="423"/>
      <c r="E136" s="181">
        <f>+E137+E138+E139+E140</f>
        <v>0</v>
      </c>
      <c r="F136" s="212">
        <f>+F137+F138+F139+F140</f>
        <v>0</v>
      </c>
    </row>
    <row r="137" spans="1:6" ht="12" customHeight="1">
      <c r="A137" s="12" t="s">
        <v>65</v>
      </c>
      <c r="B137" s="296" t="s">
        <v>313</v>
      </c>
      <c r="C137" s="173"/>
      <c r="D137" s="281"/>
      <c r="E137" s="173"/>
      <c r="F137" s="207"/>
    </row>
    <row r="138" spans="1:6" ht="12" customHeight="1">
      <c r="A138" s="12" t="s">
        <v>66</v>
      </c>
      <c r="B138" s="296" t="s">
        <v>314</v>
      </c>
      <c r="C138" s="173"/>
      <c r="D138" s="281"/>
      <c r="E138" s="173"/>
      <c r="F138" s="207"/>
    </row>
    <row r="139" spans="1:6" ht="12" customHeight="1">
      <c r="A139" s="12" t="s">
        <v>220</v>
      </c>
      <c r="B139" s="296" t="s">
        <v>378</v>
      </c>
      <c r="C139" s="173"/>
      <c r="D139" s="281"/>
      <c r="E139" s="173"/>
      <c r="F139" s="207"/>
    </row>
    <row r="140" spans="1:6" ht="12" customHeight="1" thickBot="1">
      <c r="A140" s="10" t="s">
        <v>222</v>
      </c>
      <c r="B140" s="307" t="s">
        <v>358</v>
      </c>
      <c r="C140" s="173"/>
      <c r="D140" s="281"/>
      <c r="E140" s="173"/>
      <c r="F140" s="207"/>
    </row>
    <row r="141" spans="1:6" ht="12" customHeight="1" thickBot="1">
      <c r="A141" s="17" t="s">
        <v>12</v>
      </c>
      <c r="B141" s="55" t="s">
        <v>317</v>
      </c>
      <c r="C141" s="291">
        <f>+C142+C143+C144+C145</f>
        <v>0</v>
      </c>
      <c r="D141" s="424"/>
      <c r="E141" s="291">
        <f>+E142+E143+E144+E145</f>
        <v>0</v>
      </c>
      <c r="F141" s="287">
        <f>+F142+F143+F144+F145</f>
        <v>0</v>
      </c>
    </row>
    <row r="142" spans="1:6" ht="12" customHeight="1">
      <c r="A142" s="12" t="s">
        <v>109</v>
      </c>
      <c r="B142" s="296" t="s">
        <v>318</v>
      </c>
      <c r="C142" s="173"/>
      <c r="D142" s="281"/>
      <c r="E142" s="173"/>
      <c r="F142" s="207"/>
    </row>
    <row r="143" spans="1:6" ht="12" customHeight="1">
      <c r="A143" s="12" t="s">
        <v>110</v>
      </c>
      <c r="B143" s="296" t="s">
        <v>319</v>
      </c>
      <c r="C143" s="173"/>
      <c r="D143" s="281"/>
      <c r="E143" s="173"/>
      <c r="F143" s="207"/>
    </row>
    <row r="144" spans="1:6" ht="12" customHeight="1">
      <c r="A144" s="12" t="s">
        <v>135</v>
      </c>
      <c r="B144" s="296" t="s">
        <v>320</v>
      </c>
      <c r="C144" s="173"/>
      <c r="D144" s="281"/>
      <c r="E144" s="173"/>
      <c r="F144" s="207"/>
    </row>
    <row r="145" spans="1:6" ht="12" customHeight="1" thickBot="1">
      <c r="A145" s="12" t="s">
        <v>228</v>
      </c>
      <c r="B145" s="296" t="s">
        <v>321</v>
      </c>
      <c r="C145" s="173"/>
      <c r="D145" s="281"/>
      <c r="E145" s="173"/>
      <c r="F145" s="207"/>
    </row>
    <row r="146" spans="1:6" ht="12" customHeight="1" thickBot="1">
      <c r="A146" s="17" t="s">
        <v>13</v>
      </c>
      <c r="B146" s="55" t="s">
        <v>322</v>
      </c>
      <c r="C146" s="292">
        <f>+C127+C131+C136+C141</f>
        <v>0</v>
      </c>
      <c r="D146" s="292">
        <f>+D127+D131+D136+D141</f>
        <v>29</v>
      </c>
      <c r="E146" s="292">
        <f>+E127+E131+E136+E141</f>
        <v>29</v>
      </c>
      <c r="F146" s="288">
        <f>+F127+F131+F136+F141</f>
        <v>29</v>
      </c>
    </row>
    <row r="147" spans="1:6" ht="12" customHeight="1" thickBot="1">
      <c r="A147" s="94" t="s">
        <v>14</v>
      </c>
      <c r="B147" s="297" t="s">
        <v>323</v>
      </c>
      <c r="C147" s="283">
        <f>+C126+C146</f>
        <v>897989</v>
      </c>
      <c r="D147" s="283">
        <f>+D126+D146</f>
        <v>164806</v>
      </c>
      <c r="E147" s="292">
        <f>+E126+E146</f>
        <v>1062795</v>
      </c>
      <c r="F147" s="288">
        <f>+F126+F146</f>
        <v>378046</v>
      </c>
    </row>
    <row r="148" spans="3:4" ht="12" customHeight="1">
      <c r="C148" s="156"/>
      <c r="D148" s="156"/>
    </row>
    <row r="149" spans="1:6" ht="18" customHeight="1">
      <c r="A149" s="437" t="s">
        <v>326</v>
      </c>
      <c r="B149" s="437"/>
      <c r="C149" s="437"/>
      <c r="D149" s="437"/>
      <c r="E149" s="437"/>
      <c r="F149" s="437"/>
    </row>
    <row r="150" spans="1:8" ht="12" customHeight="1" thickBot="1">
      <c r="A150" s="436" t="s">
        <v>92</v>
      </c>
      <c r="B150" s="436"/>
      <c r="C150" s="201"/>
      <c r="D150" s="201"/>
      <c r="E150" s="201"/>
      <c r="F150" s="105" t="s">
        <v>134</v>
      </c>
      <c r="G150" s="156"/>
      <c r="H150" s="156"/>
    </row>
    <row r="151" spans="1:8" ht="12" customHeight="1" thickBot="1">
      <c r="A151" s="17">
        <v>1</v>
      </c>
      <c r="B151" s="22" t="s">
        <v>327</v>
      </c>
      <c r="C151" s="236">
        <f>+C62-C126</f>
        <v>-371933</v>
      </c>
      <c r="D151" s="236"/>
      <c r="E151" s="236">
        <f>+E62-E126</f>
        <v>-371869</v>
      </c>
      <c r="F151" s="237">
        <f>+F62-F126</f>
        <v>9683</v>
      </c>
      <c r="G151" s="156"/>
      <c r="H151" s="156"/>
    </row>
    <row r="152" spans="1:8" ht="12" customHeight="1" thickBot="1">
      <c r="A152" s="17" t="s">
        <v>6</v>
      </c>
      <c r="B152" s="22" t="s">
        <v>328</v>
      </c>
      <c r="C152" s="236">
        <f>+C85-C146</f>
        <v>371933</v>
      </c>
      <c r="D152" s="236"/>
      <c r="E152" s="236">
        <f>+E85-E146</f>
        <v>371869</v>
      </c>
      <c r="F152" s="237">
        <f>+F85-F146</f>
        <v>377374</v>
      </c>
      <c r="G152" s="156"/>
      <c r="H152" s="156"/>
    </row>
    <row r="153" spans="3:7" ht="15" customHeight="1">
      <c r="C153" s="53"/>
      <c r="D153" s="53"/>
      <c r="E153" s="53"/>
      <c r="F153" s="53"/>
      <c r="G153" s="53"/>
    </row>
    <row r="154" s="1" customFormat="1" ht="12.75" customHeight="1"/>
    <row r="155" spans="3:4" ht="15">
      <c r="C155" s="156"/>
      <c r="D155" s="156"/>
    </row>
    <row r="156" spans="3:4" ht="15">
      <c r="C156" s="156"/>
      <c r="D156" s="156"/>
    </row>
    <row r="157" spans="3:4" ht="15">
      <c r="C157" s="156"/>
      <c r="D157" s="156"/>
    </row>
    <row r="158" spans="3:4" ht="16.5" customHeight="1">
      <c r="C158" s="156"/>
      <c r="D158" s="156"/>
    </row>
    <row r="159" spans="3:4" ht="15">
      <c r="C159" s="156"/>
      <c r="D159" s="156"/>
    </row>
    <row r="160" spans="3:4" ht="15">
      <c r="C160" s="156"/>
      <c r="D160" s="156"/>
    </row>
    <row r="161" spans="3:4" ht="15">
      <c r="C161" s="156"/>
      <c r="D161" s="156"/>
    </row>
    <row r="162" spans="3:4" ht="15">
      <c r="C162" s="156"/>
      <c r="D162" s="156"/>
    </row>
    <row r="163" spans="3:4" ht="15">
      <c r="C163" s="156"/>
      <c r="D163" s="156"/>
    </row>
    <row r="164" spans="7:8" s="156" customFormat="1" ht="15">
      <c r="G164" s="27"/>
      <c r="H164" s="27"/>
    </row>
    <row r="165" spans="7:8" s="156" customFormat="1" ht="15">
      <c r="G165" s="27"/>
      <c r="H165" s="27"/>
    </row>
    <row r="166" spans="7:8" s="156" customFormat="1" ht="15">
      <c r="G166" s="27"/>
      <c r="H166" s="27"/>
    </row>
    <row r="167" spans="7:8" s="156" customFormat="1" ht="15">
      <c r="G167" s="27"/>
      <c r="H167" s="27"/>
    </row>
    <row r="171" ht="15">
      <c r="B171" s="156">
        <v>4</v>
      </c>
    </row>
  </sheetData>
  <sheetProtection formatCells="0"/>
  <mergeCells count="12">
    <mergeCell ref="A89:B89"/>
    <mergeCell ref="A149:F149"/>
    <mergeCell ref="A150:B150"/>
    <mergeCell ref="A90:A91"/>
    <mergeCell ref="B90:B91"/>
    <mergeCell ref="C90:F90"/>
    <mergeCell ref="A1:F1"/>
    <mergeCell ref="A2:B2"/>
    <mergeCell ref="A3:A4"/>
    <mergeCell ref="B3:B4"/>
    <mergeCell ref="C3:F3"/>
    <mergeCell ref="A88:F88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Borsodnádasd Önkormányzat
2014. ÉVI KÖLTSÉGVETÉS
KÖTELEZŐ FELADATAINAK MÉRLEGE&amp;R&amp;"Times New Roman CE,Félkövér dőlt"&amp;11 1.2. melléklet az 1/2014.(II.7.) önkormányzati rendelethez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6"/>
  <sheetViews>
    <sheetView view="pageLayout" zoomScaleNormal="120" zoomScaleSheetLayoutView="130" workbookViewId="0" topLeftCell="B1">
      <selection activeCell="B6" sqref="B6"/>
    </sheetView>
  </sheetViews>
  <sheetFormatPr defaultColWidth="9.375" defaultRowHeight="12.75"/>
  <cols>
    <col min="1" max="1" width="9.00390625" style="156" customWidth="1"/>
    <col min="2" max="2" width="75.75390625" style="156" customWidth="1"/>
    <col min="3" max="4" width="15.50390625" style="157" customWidth="1"/>
    <col min="5" max="5" width="15.50390625" style="156" customWidth="1"/>
    <col min="6" max="6" width="15.50390625" style="156" hidden="1" customWidth="1"/>
    <col min="7" max="7" width="9.00390625" style="27" customWidth="1"/>
    <col min="8" max="16384" width="9.375" style="27" customWidth="1"/>
  </cols>
  <sheetData>
    <row r="1" spans="1:6" ht="15.75" customHeight="1">
      <c r="A1" s="438" t="s">
        <v>2</v>
      </c>
      <c r="B1" s="438"/>
      <c r="C1" s="438"/>
      <c r="D1" s="438"/>
      <c r="E1" s="438"/>
      <c r="F1" s="438"/>
    </row>
    <row r="2" spans="1:6" ht="15.75" customHeight="1" thickBot="1">
      <c r="A2" s="436" t="s">
        <v>90</v>
      </c>
      <c r="B2" s="436"/>
      <c r="E2" s="201"/>
      <c r="F2" s="105" t="s">
        <v>134</v>
      </c>
    </row>
    <row r="3" spans="1:6" ht="15.75" customHeight="1">
      <c r="A3" s="430" t="s">
        <v>55</v>
      </c>
      <c r="B3" s="432" t="s">
        <v>4</v>
      </c>
      <c r="C3" s="440" t="s">
        <v>324</v>
      </c>
      <c r="D3" s="440"/>
      <c r="E3" s="440"/>
      <c r="F3" s="441"/>
    </row>
    <row r="4" spans="1:6" ht="37.5" customHeight="1" thickBot="1">
      <c r="A4" s="431"/>
      <c r="B4" s="433"/>
      <c r="C4" s="164" t="s">
        <v>158</v>
      </c>
      <c r="D4" s="164" t="s">
        <v>471</v>
      </c>
      <c r="E4" s="164" t="s">
        <v>159</v>
      </c>
      <c r="F4" s="165" t="s">
        <v>325</v>
      </c>
    </row>
    <row r="5" spans="1:6" s="28" customFormat="1" ht="12" customHeight="1" thickBot="1">
      <c r="A5" s="24">
        <v>1</v>
      </c>
      <c r="B5" s="25">
        <v>2</v>
      </c>
      <c r="C5" s="25">
        <v>3</v>
      </c>
      <c r="D5" s="25"/>
      <c r="E5" s="25">
        <v>4</v>
      </c>
      <c r="F5" s="202">
        <v>5</v>
      </c>
    </row>
    <row r="6" spans="1:6" s="1" customFormat="1" ht="12" customHeight="1" thickBot="1">
      <c r="A6" s="17" t="s">
        <v>5</v>
      </c>
      <c r="B6" s="308" t="s">
        <v>161</v>
      </c>
      <c r="C6" s="172">
        <f>+C7+C8+C9+C10+C11+C12</f>
        <v>181263</v>
      </c>
      <c r="D6" s="172">
        <f>+D7+D8+D9+D10+D11+D12</f>
        <v>1849</v>
      </c>
      <c r="E6" s="172">
        <f>+E7+E8+E9+E10+E11+E12</f>
        <v>183112</v>
      </c>
      <c r="F6" s="203">
        <f>+F7+F8+F9+F10+F11+F12</f>
        <v>88615</v>
      </c>
    </row>
    <row r="7" spans="1:6" s="1" customFormat="1" ht="12" customHeight="1">
      <c r="A7" s="12" t="s">
        <v>67</v>
      </c>
      <c r="B7" s="309" t="s">
        <v>162</v>
      </c>
      <c r="C7" s="174">
        <v>68975</v>
      </c>
      <c r="D7" s="174"/>
      <c r="E7" s="174">
        <v>68975</v>
      </c>
      <c r="F7" s="205">
        <v>35867</v>
      </c>
    </row>
    <row r="8" spans="1:6" s="1" customFormat="1" ht="12" customHeight="1">
      <c r="A8" s="11" t="s">
        <v>68</v>
      </c>
      <c r="B8" s="306" t="s">
        <v>163</v>
      </c>
      <c r="C8" s="173"/>
      <c r="D8" s="173"/>
      <c r="E8" s="173"/>
      <c r="F8" s="207"/>
    </row>
    <row r="9" spans="1:6" s="1" customFormat="1" ht="12" customHeight="1">
      <c r="A9" s="11" t="s">
        <v>69</v>
      </c>
      <c r="B9" s="306" t="s">
        <v>164</v>
      </c>
      <c r="C9" s="173">
        <v>24143</v>
      </c>
      <c r="D9" s="173"/>
      <c r="E9" s="173">
        <v>24143</v>
      </c>
      <c r="F9" s="207">
        <v>12555</v>
      </c>
    </row>
    <row r="10" spans="1:6" s="1" customFormat="1" ht="12" customHeight="1">
      <c r="A10" s="11" t="s">
        <v>70</v>
      </c>
      <c r="B10" s="306" t="s">
        <v>445</v>
      </c>
      <c r="C10" s="173">
        <v>75235</v>
      </c>
      <c r="D10" s="173">
        <v>14759</v>
      </c>
      <c r="E10" s="173">
        <f>75235+40194-25435</f>
        <v>89994</v>
      </c>
      <c r="F10" s="207">
        <v>40193</v>
      </c>
    </row>
    <row r="11" spans="1:6" s="1" customFormat="1" ht="12" customHeight="1">
      <c r="A11" s="11" t="s">
        <v>87</v>
      </c>
      <c r="B11" s="306" t="s">
        <v>166</v>
      </c>
      <c r="C11" s="208"/>
      <c r="D11" s="208"/>
      <c r="E11" s="208"/>
      <c r="F11" s="293"/>
    </row>
    <row r="12" spans="1:6" s="1" customFormat="1" ht="12" customHeight="1" thickBot="1">
      <c r="A12" s="13" t="s">
        <v>71</v>
      </c>
      <c r="B12" s="305" t="s">
        <v>167</v>
      </c>
      <c r="C12" s="210">
        <v>12910</v>
      </c>
      <c r="D12" s="210">
        <v>-12910</v>
      </c>
      <c r="E12" s="210"/>
      <c r="F12" s="294"/>
    </row>
    <row r="13" spans="1:6" s="1" customFormat="1" ht="12" customHeight="1" thickBot="1">
      <c r="A13" s="17" t="s">
        <v>6</v>
      </c>
      <c r="B13" s="310" t="s">
        <v>168</v>
      </c>
      <c r="C13" s="172">
        <f>+C14+C15+C16+C17+C18</f>
        <v>0</v>
      </c>
      <c r="D13" s="172">
        <f>+D14+D15+D16+D17+D18</f>
        <v>1713</v>
      </c>
      <c r="E13" s="172">
        <f>+E14+E15+E16+E17+E18</f>
        <v>1713</v>
      </c>
      <c r="F13" s="203">
        <f>+F14+F15+F16+F17+F18</f>
        <v>1713</v>
      </c>
    </row>
    <row r="14" spans="1:6" s="1" customFormat="1" ht="12" customHeight="1">
      <c r="A14" s="12" t="s">
        <v>73</v>
      </c>
      <c r="B14" s="309" t="s">
        <v>169</v>
      </c>
      <c r="C14" s="174"/>
      <c r="D14" s="174"/>
      <c r="E14" s="174"/>
      <c r="F14" s="205"/>
    </row>
    <row r="15" spans="1:6" s="1" customFormat="1" ht="12" customHeight="1">
      <c r="A15" s="11" t="s">
        <v>74</v>
      </c>
      <c r="B15" s="306" t="s">
        <v>170</v>
      </c>
      <c r="C15" s="173"/>
      <c r="D15" s="173"/>
      <c r="E15" s="173"/>
      <c r="F15" s="207"/>
    </row>
    <row r="16" spans="1:6" s="1" customFormat="1" ht="12" customHeight="1">
      <c r="A16" s="11" t="s">
        <v>75</v>
      </c>
      <c r="B16" s="306" t="s">
        <v>380</v>
      </c>
      <c r="C16" s="173"/>
      <c r="D16" s="173"/>
      <c r="E16" s="173"/>
      <c r="F16" s="207"/>
    </row>
    <row r="17" spans="1:6" s="1" customFormat="1" ht="12" customHeight="1">
      <c r="A17" s="11" t="s">
        <v>76</v>
      </c>
      <c r="B17" s="306" t="s">
        <v>381</v>
      </c>
      <c r="C17" s="173"/>
      <c r="D17" s="173"/>
      <c r="E17" s="173"/>
      <c r="F17" s="207"/>
    </row>
    <row r="18" spans="1:6" s="1" customFormat="1" ht="12" customHeight="1">
      <c r="A18" s="11" t="s">
        <v>77</v>
      </c>
      <c r="B18" s="306" t="s">
        <v>173</v>
      </c>
      <c r="C18" s="173"/>
      <c r="D18" s="173">
        <v>1713</v>
      </c>
      <c r="E18" s="173">
        <v>1713</v>
      </c>
      <c r="F18" s="207">
        <v>1713</v>
      </c>
    </row>
    <row r="19" spans="1:6" s="1" customFormat="1" ht="12" customHeight="1" thickBot="1">
      <c r="A19" s="13" t="s">
        <v>83</v>
      </c>
      <c r="B19" s="305" t="s">
        <v>174</v>
      </c>
      <c r="C19" s="175"/>
      <c r="D19" s="175"/>
      <c r="E19" s="175"/>
      <c r="F19" s="211"/>
    </row>
    <row r="20" spans="1:6" s="1" customFormat="1" ht="12" customHeight="1" thickBot="1">
      <c r="A20" s="17" t="s">
        <v>7</v>
      </c>
      <c r="B20" s="308" t="s">
        <v>175</v>
      </c>
      <c r="C20" s="172">
        <f>+C21+C22+C23+C24+C25</f>
        <v>0</v>
      </c>
      <c r="D20" s="172"/>
      <c r="E20" s="172">
        <f>+E21+E22+E23+E24+E25</f>
        <v>0</v>
      </c>
      <c r="F20" s="203">
        <f>+F21+F22+F23+F24+F25</f>
        <v>0</v>
      </c>
    </row>
    <row r="21" spans="1:6" s="1" customFormat="1" ht="12" customHeight="1">
      <c r="A21" s="12" t="s">
        <v>56</v>
      </c>
      <c r="B21" s="309" t="s">
        <v>176</v>
      </c>
      <c r="C21" s="174"/>
      <c r="D21" s="174"/>
      <c r="E21" s="174"/>
      <c r="F21" s="205"/>
    </row>
    <row r="22" spans="1:6" s="1" customFormat="1" ht="12" customHeight="1">
      <c r="A22" s="11" t="s">
        <v>57</v>
      </c>
      <c r="B22" s="306" t="s">
        <v>177</v>
      </c>
      <c r="C22" s="173"/>
      <c r="D22" s="173"/>
      <c r="E22" s="173"/>
      <c r="F22" s="207"/>
    </row>
    <row r="23" spans="1:6" s="1" customFormat="1" ht="12" customHeight="1">
      <c r="A23" s="11" t="s">
        <v>58</v>
      </c>
      <c r="B23" s="306" t="s">
        <v>382</v>
      </c>
      <c r="C23" s="173"/>
      <c r="D23" s="173"/>
      <c r="E23" s="173"/>
      <c r="F23" s="207"/>
    </row>
    <row r="24" spans="1:6" s="1" customFormat="1" ht="12" customHeight="1">
      <c r="A24" s="11" t="s">
        <v>59</v>
      </c>
      <c r="B24" s="306" t="s">
        <v>383</v>
      </c>
      <c r="C24" s="173"/>
      <c r="D24" s="173"/>
      <c r="E24" s="173"/>
      <c r="F24" s="207"/>
    </row>
    <row r="25" spans="1:6" s="1" customFormat="1" ht="12" customHeight="1">
      <c r="A25" s="11" t="s">
        <v>99</v>
      </c>
      <c r="B25" s="306" t="s">
        <v>180</v>
      </c>
      <c r="C25" s="173"/>
      <c r="D25" s="173"/>
      <c r="E25" s="173"/>
      <c r="F25" s="207"/>
    </row>
    <row r="26" spans="1:6" s="1" customFormat="1" ht="12" customHeight="1" thickBot="1">
      <c r="A26" s="13" t="s">
        <v>100</v>
      </c>
      <c r="B26" s="305" t="s">
        <v>181</v>
      </c>
      <c r="C26" s="175"/>
      <c r="D26" s="175"/>
      <c r="E26" s="175"/>
      <c r="F26" s="211"/>
    </row>
    <row r="27" spans="1:6" s="1" customFormat="1" ht="12" customHeight="1" thickBot="1">
      <c r="A27" s="17" t="s">
        <v>101</v>
      </c>
      <c r="B27" s="308" t="s">
        <v>182</v>
      </c>
      <c r="C27" s="181">
        <f>+C28+C31+C32+C33</f>
        <v>0</v>
      </c>
      <c r="D27" s="181"/>
      <c r="E27" s="181">
        <f>+E28+E31+E32+E33</f>
        <v>0</v>
      </c>
      <c r="F27" s="212">
        <f>+F28+F31+F32+F33</f>
        <v>0</v>
      </c>
    </row>
    <row r="28" spans="1:6" s="1" customFormat="1" ht="12" customHeight="1">
      <c r="A28" s="12" t="s">
        <v>183</v>
      </c>
      <c r="B28" s="309" t="s">
        <v>184</v>
      </c>
      <c r="C28" s="213">
        <f>+C29+C30</f>
        <v>0</v>
      </c>
      <c r="D28" s="213"/>
      <c r="E28" s="213">
        <f>+E29+E30</f>
        <v>0</v>
      </c>
      <c r="F28" s="214">
        <f>+F29+F30</f>
        <v>0</v>
      </c>
    </row>
    <row r="29" spans="1:6" s="1" customFormat="1" ht="12" customHeight="1">
      <c r="A29" s="11" t="s">
        <v>185</v>
      </c>
      <c r="B29" s="306" t="s">
        <v>186</v>
      </c>
      <c r="C29" s="173"/>
      <c r="D29" s="173"/>
      <c r="E29" s="173"/>
      <c r="F29" s="207"/>
    </row>
    <row r="30" spans="1:6" s="1" customFormat="1" ht="12" customHeight="1">
      <c r="A30" s="11" t="s">
        <v>187</v>
      </c>
      <c r="B30" s="306" t="s">
        <v>188</v>
      </c>
      <c r="C30" s="173"/>
      <c r="D30" s="173"/>
      <c r="E30" s="173"/>
      <c r="F30" s="207"/>
    </row>
    <row r="31" spans="1:6" s="1" customFormat="1" ht="12" customHeight="1">
      <c r="A31" s="11" t="s">
        <v>189</v>
      </c>
      <c r="B31" s="306" t="s">
        <v>190</v>
      </c>
      <c r="C31" s="173"/>
      <c r="D31" s="173"/>
      <c r="E31" s="173"/>
      <c r="F31" s="207"/>
    </row>
    <row r="32" spans="1:6" s="1" customFormat="1" ht="12" customHeight="1">
      <c r="A32" s="11" t="s">
        <v>191</v>
      </c>
      <c r="B32" s="306" t="s">
        <v>192</v>
      </c>
      <c r="C32" s="173"/>
      <c r="D32" s="173"/>
      <c r="E32" s="173"/>
      <c r="F32" s="207"/>
    </row>
    <row r="33" spans="1:6" s="1" customFormat="1" ht="12" customHeight="1" thickBot="1">
      <c r="A33" s="13" t="s">
        <v>193</v>
      </c>
      <c r="B33" s="305" t="s">
        <v>194</v>
      </c>
      <c r="C33" s="175"/>
      <c r="D33" s="175"/>
      <c r="E33" s="175"/>
      <c r="F33" s="211"/>
    </row>
    <row r="34" spans="1:6" s="1" customFormat="1" ht="12" customHeight="1" thickBot="1">
      <c r="A34" s="17" t="s">
        <v>9</v>
      </c>
      <c r="B34" s="308" t="s">
        <v>195</v>
      </c>
      <c r="C34" s="172">
        <f>SUM(C35:C44)</f>
        <v>0</v>
      </c>
      <c r="D34" s="172">
        <f>SUM(D35:D44)</f>
        <v>62</v>
      </c>
      <c r="E34" s="172">
        <f>SUM(E35:E44)</f>
        <v>62</v>
      </c>
      <c r="F34" s="203">
        <f>SUM(F35:F44)</f>
        <v>46</v>
      </c>
    </row>
    <row r="35" spans="1:6" s="1" customFormat="1" ht="12" customHeight="1">
      <c r="A35" s="12" t="s">
        <v>60</v>
      </c>
      <c r="B35" s="309" t="s">
        <v>196</v>
      </c>
      <c r="C35" s="174"/>
      <c r="D35" s="174"/>
      <c r="E35" s="174"/>
      <c r="F35" s="205"/>
    </row>
    <row r="36" spans="1:6" s="1" customFormat="1" ht="12" customHeight="1">
      <c r="A36" s="11" t="s">
        <v>61</v>
      </c>
      <c r="B36" s="306" t="s">
        <v>197</v>
      </c>
      <c r="C36" s="173"/>
      <c r="D36" s="173">
        <v>52</v>
      </c>
      <c r="E36" s="173">
        <v>52</v>
      </c>
      <c r="F36" s="207">
        <v>36</v>
      </c>
    </row>
    <row r="37" spans="1:6" s="1" customFormat="1" ht="12" customHeight="1">
      <c r="A37" s="11" t="s">
        <v>62</v>
      </c>
      <c r="B37" s="306" t="s">
        <v>198</v>
      </c>
      <c r="C37" s="173"/>
      <c r="D37" s="173"/>
      <c r="E37" s="173"/>
      <c r="F37" s="207"/>
    </row>
    <row r="38" spans="1:6" s="1" customFormat="1" ht="12" customHeight="1">
      <c r="A38" s="11" t="s">
        <v>103</v>
      </c>
      <c r="B38" s="306" t="s">
        <v>199</v>
      </c>
      <c r="C38" s="173"/>
      <c r="D38" s="173"/>
      <c r="E38" s="173"/>
      <c r="F38" s="207"/>
    </row>
    <row r="39" spans="1:6" s="1" customFormat="1" ht="12" customHeight="1">
      <c r="A39" s="11" t="s">
        <v>104</v>
      </c>
      <c r="B39" s="306" t="s">
        <v>200</v>
      </c>
      <c r="C39" s="173"/>
      <c r="D39" s="173"/>
      <c r="E39" s="173"/>
      <c r="F39" s="207"/>
    </row>
    <row r="40" spans="1:6" s="1" customFormat="1" ht="12" customHeight="1">
      <c r="A40" s="11" t="s">
        <v>105</v>
      </c>
      <c r="B40" s="306" t="s">
        <v>201</v>
      </c>
      <c r="C40" s="173"/>
      <c r="D40" s="173">
        <v>10</v>
      </c>
      <c r="E40" s="173">
        <v>10</v>
      </c>
      <c r="F40" s="207">
        <v>10</v>
      </c>
    </row>
    <row r="41" spans="1:6" s="1" customFormat="1" ht="12" customHeight="1">
      <c r="A41" s="11" t="s">
        <v>106</v>
      </c>
      <c r="B41" s="306" t="s">
        <v>202</v>
      </c>
      <c r="C41" s="173"/>
      <c r="D41" s="173"/>
      <c r="E41" s="173"/>
      <c r="F41" s="207"/>
    </row>
    <row r="42" spans="1:6" s="1" customFormat="1" ht="12" customHeight="1">
      <c r="A42" s="11" t="s">
        <v>107</v>
      </c>
      <c r="B42" s="306" t="s">
        <v>203</v>
      </c>
      <c r="C42" s="173"/>
      <c r="D42" s="173"/>
      <c r="E42" s="173"/>
      <c r="F42" s="207"/>
    </row>
    <row r="43" spans="1:6" s="1" customFormat="1" ht="12" customHeight="1">
      <c r="A43" s="11" t="s">
        <v>204</v>
      </c>
      <c r="B43" s="306" t="s">
        <v>205</v>
      </c>
      <c r="C43" s="176"/>
      <c r="D43" s="176"/>
      <c r="E43" s="176"/>
      <c r="F43" s="215"/>
    </row>
    <row r="44" spans="1:6" s="1" customFormat="1" ht="12" customHeight="1" thickBot="1">
      <c r="A44" s="13" t="s">
        <v>206</v>
      </c>
      <c r="B44" s="305" t="s">
        <v>207</v>
      </c>
      <c r="C44" s="177"/>
      <c r="D44" s="177"/>
      <c r="E44" s="177"/>
      <c r="F44" s="216"/>
    </row>
    <row r="45" spans="1:6" s="1" customFormat="1" ht="12" customHeight="1" thickBot="1">
      <c r="A45" s="17" t="s">
        <v>10</v>
      </c>
      <c r="B45" s="308" t="s">
        <v>208</v>
      </c>
      <c r="C45" s="172">
        <f>SUM(C46:C50)</f>
        <v>0</v>
      </c>
      <c r="D45" s="172"/>
      <c r="E45" s="172">
        <f>SUM(E46:E50)</f>
        <v>0</v>
      </c>
      <c r="F45" s="203">
        <f>SUM(F46:F50)</f>
        <v>0</v>
      </c>
    </row>
    <row r="46" spans="1:6" s="1" customFormat="1" ht="12" customHeight="1">
      <c r="A46" s="12" t="s">
        <v>63</v>
      </c>
      <c r="B46" s="309" t="s">
        <v>209</v>
      </c>
      <c r="C46" s="179"/>
      <c r="D46" s="179"/>
      <c r="E46" s="179"/>
      <c r="F46" s="217"/>
    </row>
    <row r="47" spans="1:6" s="1" customFormat="1" ht="12" customHeight="1">
      <c r="A47" s="11" t="s">
        <v>64</v>
      </c>
      <c r="B47" s="306" t="s">
        <v>210</v>
      </c>
      <c r="C47" s="176"/>
      <c r="D47" s="176"/>
      <c r="E47" s="176"/>
      <c r="F47" s="215"/>
    </row>
    <row r="48" spans="1:6" s="1" customFormat="1" ht="12" customHeight="1">
      <c r="A48" s="11" t="s">
        <v>211</v>
      </c>
      <c r="B48" s="306" t="s">
        <v>212</v>
      </c>
      <c r="C48" s="176"/>
      <c r="D48" s="176"/>
      <c r="E48" s="176"/>
      <c r="F48" s="215"/>
    </row>
    <row r="49" spans="1:6" s="1" customFormat="1" ht="12" customHeight="1">
      <c r="A49" s="11" t="s">
        <v>213</v>
      </c>
      <c r="B49" s="306" t="s">
        <v>214</v>
      </c>
      <c r="C49" s="176"/>
      <c r="D49" s="176"/>
      <c r="E49" s="176"/>
      <c r="F49" s="215"/>
    </row>
    <row r="50" spans="1:6" s="1" customFormat="1" ht="12" customHeight="1" thickBot="1">
      <c r="A50" s="13" t="s">
        <v>215</v>
      </c>
      <c r="B50" s="305" t="s">
        <v>216</v>
      </c>
      <c r="C50" s="177"/>
      <c r="D50" s="177"/>
      <c r="E50" s="177"/>
      <c r="F50" s="216"/>
    </row>
    <row r="51" spans="1:6" s="1" customFormat="1" ht="12" customHeight="1" thickBot="1">
      <c r="A51" s="17" t="s">
        <v>108</v>
      </c>
      <c r="B51" s="308" t="s">
        <v>217</v>
      </c>
      <c r="C51" s="172">
        <f>SUM(C52:C54)</f>
        <v>0</v>
      </c>
      <c r="D51" s="172"/>
      <c r="E51" s="172">
        <f>SUM(E52:E54)</f>
        <v>0</v>
      </c>
      <c r="F51" s="203">
        <f>SUM(F52:F54)</f>
        <v>0</v>
      </c>
    </row>
    <row r="52" spans="1:6" s="1" customFormat="1" ht="12" customHeight="1">
      <c r="A52" s="12" t="s">
        <v>65</v>
      </c>
      <c r="B52" s="309" t="s">
        <v>218</v>
      </c>
      <c r="C52" s="174"/>
      <c r="D52" s="174"/>
      <c r="E52" s="174"/>
      <c r="F52" s="205"/>
    </row>
    <row r="53" spans="1:6" s="1" customFormat="1" ht="12" customHeight="1">
      <c r="A53" s="11" t="s">
        <v>66</v>
      </c>
      <c r="B53" s="306" t="s">
        <v>219</v>
      </c>
      <c r="C53" s="173"/>
      <c r="D53" s="173"/>
      <c r="E53" s="173"/>
      <c r="F53" s="207"/>
    </row>
    <row r="54" spans="1:6" s="1" customFormat="1" ht="12" customHeight="1">
      <c r="A54" s="11" t="s">
        <v>220</v>
      </c>
      <c r="B54" s="306" t="s">
        <v>221</v>
      </c>
      <c r="C54" s="173"/>
      <c r="D54" s="173"/>
      <c r="E54" s="173"/>
      <c r="F54" s="207"/>
    </row>
    <row r="55" spans="1:6" s="1" customFormat="1" ht="12" customHeight="1" thickBot="1">
      <c r="A55" s="13" t="s">
        <v>222</v>
      </c>
      <c r="B55" s="305" t="s">
        <v>223</v>
      </c>
      <c r="C55" s="175"/>
      <c r="D55" s="175"/>
      <c r="E55" s="175"/>
      <c r="F55" s="211"/>
    </row>
    <row r="56" spans="1:6" s="1" customFormat="1" ht="12" customHeight="1" thickBot="1">
      <c r="A56" s="17" t="s">
        <v>12</v>
      </c>
      <c r="B56" s="310" t="s">
        <v>224</v>
      </c>
      <c r="C56" s="172">
        <f>SUM(C57:C59)</f>
        <v>0</v>
      </c>
      <c r="D56" s="172"/>
      <c r="E56" s="172">
        <f>SUM(E57:E59)</f>
        <v>0</v>
      </c>
      <c r="F56" s="203">
        <f>SUM(F57:F59)</f>
        <v>0</v>
      </c>
    </row>
    <row r="57" spans="1:6" s="1" customFormat="1" ht="12" customHeight="1">
      <c r="A57" s="11" t="s">
        <v>109</v>
      </c>
      <c r="B57" s="309" t="s">
        <v>225</v>
      </c>
      <c r="C57" s="176"/>
      <c r="D57" s="176"/>
      <c r="E57" s="176"/>
      <c r="F57" s="215"/>
    </row>
    <row r="58" spans="1:6" s="1" customFormat="1" ht="12" customHeight="1">
      <c r="A58" s="11" t="s">
        <v>110</v>
      </c>
      <c r="B58" s="306" t="s">
        <v>226</v>
      </c>
      <c r="C58" s="176"/>
      <c r="D58" s="176"/>
      <c r="E58" s="176"/>
      <c r="F58" s="215"/>
    </row>
    <row r="59" spans="1:6" s="1" customFormat="1" ht="12" customHeight="1">
      <c r="A59" s="11" t="s">
        <v>135</v>
      </c>
      <c r="B59" s="306" t="s">
        <v>227</v>
      </c>
      <c r="C59" s="176"/>
      <c r="D59" s="176"/>
      <c r="E59" s="176"/>
      <c r="F59" s="215"/>
    </row>
    <row r="60" spans="1:6" s="1" customFormat="1" ht="12" customHeight="1" thickBot="1">
      <c r="A60" s="11" t="s">
        <v>228</v>
      </c>
      <c r="B60" s="305" t="s">
        <v>229</v>
      </c>
      <c r="C60" s="176"/>
      <c r="D60" s="176"/>
      <c r="E60" s="176"/>
      <c r="F60" s="215"/>
    </row>
    <row r="61" spans="1:6" s="1" customFormat="1" ht="12" customHeight="1" thickBot="1">
      <c r="A61" s="17" t="s">
        <v>13</v>
      </c>
      <c r="B61" s="308" t="s">
        <v>230</v>
      </c>
      <c r="C61" s="181">
        <f>+C6+C13+C20+C27+C34+C45+C51+C56</f>
        <v>181263</v>
      </c>
      <c r="D61" s="181">
        <f>+D6+D13+D20+D27+D34+D45+D51+D56</f>
        <v>3624</v>
      </c>
      <c r="E61" s="181">
        <f>+E6+E13+E20+E27+E34+E45+E51+E56</f>
        <v>184887</v>
      </c>
      <c r="F61" s="212">
        <f>+F6+F13+F20+F27+F34+F45+F51+F56</f>
        <v>90374</v>
      </c>
    </row>
    <row r="62" spans="1:6" s="1" customFormat="1" ht="12" customHeight="1" thickBot="1">
      <c r="A62" s="218" t="s">
        <v>231</v>
      </c>
      <c r="B62" s="310" t="s">
        <v>232</v>
      </c>
      <c r="C62" s="172">
        <f>SUM(C63:C65)</f>
        <v>0</v>
      </c>
      <c r="D62" s="172"/>
      <c r="E62" s="172">
        <f>SUM(E63:E65)</f>
        <v>0</v>
      </c>
      <c r="F62" s="203">
        <f>SUM(F63:F65)</f>
        <v>0</v>
      </c>
    </row>
    <row r="63" spans="1:6" s="1" customFormat="1" ht="12" customHeight="1">
      <c r="A63" s="11" t="s">
        <v>233</v>
      </c>
      <c r="B63" s="309" t="s">
        <v>234</v>
      </c>
      <c r="C63" s="176"/>
      <c r="D63" s="176"/>
      <c r="E63" s="176"/>
      <c r="F63" s="215"/>
    </row>
    <row r="64" spans="1:6" s="1" customFormat="1" ht="12" customHeight="1">
      <c r="A64" s="11" t="s">
        <v>235</v>
      </c>
      <c r="B64" s="306" t="s">
        <v>236</v>
      </c>
      <c r="C64" s="176"/>
      <c r="D64" s="176"/>
      <c r="E64" s="176"/>
      <c r="F64" s="215"/>
    </row>
    <row r="65" spans="1:6" s="1" customFormat="1" ht="12" customHeight="1" thickBot="1">
      <c r="A65" s="11" t="s">
        <v>237</v>
      </c>
      <c r="B65" s="295" t="s">
        <v>379</v>
      </c>
      <c r="C65" s="176"/>
      <c r="D65" s="176"/>
      <c r="E65" s="176"/>
      <c r="F65" s="215"/>
    </row>
    <row r="66" spans="1:6" s="1" customFormat="1" ht="12" customHeight="1" thickBot="1">
      <c r="A66" s="218" t="s">
        <v>239</v>
      </c>
      <c r="B66" s="310" t="s">
        <v>240</v>
      </c>
      <c r="C66" s="172">
        <f>SUM(C67:C70)</f>
        <v>0</v>
      </c>
      <c r="D66" s="172"/>
      <c r="E66" s="172">
        <f>SUM(E67:E70)</f>
        <v>0</v>
      </c>
      <c r="F66" s="203">
        <f>SUM(F67:F70)</f>
        <v>0</v>
      </c>
    </row>
    <row r="67" spans="1:6" s="1" customFormat="1" ht="12" customHeight="1">
      <c r="A67" s="11" t="s">
        <v>88</v>
      </c>
      <c r="B67" s="309" t="s">
        <v>241</v>
      </c>
      <c r="C67" s="176"/>
      <c r="D67" s="176"/>
      <c r="E67" s="176"/>
      <c r="F67" s="215"/>
    </row>
    <row r="68" spans="1:6" s="1" customFormat="1" ht="12" customHeight="1">
      <c r="A68" s="11" t="s">
        <v>89</v>
      </c>
      <c r="B68" s="306" t="s">
        <v>242</v>
      </c>
      <c r="C68" s="176"/>
      <c r="D68" s="176"/>
      <c r="E68" s="176"/>
      <c r="F68" s="215"/>
    </row>
    <row r="69" spans="1:6" s="1" customFormat="1" ht="12" customHeight="1">
      <c r="A69" s="11" t="s">
        <v>243</v>
      </c>
      <c r="B69" s="306" t="s">
        <v>244</v>
      </c>
      <c r="C69" s="176"/>
      <c r="D69" s="176"/>
      <c r="E69" s="176"/>
      <c r="F69" s="215"/>
    </row>
    <row r="70" spans="1:8" s="1" customFormat="1" ht="12" customHeight="1" thickBot="1">
      <c r="A70" s="11" t="s">
        <v>245</v>
      </c>
      <c r="B70" s="305" t="s">
        <v>246</v>
      </c>
      <c r="C70" s="176"/>
      <c r="D70" s="176"/>
      <c r="E70" s="176"/>
      <c r="F70" s="215"/>
      <c r="H70" s="29"/>
    </row>
    <row r="71" spans="1:6" s="1" customFormat="1" ht="12" customHeight="1" thickBot="1">
      <c r="A71" s="218" t="s">
        <v>247</v>
      </c>
      <c r="B71" s="310" t="s">
        <v>248</v>
      </c>
      <c r="C71" s="172">
        <f>SUM(C72:C73)</f>
        <v>577</v>
      </c>
      <c r="D71" s="172"/>
      <c r="E71" s="172">
        <f>SUM(E72:E73)</f>
        <v>577</v>
      </c>
      <c r="F71" s="203">
        <f>SUM(F72:F73)</f>
        <v>577</v>
      </c>
    </row>
    <row r="72" spans="1:6" s="1" customFormat="1" ht="12" customHeight="1">
      <c r="A72" s="11" t="s">
        <v>249</v>
      </c>
      <c r="B72" s="309" t="s">
        <v>250</v>
      </c>
      <c r="C72" s="176">
        <v>577</v>
      </c>
      <c r="D72" s="176"/>
      <c r="E72" s="176">
        <v>577</v>
      </c>
      <c r="F72" s="215">
        <v>577</v>
      </c>
    </row>
    <row r="73" spans="1:6" s="1" customFormat="1" ht="12" customHeight="1" thickBot="1">
      <c r="A73" s="11" t="s">
        <v>251</v>
      </c>
      <c r="B73" s="305" t="s">
        <v>252</v>
      </c>
      <c r="C73" s="176"/>
      <c r="D73" s="176"/>
      <c r="E73" s="176"/>
      <c r="F73" s="215"/>
    </row>
    <row r="74" spans="1:6" s="1" customFormat="1" ht="12" customHeight="1" thickBot="1">
      <c r="A74" s="218" t="s">
        <v>253</v>
      </c>
      <c r="B74" s="310" t="s">
        <v>254</v>
      </c>
      <c r="C74" s="172">
        <f>SUM(C75:C77)</f>
        <v>0</v>
      </c>
      <c r="D74" s="172"/>
      <c r="E74" s="172">
        <f>SUM(E75:E77)</f>
        <v>0</v>
      </c>
      <c r="F74" s="203">
        <f>SUM(F75:F77)</f>
        <v>0</v>
      </c>
    </row>
    <row r="75" spans="1:6" s="1" customFormat="1" ht="12" customHeight="1">
      <c r="A75" s="11" t="s">
        <v>255</v>
      </c>
      <c r="B75" s="309" t="s">
        <v>256</v>
      </c>
      <c r="C75" s="176"/>
      <c r="D75" s="176"/>
      <c r="E75" s="176"/>
      <c r="F75" s="215"/>
    </row>
    <row r="76" spans="1:6" s="1" customFormat="1" ht="12" customHeight="1">
      <c r="A76" s="11" t="s">
        <v>257</v>
      </c>
      <c r="B76" s="306" t="s">
        <v>258</v>
      </c>
      <c r="C76" s="176"/>
      <c r="D76" s="176"/>
      <c r="E76" s="176"/>
      <c r="F76" s="215"/>
    </row>
    <row r="77" spans="1:6" s="1" customFormat="1" ht="12" customHeight="1" thickBot="1">
      <c r="A77" s="11" t="s">
        <v>259</v>
      </c>
      <c r="B77" s="305" t="s">
        <v>260</v>
      </c>
      <c r="C77" s="176"/>
      <c r="D77" s="176"/>
      <c r="E77" s="176"/>
      <c r="F77" s="215"/>
    </row>
    <row r="78" spans="1:6" s="1" customFormat="1" ht="12" customHeight="1" thickBot="1">
      <c r="A78" s="218" t="s">
        <v>261</v>
      </c>
      <c r="B78" s="310" t="s">
        <v>262</v>
      </c>
      <c r="C78" s="172">
        <f>SUM(C79:C82)</f>
        <v>0</v>
      </c>
      <c r="D78" s="172"/>
      <c r="E78" s="172">
        <f>SUM(E79:E82)</f>
        <v>0</v>
      </c>
      <c r="F78" s="203">
        <f>SUM(F79:F82)</f>
        <v>0</v>
      </c>
    </row>
    <row r="79" spans="1:6" s="1" customFormat="1" ht="12" customHeight="1">
      <c r="A79" s="220" t="s">
        <v>263</v>
      </c>
      <c r="B79" s="309" t="s">
        <v>264</v>
      </c>
      <c r="C79" s="176"/>
      <c r="D79" s="176"/>
      <c r="E79" s="176"/>
      <c r="F79" s="215"/>
    </row>
    <row r="80" spans="1:6" s="1" customFormat="1" ht="12" customHeight="1">
      <c r="A80" s="221" t="s">
        <v>265</v>
      </c>
      <c r="B80" s="306" t="s">
        <v>266</v>
      </c>
      <c r="C80" s="176"/>
      <c r="D80" s="176"/>
      <c r="E80" s="176"/>
      <c r="F80" s="215"/>
    </row>
    <row r="81" spans="1:6" s="1" customFormat="1" ht="12" customHeight="1">
      <c r="A81" s="221" t="s">
        <v>267</v>
      </c>
      <c r="B81" s="306" t="s">
        <v>268</v>
      </c>
      <c r="C81" s="176"/>
      <c r="D81" s="176"/>
      <c r="E81" s="176"/>
      <c r="F81" s="215"/>
    </row>
    <row r="82" spans="1:6" s="1" customFormat="1" ht="12" customHeight="1" thickBot="1">
      <c r="A82" s="222" t="s">
        <v>269</v>
      </c>
      <c r="B82" s="305" t="s">
        <v>270</v>
      </c>
      <c r="C82" s="176"/>
      <c r="D82" s="176"/>
      <c r="E82" s="176"/>
      <c r="F82" s="215"/>
    </row>
    <row r="83" spans="1:6" s="1" customFormat="1" ht="12" customHeight="1" thickBot="1">
      <c r="A83" s="218" t="s">
        <v>271</v>
      </c>
      <c r="B83" s="310" t="s">
        <v>272</v>
      </c>
      <c r="C83" s="223"/>
      <c r="D83" s="223"/>
      <c r="E83" s="223"/>
      <c r="F83" s="224"/>
    </row>
    <row r="84" spans="1:6" s="1" customFormat="1" ht="12" customHeight="1" thickBot="1">
      <c r="A84" s="218" t="s">
        <v>273</v>
      </c>
      <c r="B84" s="272" t="s">
        <v>274</v>
      </c>
      <c r="C84" s="181">
        <f>+C62+C66+C71+C74+C78+C83</f>
        <v>577</v>
      </c>
      <c r="D84" s="181"/>
      <c r="E84" s="181">
        <f>+E62+E66+E71+E74+E78+E83</f>
        <v>577</v>
      </c>
      <c r="F84" s="212">
        <f>+F62+F66+F71+F74+F78+F83</f>
        <v>577</v>
      </c>
    </row>
    <row r="85" spans="1:6" s="1" customFormat="1" ht="12" customHeight="1" thickBot="1">
      <c r="A85" s="226" t="s">
        <v>275</v>
      </c>
      <c r="B85" s="273" t="s">
        <v>276</v>
      </c>
      <c r="C85" s="181">
        <f>+C61+C84</f>
        <v>181840</v>
      </c>
      <c r="D85" s="181">
        <f>+D61+D84</f>
        <v>3624</v>
      </c>
      <c r="E85" s="181">
        <f>+E61+E84</f>
        <v>185464</v>
      </c>
      <c r="F85" s="212">
        <f>+F61+F84</f>
        <v>90951</v>
      </c>
    </row>
    <row r="86" spans="1:6" s="1" customFormat="1" ht="12" customHeight="1">
      <c r="A86" s="228"/>
      <c r="B86" s="229">
        <v>5</v>
      </c>
      <c r="C86" s="230"/>
      <c r="D86" s="230"/>
      <c r="E86" s="231"/>
      <c r="F86" s="232"/>
    </row>
    <row r="87" spans="1:6" s="1" customFormat="1" ht="12" customHeight="1">
      <c r="A87" s="438" t="s">
        <v>33</v>
      </c>
      <c r="B87" s="438"/>
      <c r="C87" s="438"/>
      <c r="D87" s="438"/>
      <c r="E87" s="438"/>
      <c r="F87" s="438"/>
    </row>
    <row r="88" spans="1:6" s="1" customFormat="1" ht="12" customHeight="1" thickBot="1">
      <c r="A88" s="439" t="s">
        <v>91</v>
      </c>
      <c r="B88" s="439"/>
      <c r="C88" s="157"/>
      <c r="D88" s="157"/>
      <c r="E88" s="201"/>
      <c r="F88" s="105" t="s">
        <v>134</v>
      </c>
    </row>
    <row r="89" spans="1:6" s="1" customFormat="1" ht="12" customHeight="1">
      <c r="A89" s="430" t="s">
        <v>55</v>
      </c>
      <c r="B89" s="432" t="s">
        <v>387</v>
      </c>
      <c r="C89" s="440" t="s">
        <v>324</v>
      </c>
      <c r="D89" s="440"/>
      <c r="E89" s="440"/>
      <c r="F89" s="441"/>
    </row>
    <row r="90" spans="1:7" s="1" customFormat="1" ht="24" customHeight="1" thickBot="1">
      <c r="A90" s="431"/>
      <c r="B90" s="433"/>
      <c r="C90" s="164" t="s">
        <v>158</v>
      </c>
      <c r="D90" s="164" t="s">
        <v>471</v>
      </c>
      <c r="E90" s="164" t="s">
        <v>159</v>
      </c>
      <c r="F90" s="165" t="s">
        <v>325</v>
      </c>
      <c r="G90" s="233"/>
    </row>
    <row r="91" spans="1:7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5">
        <v>5</v>
      </c>
      <c r="F91" s="25">
        <v>6</v>
      </c>
      <c r="G91" s="233"/>
    </row>
    <row r="92" spans="1:7" s="1" customFormat="1" ht="15" customHeight="1" thickBot="1">
      <c r="A92" s="19" t="s">
        <v>5</v>
      </c>
      <c r="B92" s="23" t="s">
        <v>385</v>
      </c>
      <c r="C92" s="274">
        <f>SUM(C93:C97)</f>
        <v>181840</v>
      </c>
      <c r="D92" s="274">
        <f>SUM(D93:D97)</f>
        <v>3224</v>
      </c>
      <c r="E92" s="171">
        <f>+E93+E94+E95+E96+E97</f>
        <v>185064</v>
      </c>
      <c r="F92" s="284">
        <f>+F93+F94+F95+F96+F97</f>
        <v>79153</v>
      </c>
      <c r="G92" s="233"/>
    </row>
    <row r="93" spans="1:6" s="1" customFormat="1" ht="12.75" customHeight="1">
      <c r="A93" s="14" t="s">
        <v>67</v>
      </c>
      <c r="B93" s="298" t="s">
        <v>34</v>
      </c>
      <c r="C93" s="275">
        <v>48865</v>
      </c>
      <c r="D93" s="275">
        <v>1750</v>
      </c>
      <c r="E93" s="289">
        <v>50615</v>
      </c>
      <c r="F93" s="285">
        <v>21610</v>
      </c>
    </row>
    <row r="94" spans="1:6" ht="16.5" customHeight="1">
      <c r="A94" s="11" t="s">
        <v>68</v>
      </c>
      <c r="B94" s="299" t="s">
        <v>111</v>
      </c>
      <c r="C94" s="276">
        <v>13455</v>
      </c>
      <c r="D94" s="276">
        <v>1474</v>
      </c>
      <c r="E94" s="173">
        <v>14929</v>
      </c>
      <c r="F94" s="207">
        <v>6416</v>
      </c>
    </row>
    <row r="95" spans="1:6" ht="15">
      <c r="A95" s="11" t="s">
        <v>69</v>
      </c>
      <c r="B95" s="299" t="s">
        <v>86</v>
      </c>
      <c r="C95" s="277">
        <v>19470</v>
      </c>
      <c r="D95" s="277"/>
      <c r="E95" s="175">
        <v>19470</v>
      </c>
      <c r="F95" s="211">
        <v>8974</v>
      </c>
    </row>
    <row r="96" spans="1:6" s="28" customFormat="1" ht="12" customHeight="1">
      <c r="A96" s="11" t="s">
        <v>70</v>
      </c>
      <c r="B96" s="300" t="s">
        <v>112</v>
      </c>
      <c r="C96" s="277">
        <v>100050</v>
      </c>
      <c r="D96" s="277"/>
      <c r="E96" s="175">
        <v>100050</v>
      </c>
      <c r="F96" s="211">
        <v>42153</v>
      </c>
    </row>
    <row r="97" spans="1:6" ht="12" customHeight="1">
      <c r="A97" s="11" t="s">
        <v>78</v>
      </c>
      <c r="B97" s="301" t="s">
        <v>113</v>
      </c>
      <c r="C97" s="277"/>
      <c r="D97" s="277"/>
      <c r="E97" s="175"/>
      <c r="F97" s="211"/>
    </row>
    <row r="98" spans="1:6" ht="12" customHeight="1">
      <c r="A98" s="11" t="s">
        <v>71</v>
      </c>
      <c r="B98" s="299" t="s">
        <v>278</v>
      </c>
      <c r="C98" s="277"/>
      <c r="D98" s="277"/>
      <c r="E98" s="175"/>
      <c r="F98" s="211"/>
    </row>
    <row r="99" spans="1:6" ht="12" customHeight="1">
      <c r="A99" s="11" t="s">
        <v>72</v>
      </c>
      <c r="B99" s="302" t="s">
        <v>279</v>
      </c>
      <c r="C99" s="277"/>
      <c r="D99" s="277"/>
      <c r="E99" s="175"/>
      <c r="F99" s="211"/>
    </row>
    <row r="100" spans="1:6" ht="12" customHeight="1">
      <c r="A100" s="11" t="s">
        <v>79</v>
      </c>
      <c r="B100" s="299" t="s">
        <v>280</v>
      </c>
      <c r="C100" s="277"/>
      <c r="D100" s="277"/>
      <c r="E100" s="175"/>
      <c r="F100" s="211"/>
    </row>
    <row r="101" spans="1:6" ht="12" customHeight="1">
      <c r="A101" s="11" t="s">
        <v>80</v>
      </c>
      <c r="B101" s="299" t="s">
        <v>281</v>
      </c>
      <c r="C101" s="277"/>
      <c r="D101" s="277"/>
      <c r="E101" s="175"/>
      <c r="F101" s="211"/>
    </row>
    <row r="102" spans="1:6" ht="12" customHeight="1">
      <c r="A102" s="11" t="s">
        <v>81</v>
      </c>
      <c r="B102" s="302" t="s">
        <v>282</v>
      </c>
      <c r="C102" s="277"/>
      <c r="D102" s="277"/>
      <c r="E102" s="175"/>
      <c r="F102" s="211"/>
    </row>
    <row r="103" spans="1:6" ht="12" customHeight="1">
      <c r="A103" s="11" t="s">
        <v>82</v>
      </c>
      <c r="B103" s="302" t="s">
        <v>283</v>
      </c>
      <c r="C103" s="277"/>
      <c r="D103" s="277"/>
      <c r="E103" s="175"/>
      <c r="F103" s="211"/>
    </row>
    <row r="104" spans="1:6" ht="12" customHeight="1">
      <c r="A104" s="11" t="s">
        <v>84</v>
      </c>
      <c r="B104" s="299" t="s">
        <v>284</v>
      </c>
      <c r="C104" s="277"/>
      <c r="D104" s="277"/>
      <c r="E104" s="175"/>
      <c r="F104" s="211"/>
    </row>
    <row r="105" spans="1:6" ht="12" customHeight="1">
      <c r="A105" s="10" t="s">
        <v>114</v>
      </c>
      <c r="B105" s="303" t="s">
        <v>285</v>
      </c>
      <c r="C105" s="277"/>
      <c r="D105" s="277"/>
      <c r="E105" s="175"/>
      <c r="F105" s="211"/>
    </row>
    <row r="106" spans="1:6" ht="12" customHeight="1">
      <c r="A106" s="11" t="s">
        <v>286</v>
      </c>
      <c r="B106" s="303" t="s">
        <v>287</v>
      </c>
      <c r="C106" s="277"/>
      <c r="D106" s="277"/>
      <c r="E106" s="175"/>
      <c r="F106" s="211"/>
    </row>
    <row r="107" spans="1:6" ht="12" customHeight="1" thickBot="1">
      <c r="A107" s="15" t="s">
        <v>288</v>
      </c>
      <c r="B107" s="304" t="s">
        <v>289</v>
      </c>
      <c r="C107" s="278"/>
      <c r="D107" s="278"/>
      <c r="E107" s="290"/>
      <c r="F107" s="286"/>
    </row>
    <row r="108" spans="1:6" ht="12" customHeight="1" thickBot="1">
      <c r="A108" s="17" t="s">
        <v>6</v>
      </c>
      <c r="B108" s="22" t="s">
        <v>386</v>
      </c>
      <c r="C108" s="279">
        <f>+C109+C111+C113</f>
        <v>0</v>
      </c>
      <c r="D108" s="279">
        <f>+D109+D111+D113</f>
        <v>400</v>
      </c>
      <c r="E108" s="172">
        <f>+E109+E111+E113</f>
        <v>400</v>
      </c>
      <c r="F108" s="203">
        <f>+F109+F111+F113</f>
        <v>133</v>
      </c>
    </row>
    <row r="109" spans="1:6" ht="12" customHeight="1">
      <c r="A109" s="12" t="s">
        <v>73</v>
      </c>
      <c r="B109" s="299" t="s">
        <v>133</v>
      </c>
      <c r="C109" s="289"/>
      <c r="D109" s="421">
        <v>400</v>
      </c>
      <c r="E109" s="174">
        <v>400</v>
      </c>
      <c r="F109" s="205">
        <v>133</v>
      </c>
    </row>
    <row r="110" spans="1:6" ht="12" customHeight="1">
      <c r="A110" s="12" t="s">
        <v>74</v>
      </c>
      <c r="B110" s="303" t="s">
        <v>291</v>
      </c>
      <c r="C110" s="174"/>
      <c r="D110" s="421"/>
      <c r="E110" s="174"/>
      <c r="F110" s="205"/>
    </row>
    <row r="111" spans="1:6" ht="12" customHeight="1">
      <c r="A111" s="12" t="s">
        <v>75</v>
      </c>
      <c r="B111" s="303" t="s">
        <v>115</v>
      </c>
      <c r="C111" s="173"/>
      <c r="D111" s="281"/>
      <c r="E111" s="173"/>
      <c r="F111" s="207"/>
    </row>
    <row r="112" spans="1:6" ht="12" customHeight="1">
      <c r="A112" s="12" t="s">
        <v>76</v>
      </c>
      <c r="B112" s="303" t="s">
        <v>292</v>
      </c>
      <c r="C112" s="173"/>
      <c r="D112" s="281"/>
      <c r="E112" s="173"/>
      <c r="F112" s="207"/>
    </row>
    <row r="113" spans="1:6" ht="12" customHeight="1">
      <c r="A113" s="12" t="s">
        <v>77</v>
      </c>
      <c r="B113" s="305" t="s">
        <v>136</v>
      </c>
      <c r="C113" s="173"/>
      <c r="D113" s="281"/>
      <c r="E113" s="173"/>
      <c r="F113" s="207"/>
    </row>
    <row r="114" spans="1:6" ht="12" customHeight="1">
      <c r="A114" s="12" t="s">
        <v>83</v>
      </c>
      <c r="B114" s="306" t="s">
        <v>384</v>
      </c>
      <c r="C114" s="173"/>
      <c r="D114" s="281"/>
      <c r="E114" s="173"/>
      <c r="F114" s="207"/>
    </row>
    <row r="115" spans="1:6" ht="15">
      <c r="A115" s="12" t="s">
        <v>85</v>
      </c>
      <c r="B115" s="296" t="s">
        <v>293</v>
      </c>
      <c r="C115" s="173"/>
      <c r="D115" s="281"/>
      <c r="E115" s="173"/>
      <c r="F115" s="207"/>
    </row>
    <row r="116" spans="1:6" ht="12" customHeight="1">
      <c r="A116" s="12" t="s">
        <v>116</v>
      </c>
      <c r="B116" s="299" t="s">
        <v>281</v>
      </c>
      <c r="C116" s="173"/>
      <c r="D116" s="281"/>
      <c r="E116" s="173"/>
      <c r="F116" s="207"/>
    </row>
    <row r="117" spans="1:6" ht="12" customHeight="1">
      <c r="A117" s="12" t="s">
        <v>117</v>
      </c>
      <c r="B117" s="299" t="s">
        <v>294</v>
      </c>
      <c r="C117" s="173"/>
      <c r="D117" s="281"/>
      <c r="E117" s="173"/>
      <c r="F117" s="207"/>
    </row>
    <row r="118" spans="1:6" ht="12" customHeight="1">
      <c r="A118" s="12" t="s">
        <v>118</v>
      </c>
      <c r="B118" s="299" t="s">
        <v>295</v>
      </c>
      <c r="C118" s="173"/>
      <c r="D118" s="281"/>
      <c r="E118" s="173"/>
      <c r="F118" s="207"/>
    </row>
    <row r="119" spans="1:6" ht="12" customHeight="1">
      <c r="A119" s="12" t="s">
        <v>296</v>
      </c>
      <c r="B119" s="299" t="s">
        <v>284</v>
      </c>
      <c r="C119" s="173"/>
      <c r="D119" s="281"/>
      <c r="E119" s="173"/>
      <c r="F119" s="207"/>
    </row>
    <row r="120" spans="1:6" ht="12" customHeight="1">
      <c r="A120" s="12" t="s">
        <v>297</v>
      </c>
      <c r="B120" s="299" t="s">
        <v>298</v>
      </c>
      <c r="C120" s="173"/>
      <c r="D120" s="281"/>
      <c r="E120" s="173"/>
      <c r="F120" s="207"/>
    </row>
    <row r="121" spans="1:6" ht="12" customHeight="1" thickBot="1">
      <c r="A121" s="10" t="s">
        <v>299</v>
      </c>
      <c r="B121" s="299" t="s">
        <v>300</v>
      </c>
      <c r="C121" s="290"/>
      <c r="D121" s="282"/>
      <c r="E121" s="175"/>
      <c r="F121" s="211"/>
    </row>
    <row r="122" spans="1:6" ht="12" customHeight="1" thickBot="1">
      <c r="A122" s="17" t="s">
        <v>7</v>
      </c>
      <c r="B122" s="55" t="s">
        <v>301</v>
      </c>
      <c r="C122" s="279">
        <f>+C123+C124</f>
        <v>0</v>
      </c>
      <c r="D122" s="279"/>
      <c r="E122" s="172">
        <f>+E123+E124</f>
        <v>0</v>
      </c>
      <c r="F122" s="203">
        <f>+F123+F124</f>
        <v>0</v>
      </c>
    </row>
    <row r="123" spans="1:6" ht="12" customHeight="1">
      <c r="A123" s="12" t="s">
        <v>56</v>
      </c>
      <c r="B123" s="296" t="s">
        <v>43</v>
      </c>
      <c r="C123" s="280"/>
      <c r="D123" s="280"/>
      <c r="E123" s="174"/>
      <c r="F123" s="205"/>
    </row>
    <row r="124" spans="1:6" ht="12" customHeight="1" thickBot="1">
      <c r="A124" s="13" t="s">
        <v>57</v>
      </c>
      <c r="B124" s="303" t="s">
        <v>44</v>
      </c>
      <c r="C124" s="277"/>
      <c r="D124" s="277"/>
      <c r="E124" s="175"/>
      <c r="F124" s="211"/>
    </row>
    <row r="125" spans="1:6" ht="12" customHeight="1" thickBot="1">
      <c r="A125" s="17" t="s">
        <v>8</v>
      </c>
      <c r="B125" s="55" t="s">
        <v>302</v>
      </c>
      <c r="C125" s="279">
        <f>+C92+C108+C122</f>
        <v>181840</v>
      </c>
      <c r="D125" s="279">
        <f>+D92+D108+D122</f>
        <v>3624</v>
      </c>
      <c r="E125" s="172">
        <f>+E92+E108+E122</f>
        <v>185464</v>
      </c>
      <c r="F125" s="203">
        <f>+F92+F108+F122</f>
        <v>79286</v>
      </c>
    </row>
    <row r="126" spans="1:6" ht="12" customHeight="1" thickBot="1">
      <c r="A126" s="17" t="s">
        <v>9</v>
      </c>
      <c r="B126" s="55" t="s">
        <v>303</v>
      </c>
      <c r="C126" s="279">
        <f>+C127+C128+C129</f>
        <v>0</v>
      </c>
      <c r="D126" s="279"/>
      <c r="E126" s="172">
        <f>+E127+E128+E129</f>
        <v>0</v>
      </c>
      <c r="F126" s="203">
        <f>+F127+F128+F129</f>
        <v>0</v>
      </c>
    </row>
    <row r="127" spans="1:6" ht="12" customHeight="1">
      <c r="A127" s="12" t="s">
        <v>60</v>
      </c>
      <c r="B127" s="296" t="s">
        <v>371</v>
      </c>
      <c r="C127" s="289"/>
      <c r="D127" s="281"/>
      <c r="E127" s="173"/>
      <c r="F127" s="207"/>
    </row>
    <row r="128" spans="1:6" ht="12" customHeight="1">
      <c r="A128" s="12" t="s">
        <v>61</v>
      </c>
      <c r="B128" s="296" t="s">
        <v>372</v>
      </c>
      <c r="C128" s="173"/>
      <c r="D128" s="281"/>
      <c r="E128" s="173"/>
      <c r="F128" s="207"/>
    </row>
    <row r="129" spans="1:6" ht="12" customHeight="1" thickBot="1">
      <c r="A129" s="10" t="s">
        <v>62</v>
      </c>
      <c r="B129" s="307" t="s">
        <v>373</v>
      </c>
      <c r="C129" s="173"/>
      <c r="D129" s="281"/>
      <c r="E129" s="173"/>
      <c r="F129" s="207"/>
    </row>
    <row r="130" spans="1:6" ht="12" customHeight="1" thickBot="1">
      <c r="A130" s="17" t="s">
        <v>10</v>
      </c>
      <c r="B130" s="55" t="s">
        <v>307</v>
      </c>
      <c r="C130" s="172">
        <f>+C131+C132+C133+C134</f>
        <v>0</v>
      </c>
      <c r="D130" s="422"/>
      <c r="E130" s="172">
        <f>+E131+E132+E133+E134</f>
        <v>0</v>
      </c>
      <c r="F130" s="203">
        <f>+F131+F132+F133+F134</f>
        <v>0</v>
      </c>
    </row>
    <row r="131" spans="1:6" ht="12" customHeight="1">
      <c r="A131" s="12" t="s">
        <v>63</v>
      </c>
      <c r="B131" s="296" t="s">
        <v>374</v>
      </c>
      <c r="C131" s="173"/>
      <c r="D131" s="281"/>
      <c r="E131" s="173"/>
      <c r="F131" s="207"/>
    </row>
    <row r="132" spans="1:6" ht="12" customHeight="1">
      <c r="A132" s="12" t="s">
        <v>64</v>
      </c>
      <c r="B132" s="296" t="s">
        <v>375</v>
      </c>
      <c r="C132" s="173"/>
      <c r="D132" s="281"/>
      <c r="E132" s="173"/>
      <c r="F132" s="207"/>
    </row>
    <row r="133" spans="1:6" ht="12" customHeight="1">
      <c r="A133" s="12" t="s">
        <v>211</v>
      </c>
      <c r="B133" s="296" t="s">
        <v>376</v>
      </c>
      <c r="C133" s="173"/>
      <c r="D133" s="281"/>
      <c r="E133" s="173"/>
      <c r="F133" s="207"/>
    </row>
    <row r="134" spans="1:6" ht="12" customHeight="1" thickBot="1">
      <c r="A134" s="10" t="s">
        <v>213</v>
      </c>
      <c r="B134" s="307" t="s">
        <v>377</v>
      </c>
      <c r="C134" s="173"/>
      <c r="D134" s="281"/>
      <c r="E134" s="173"/>
      <c r="F134" s="207"/>
    </row>
    <row r="135" spans="1:6" ht="12" customHeight="1" thickBot="1">
      <c r="A135" s="17" t="s">
        <v>11</v>
      </c>
      <c r="B135" s="55" t="s">
        <v>312</v>
      </c>
      <c r="C135" s="181">
        <f>+C136+C137+C138+C139</f>
        <v>0</v>
      </c>
      <c r="D135" s="423"/>
      <c r="E135" s="181">
        <f>+E136+E137+E138+E139</f>
        <v>0</v>
      </c>
      <c r="F135" s="212">
        <f>+F136+F137+F138+F139</f>
        <v>0</v>
      </c>
    </row>
    <row r="136" spans="1:6" ht="12" customHeight="1">
      <c r="A136" s="12" t="s">
        <v>65</v>
      </c>
      <c r="B136" s="296" t="s">
        <v>313</v>
      </c>
      <c r="C136" s="173"/>
      <c r="D136" s="281"/>
      <c r="E136" s="173"/>
      <c r="F136" s="207"/>
    </row>
    <row r="137" spans="1:6" ht="12" customHeight="1">
      <c r="A137" s="12" t="s">
        <v>66</v>
      </c>
      <c r="B137" s="296" t="s">
        <v>314</v>
      </c>
      <c r="C137" s="173"/>
      <c r="D137" s="281"/>
      <c r="E137" s="173"/>
      <c r="F137" s="207"/>
    </row>
    <row r="138" spans="1:6" ht="12" customHeight="1">
      <c r="A138" s="12" t="s">
        <v>220</v>
      </c>
      <c r="B138" s="296" t="s">
        <v>378</v>
      </c>
      <c r="C138" s="173"/>
      <c r="D138" s="281"/>
      <c r="E138" s="173"/>
      <c r="F138" s="207"/>
    </row>
    <row r="139" spans="1:6" ht="12" customHeight="1" thickBot="1">
      <c r="A139" s="10" t="s">
        <v>222</v>
      </c>
      <c r="B139" s="307" t="s">
        <v>358</v>
      </c>
      <c r="C139" s="173"/>
      <c r="D139" s="281"/>
      <c r="E139" s="173"/>
      <c r="F139" s="207"/>
    </row>
    <row r="140" spans="1:6" ht="12" customHeight="1" thickBot="1">
      <c r="A140" s="17" t="s">
        <v>12</v>
      </c>
      <c r="B140" s="55" t="s">
        <v>317</v>
      </c>
      <c r="C140" s="291">
        <f>+C141+C142+C143+C144</f>
        <v>0</v>
      </c>
      <c r="D140" s="424"/>
      <c r="E140" s="291">
        <f>+E141+E142+E143+E144</f>
        <v>0</v>
      </c>
      <c r="F140" s="287">
        <f>+F141+F142+F143+F144</f>
        <v>0</v>
      </c>
    </row>
    <row r="141" spans="1:6" ht="12" customHeight="1">
      <c r="A141" s="12" t="s">
        <v>109</v>
      </c>
      <c r="B141" s="296" t="s">
        <v>318</v>
      </c>
      <c r="C141" s="173"/>
      <c r="D141" s="281"/>
      <c r="E141" s="173"/>
      <c r="F141" s="207"/>
    </row>
    <row r="142" spans="1:6" ht="12" customHeight="1">
      <c r="A142" s="12" t="s">
        <v>110</v>
      </c>
      <c r="B142" s="296" t="s">
        <v>319</v>
      </c>
      <c r="C142" s="173"/>
      <c r="D142" s="281"/>
      <c r="E142" s="173"/>
      <c r="F142" s="207"/>
    </row>
    <row r="143" spans="1:6" ht="12" customHeight="1">
      <c r="A143" s="12" t="s">
        <v>135</v>
      </c>
      <c r="B143" s="296" t="s">
        <v>320</v>
      </c>
      <c r="C143" s="173"/>
      <c r="D143" s="281"/>
      <c r="E143" s="173"/>
      <c r="F143" s="207"/>
    </row>
    <row r="144" spans="1:6" ht="12" customHeight="1" thickBot="1">
      <c r="A144" s="12" t="s">
        <v>228</v>
      </c>
      <c r="B144" s="296" t="s">
        <v>321</v>
      </c>
      <c r="C144" s="173"/>
      <c r="D144" s="281"/>
      <c r="E144" s="173"/>
      <c r="F144" s="207"/>
    </row>
    <row r="145" spans="1:6" ht="12" customHeight="1" thickBot="1">
      <c r="A145" s="17" t="s">
        <v>13</v>
      </c>
      <c r="B145" s="55" t="s">
        <v>322</v>
      </c>
      <c r="C145" s="292">
        <f>+C126+C130+C135+C140</f>
        <v>0</v>
      </c>
      <c r="D145" s="425"/>
      <c r="E145" s="292">
        <f>+E126+E130+E135+E140</f>
        <v>0</v>
      </c>
      <c r="F145" s="288">
        <f>+F126+F130+F135+F140</f>
        <v>0</v>
      </c>
    </row>
    <row r="146" spans="1:6" ht="12" customHeight="1" thickBot="1">
      <c r="A146" s="94" t="s">
        <v>14</v>
      </c>
      <c r="B146" s="297" t="s">
        <v>323</v>
      </c>
      <c r="C146" s="283">
        <f>+C125+C145</f>
        <v>181840</v>
      </c>
      <c r="D146" s="283">
        <f>+D125+D145</f>
        <v>3624</v>
      </c>
      <c r="E146" s="292">
        <f>+E125+E145</f>
        <v>185464</v>
      </c>
      <c r="F146" s="288">
        <f>+F125+F145</f>
        <v>79286</v>
      </c>
    </row>
    <row r="147" spans="3:4" ht="12" customHeight="1">
      <c r="C147" s="156"/>
      <c r="D147" s="156"/>
    </row>
    <row r="148" spans="1:6" ht="18" customHeight="1">
      <c r="A148" s="437" t="s">
        <v>326</v>
      </c>
      <c r="B148" s="437"/>
      <c r="C148" s="437"/>
      <c r="D148" s="437"/>
      <c r="E148" s="437"/>
      <c r="F148" s="437"/>
    </row>
    <row r="149" spans="1:8" ht="12" customHeight="1" thickBot="1">
      <c r="A149" s="436" t="s">
        <v>92</v>
      </c>
      <c r="B149" s="436"/>
      <c r="C149" s="201"/>
      <c r="D149" s="201"/>
      <c r="E149" s="201"/>
      <c r="F149" s="105" t="s">
        <v>134</v>
      </c>
      <c r="G149" s="156"/>
      <c r="H149" s="156"/>
    </row>
    <row r="150" spans="1:8" ht="12" customHeight="1" thickBot="1">
      <c r="A150" s="17">
        <v>1</v>
      </c>
      <c r="B150" s="22" t="s">
        <v>327</v>
      </c>
      <c r="C150" s="236">
        <f>+C61-C125</f>
        <v>-577</v>
      </c>
      <c r="D150" s="236"/>
      <c r="E150" s="236">
        <f>+E61-E125</f>
        <v>-577</v>
      </c>
      <c r="F150" s="237">
        <f>+F61-F125</f>
        <v>11088</v>
      </c>
      <c r="G150" s="156"/>
      <c r="H150" s="156"/>
    </row>
    <row r="151" spans="1:8" ht="12" customHeight="1" thickBot="1">
      <c r="A151" s="17" t="s">
        <v>6</v>
      </c>
      <c r="B151" s="22" t="s">
        <v>328</v>
      </c>
      <c r="C151" s="236">
        <f>+C84-C145</f>
        <v>577</v>
      </c>
      <c r="D151" s="236"/>
      <c r="E151" s="236">
        <f>+E84-E145</f>
        <v>577</v>
      </c>
      <c r="F151" s="237">
        <f>+F84-F145</f>
        <v>577</v>
      </c>
      <c r="G151" s="156"/>
      <c r="H151" s="156"/>
    </row>
    <row r="152" spans="3:7" ht="15" customHeight="1">
      <c r="C152" s="53"/>
      <c r="D152" s="53"/>
      <c r="E152" s="53"/>
      <c r="F152" s="53"/>
      <c r="G152" s="53"/>
    </row>
    <row r="153" s="1" customFormat="1" ht="12.75" customHeight="1"/>
    <row r="154" spans="2:4" ht="15">
      <c r="B154" s="156">
        <v>6</v>
      </c>
      <c r="C154" s="156"/>
      <c r="D154" s="156"/>
    </row>
    <row r="155" spans="3:4" ht="15">
      <c r="C155" s="156"/>
      <c r="D155" s="156"/>
    </row>
    <row r="156" spans="3:4" ht="15">
      <c r="C156" s="156"/>
      <c r="D156" s="156"/>
    </row>
    <row r="157" spans="3:4" ht="16.5" customHeight="1">
      <c r="C157" s="156"/>
      <c r="D157" s="156"/>
    </row>
    <row r="158" spans="3:4" ht="15">
      <c r="C158" s="156"/>
      <c r="D158" s="156"/>
    </row>
    <row r="159" spans="3:4" ht="15">
      <c r="C159" s="156"/>
      <c r="D159" s="156"/>
    </row>
    <row r="160" spans="3:4" ht="15">
      <c r="C160" s="156"/>
      <c r="D160" s="156"/>
    </row>
    <row r="161" spans="3:4" ht="15">
      <c r="C161" s="156"/>
      <c r="D161" s="156"/>
    </row>
    <row r="162" spans="3:4" ht="15">
      <c r="C162" s="156"/>
      <c r="D162" s="156"/>
    </row>
    <row r="163" spans="7:8" s="156" customFormat="1" ht="15">
      <c r="G163" s="27"/>
      <c r="H163" s="27"/>
    </row>
    <row r="164" spans="7:8" s="156" customFormat="1" ht="15">
      <c r="G164" s="27"/>
      <c r="H164" s="27"/>
    </row>
    <row r="165" spans="7:8" s="156" customFormat="1" ht="15">
      <c r="G165" s="27"/>
      <c r="H165" s="27"/>
    </row>
    <row r="166" spans="7:8" s="156" customFormat="1" ht="15">
      <c r="G166" s="27"/>
      <c r="H166" s="27"/>
    </row>
  </sheetData>
  <sheetProtection/>
  <mergeCells count="12">
    <mergeCell ref="A88:B88"/>
    <mergeCell ref="A148:F148"/>
    <mergeCell ref="A149:B149"/>
    <mergeCell ref="A89:A90"/>
    <mergeCell ref="B89:B90"/>
    <mergeCell ref="C89:F89"/>
    <mergeCell ref="A1:F1"/>
    <mergeCell ref="A2:B2"/>
    <mergeCell ref="A3:A4"/>
    <mergeCell ref="B3:B4"/>
    <mergeCell ref="C3:F3"/>
    <mergeCell ref="A87:F8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Borsodnádasd Önkormányzat
2014. ÉVI KÖLTSÉGVETÉS
ÁLLAMI (ÁLLAMIGAZGATÁSI) FELADATOK MÉRLEGE
&amp;R&amp;"Times New Roman CE,Félkövér dőlt"&amp;11 1.4. melléklet az 1/2014.(II.7.)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SheetLayoutView="100" workbookViewId="0" topLeftCell="C1">
      <selection activeCell="J13" sqref="J13"/>
    </sheetView>
  </sheetViews>
  <sheetFormatPr defaultColWidth="9.375" defaultRowHeight="12.75"/>
  <cols>
    <col min="1" max="1" width="6.75390625" style="38" customWidth="1"/>
    <col min="2" max="2" width="55.125" style="71" customWidth="1"/>
    <col min="3" max="5" width="16.375" style="38" customWidth="1"/>
    <col min="6" max="6" width="16.375" style="38" hidden="1" customWidth="1"/>
    <col min="7" max="7" width="55.125" style="38" customWidth="1"/>
    <col min="8" max="10" width="16.375" style="38" customWidth="1"/>
    <col min="11" max="11" width="16.375" style="38" hidden="1" customWidth="1"/>
    <col min="12" max="12" width="4.75390625" style="38" customWidth="1"/>
    <col min="13" max="16384" width="9.375" style="38" customWidth="1"/>
  </cols>
  <sheetData>
    <row r="1" spans="2:12" ht="39.75" customHeight="1">
      <c r="B1" s="114" t="s">
        <v>95</v>
      </c>
      <c r="C1" s="115"/>
      <c r="D1" s="115"/>
      <c r="E1" s="115"/>
      <c r="F1" s="115"/>
      <c r="G1" s="115"/>
      <c r="H1" s="115"/>
      <c r="I1" s="115"/>
      <c r="J1" s="115"/>
      <c r="K1" s="115"/>
      <c r="L1" s="444" t="s">
        <v>472</v>
      </c>
    </row>
    <row r="2" spans="8:12" ht="14.25" thickBot="1">
      <c r="H2" s="116"/>
      <c r="I2" s="116"/>
      <c r="J2" s="116"/>
      <c r="K2" s="116" t="s">
        <v>47</v>
      </c>
      <c r="L2" s="444"/>
    </row>
    <row r="3" spans="1:12" ht="18" customHeight="1" thickBot="1">
      <c r="A3" s="442" t="s">
        <v>55</v>
      </c>
      <c r="B3" s="117" t="s">
        <v>40</v>
      </c>
      <c r="C3" s="118"/>
      <c r="D3" s="118"/>
      <c r="E3" s="118"/>
      <c r="F3" s="118"/>
      <c r="G3" s="117" t="s">
        <v>42</v>
      </c>
      <c r="H3" s="119"/>
      <c r="I3" s="119"/>
      <c r="J3" s="119"/>
      <c r="K3" s="119"/>
      <c r="L3" s="444"/>
    </row>
    <row r="4" spans="1:12" s="120" customFormat="1" ht="35.25" customHeight="1" thickBot="1">
      <c r="A4" s="443"/>
      <c r="B4" s="72" t="s">
        <v>48</v>
      </c>
      <c r="C4" s="166" t="s">
        <v>344</v>
      </c>
      <c r="D4" s="164" t="s">
        <v>471</v>
      </c>
      <c r="E4" s="167" t="s">
        <v>345</v>
      </c>
      <c r="F4" s="166" t="s">
        <v>325</v>
      </c>
      <c r="G4" s="72" t="s">
        <v>48</v>
      </c>
      <c r="H4" s="166" t="s">
        <v>344</v>
      </c>
      <c r="I4" s="164" t="s">
        <v>471</v>
      </c>
      <c r="J4" s="167" t="s">
        <v>345</v>
      </c>
      <c r="K4" s="311" t="s">
        <v>325</v>
      </c>
      <c r="L4" s="444"/>
    </row>
    <row r="5" spans="1:12" s="125" customFormat="1" ht="12" customHeight="1" thickBot="1">
      <c r="A5" s="121">
        <v>1</v>
      </c>
      <c r="B5" s="122">
        <v>2</v>
      </c>
      <c r="C5" s="123">
        <v>3</v>
      </c>
      <c r="D5" s="122">
        <v>4</v>
      </c>
      <c r="E5" s="123">
        <v>5</v>
      </c>
      <c r="F5" s="122">
        <v>6</v>
      </c>
      <c r="G5" s="123">
        <v>6</v>
      </c>
      <c r="H5" s="123">
        <v>7</v>
      </c>
      <c r="I5" s="123">
        <v>8</v>
      </c>
      <c r="J5" s="123">
        <v>9</v>
      </c>
      <c r="K5" s="124">
        <v>9</v>
      </c>
      <c r="L5" s="444"/>
    </row>
    <row r="6" spans="1:12" ht="15" customHeight="1">
      <c r="A6" s="126" t="s">
        <v>5</v>
      </c>
      <c r="B6" s="127" t="s">
        <v>329</v>
      </c>
      <c r="C6" s="106">
        <v>393464</v>
      </c>
      <c r="D6" s="106">
        <v>-50360</v>
      </c>
      <c r="E6" s="106">
        <v>343104</v>
      </c>
      <c r="F6" s="106">
        <v>172660</v>
      </c>
      <c r="G6" s="127" t="s">
        <v>49</v>
      </c>
      <c r="H6" s="192">
        <v>252273</v>
      </c>
      <c r="I6" s="241">
        <f>4105+1363</f>
        <v>5468</v>
      </c>
      <c r="J6" s="241">
        <v>257741</v>
      </c>
      <c r="K6" s="112">
        <v>113931</v>
      </c>
      <c r="L6" s="444"/>
    </row>
    <row r="7" spans="1:12" ht="15" customHeight="1">
      <c r="A7" s="128" t="s">
        <v>6</v>
      </c>
      <c r="B7" s="129" t="s">
        <v>330</v>
      </c>
      <c r="C7" s="107">
        <v>174665</v>
      </c>
      <c r="D7" s="107">
        <v>3888</v>
      </c>
      <c r="E7" s="107">
        <v>178553</v>
      </c>
      <c r="F7" s="107">
        <v>85776</v>
      </c>
      <c r="G7" s="129" t="s">
        <v>111</v>
      </c>
      <c r="H7" s="107">
        <v>67767</v>
      </c>
      <c r="I7" s="242">
        <f>1959+370</f>
        <v>2329</v>
      </c>
      <c r="J7" s="242">
        <v>70096</v>
      </c>
      <c r="K7" s="113">
        <v>25776</v>
      </c>
      <c r="L7" s="444"/>
    </row>
    <row r="8" spans="1:12" ht="15" customHeight="1">
      <c r="A8" s="128" t="s">
        <v>7</v>
      </c>
      <c r="B8" s="129" t="s">
        <v>331</v>
      </c>
      <c r="C8" s="107">
        <v>9630</v>
      </c>
      <c r="D8" s="107"/>
      <c r="E8" s="107">
        <v>9630</v>
      </c>
      <c r="F8" s="107"/>
      <c r="G8" s="129" t="s">
        <v>139</v>
      </c>
      <c r="H8" s="107">
        <v>229180</v>
      </c>
      <c r="I8" s="242">
        <v>4810</v>
      </c>
      <c r="J8" s="242">
        <v>233990</v>
      </c>
      <c r="K8" s="113">
        <v>85353</v>
      </c>
      <c r="L8" s="444"/>
    </row>
    <row r="9" spans="1:12" ht="15" customHeight="1">
      <c r="A9" s="128" t="s">
        <v>8</v>
      </c>
      <c r="B9" s="129" t="s">
        <v>102</v>
      </c>
      <c r="C9" s="107">
        <v>45200</v>
      </c>
      <c r="D9" s="107">
        <v>26763</v>
      </c>
      <c r="E9" s="107">
        <v>71963</v>
      </c>
      <c r="F9" s="107">
        <v>28886</v>
      </c>
      <c r="G9" s="129" t="s">
        <v>112</v>
      </c>
      <c r="H9" s="107">
        <v>103430</v>
      </c>
      <c r="I9" s="242">
        <v>455</v>
      </c>
      <c r="J9" s="242">
        <v>103885</v>
      </c>
      <c r="K9" s="113">
        <v>43246</v>
      </c>
      <c r="L9" s="444"/>
    </row>
    <row r="10" spans="1:12" ht="15" customHeight="1">
      <c r="A10" s="128" t="s">
        <v>9</v>
      </c>
      <c r="B10" s="130" t="s">
        <v>332</v>
      </c>
      <c r="C10" s="107"/>
      <c r="D10" s="107"/>
      <c r="E10" s="107">
        <v>8771</v>
      </c>
      <c r="F10" s="107">
        <v>2715</v>
      </c>
      <c r="G10" s="129" t="s">
        <v>113</v>
      </c>
      <c r="H10" s="107">
        <v>35190</v>
      </c>
      <c r="I10" s="242">
        <f>41789+500</f>
        <v>42289</v>
      </c>
      <c r="J10" s="242">
        <f>76979+500</f>
        <v>77479</v>
      </c>
      <c r="K10" s="113">
        <v>57720</v>
      </c>
      <c r="L10" s="444"/>
    </row>
    <row r="11" spans="1:12" ht="15" customHeight="1">
      <c r="A11" s="128" t="s">
        <v>10</v>
      </c>
      <c r="B11" s="129" t="s">
        <v>388</v>
      </c>
      <c r="C11" s="108"/>
      <c r="D11" s="108"/>
      <c r="E11" s="108"/>
      <c r="F11" s="108"/>
      <c r="G11" s="129" t="s">
        <v>35</v>
      </c>
      <c r="H11" s="107">
        <v>37221</v>
      </c>
      <c r="I11" s="242">
        <f>86753-1733-500</f>
        <v>84520</v>
      </c>
      <c r="J11" s="242">
        <f>122241-500</f>
        <v>121741</v>
      </c>
      <c r="K11" s="113"/>
      <c r="L11" s="444"/>
    </row>
    <row r="12" spans="1:12" ht="15" customHeight="1">
      <c r="A12" s="128" t="s">
        <v>11</v>
      </c>
      <c r="B12" s="129" t="s">
        <v>207</v>
      </c>
      <c r="C12" s="107">
        <v>32740</v>
      </c>
      <c r="D12" s="107">
        <v>32512</v>
      </c>
      <c r="E12" s="107">
        <v>65252</v>
      </c>
      <c r="F12" s="107">
        <v>39364</v>
      </c>
      <c r="G12" s="33"/>
      <c r="H12" s="107"/>
      <c r="I12" s="242"/>
      <c r="J12" s="242"/>
      <c r="K12" s="113"/>
      <c r="L12" s="444"/>
    </row>
    <row r="13" spans="1:12" ht="15" customHeight="1">
      <c r="A13" s="128" t="s">
        <v>12</v>
      </c>
      <c r="B13" s="33"/>
      <c r="C13" s="107"/>
      <c r="D13" s="107"/>
      <c r="E13" s="107"/>
      <c r="F13" s="107"/>
      <c r="G13" s="33"/>
      <c r="H13" s="107"/>
      <c r="I13" s="242"/>
      <c r="J13" s="242"/>
      <c r="K13" s="113"/>
      <c r="L13" s="444"/>
    </row>
    <row r="14" spans="1:12" ht="15" customHeight="1">
      <c r="A14" s="128" t="s">
        <v>13</v>
      </c>
      <c r="B14" s="238"/>
      <c r="C14" s="108"/>
      <c r="D14" s="108"/>
      <c r="E14" s="108"/>
      <c r="F14" s="108"/>
      <c r="G14" s="33"/>
      <c r="H14" s="107"/>
      <c r="I14" s="242"/>
      <c r="J14" s="242"/>
      <c r="K14" s="113"/>
      <c r="L14" s="444"/>
    </row>
    <row r="15" spans="1:12" ht="15" customHeight="1">
      <c r="A15" s="128" t="s">
        <v>14</v>
      </c>
      <c r="B15" s="33"/>
      <c r="C15" s="107"/>
      <c r="D15" s="107"/>
      <c r="E15" s="107"/>
      <c r="F15" s="107"/>
      <c r="G15" s="33"/>
      <c r="H15" s="107"/>
      <c r="I15" s="242"/>
      <c r="J15" s="242"/>
      <c r="K15" s="113"/>
      <c r="L15" s="444"/>
    </row>
    <row r="16" spans="1:12" ht="15" customHeight="1">
      <c r="A16" s="128" t="s">
        <v>15</v>
      </c>
      <c r="B16" s="33"/>
      <c r="C16" s="107"/>
      <c r="D16" s="107"/>
      <c r="E16" s="107"/>
      <c r="F16" s="107"/>
      <c r="G16" s="33"/>
      <c r="H16" s="107"/>
      <c r="I16" s="242"/>
      <c r="J16" s="242"/>
      <c r="K16" s="113"/>
      <c r="L16" s="444"/>
    </row>
    <row r="17" spans="1:12" ht="15" customHeight="1" thickBot="1">
      <c r="A17" s="128" t="s">
        <v>16</v>
      </c>
      <c r="B17" s="39"/>
      <c r="C17" s="109"/>
      <c r="D17" s="109"/>
      <c r="E17" s="109"/>
      <c r="F17" s="109"/>
      <c r="G17" s="33"/>
      <c r="H17" s="109"/>
      <c r="I17" s="109"/>
      <c r="J17" s="109"/>
      <c r="K17" s="244"/>
      <c r="L17" s="444"/>
    </row>
    <row r="18" spans="1:12" ht="15" customHeight="1" thickBot="1">
      <c r="A18" s="131" t="s">
        <v>17</v>
      </c>
      <c r="B18" s="54" t="s">
        <v>333</v>
      </c>
      <c r="C18" s="110">
        <f>+C6+C7+C9+C10+C12+C13+C14+C15+C16+C17</f>
        <v>646069</v>
      </c>
      <c r="D18" s="110">
        <f>+D6+D7+D9+D10+D12+D13+D14+D15+D16+D17</f>
        <v>12803</v>
      </c>
      <c r="E18" s="110">
        <f>+E6+E7+E9+E10+E12+E13+E14+E15+E16+E17</f>
        <v>667643</v>
      </c>
      <c r="F18" s="110">
        <f>+F6+F7+F9+F10+F12+F13+F14+F15+F16+F17</f>
        <v>329401</v>
      </c>
      <c r="G18" s="54" t="s">
        <v>340</v>
      </c>
      <c r="H18" s="110">
        <f>SUM(H6:H17)</f>
        <v>725061</v>
      </c>
      <c r="I18" s="110">
        <f>SUM(I6:I17)</f>
        <v>139871</v>
      </c>
      <c r="J18" s="110">
        <f>SUM(J6:J17)</f>
        <v>864932</v>
      </c>
      <c r="K18" s="243">
        <f>SUM(K6:K17)</f>
        <v>326026</v>
      </c>
      <c r="L18" s="444"/>
    </row>
    <row r="19" spans="1:12" ht="15" customHeight="1">
      <c r="A19" s="239" t="s">
        <v>18</v>
      </c>
      <c r="B19" s="132" t="s">
        <v>334</v>
      </c>
      <c r="C19" s="133">
        <f>+C20+C21+C22+C23</f>
        <v>78992</v>
      </c>
      <c r="D19" s="133">
        <f>+D20+D21+D22+D23</f>
        <v>-35</v>
      </c>
      <c r="E19" s="133">
        <f>+E20+E21+E22+E23</f>
        <v>78957</v>
      </c>
      <c r="F19" s="133">
        <f>+F20+F21+F22+F23</f>
        <v>78957</v>
      </c>
      <c r="G19" s="134" t="s">
        <v>119</v>
      </c>
      <c r="H19" s="111"/>
      <c r="I19" s="111"/>
      <c r="J19" s="111"/>
      <c r="K19" s="245"/>
      <c r="L19" s="444"/>
    </row>
    <row r="20" spans="1:12" ht="15" customHeight="1">
      <c r="A20" s="240" t="s">
        <v>19</v>
      </c>
      <c r="B20" s="134" t="s">
        <v>131</v>
      </c>
      <c r="C20" s="44">
        <v>78992</v>
      </c>
      <c r="D20" s="44">
        <v>-35</v>
      </c>
      <c r="E20" s="44">
        <v>78957</v>
      </c>
      <c r="F20" s="44">
        <v>78957</v>
      </c>
      <c r="G20" s="134" t="s">
        <v>341</v>
      </c>
      <c r="H20" s="44"/>
      <c r="I20" s="44"/>
      <c r="J20" s="44"/>
      <c r="K20" s="246"/>
      <c r="L20" s="444"/>
    </row>
    <row r="21" spans="1:12" ht="15" customHeight="1">
      <c r="A21" s="240" t="s">
        <v>20</v>
      </c>
      <c r="B21" s="134" t="s">
        <v>132</v>
      </c>
      <c r="C21" s="44"/>
      <c r="D21" s="44"/>
      <c r="E21" s="44"/>
      <c r="F21" s="44"/>
      <c r="G21" s="134" t="s">
        <v>93</v>
      </c>
      <c r="H21" s="44"/>
      <c r="I21" s="44"/>
      <c r="J21" s="44"/>
      <c r="K21" s="246"/>
      <c r="L21" s="444"/>
    </row>
    <row r="22" spans="1:12" ht="15" customHeight="1">
      <c r="A22" s="240" t="s">
        <v>21</v>
      </c>
      <c r="B22" s="134" t="s">
        <v>137</v>
      </c>
      <c r="C22" s="44"/>
      <c r="D22" s="44"/>
      <c r="E22" s="44"/>
      <c r="F22" s="44"/>
      <c r="G22" s="134" t="s">
        <v>94</v>
      </c>
      <c r="H22" s="44"/>
      <c r="I22" s="44"/>
      <c r="J22" s="44"/>
      <c r="K22" s="246"/>
      <c r="L22" s="444"/>
    </row>
    <row r="23" spans="1:12" ht="15" customHeight="1">
      <c r="A23" s="240" t="s">
        <v>22</v>
      </c>
      <c r="B23" s="134" t="s">
        <v>138</v>
      </c>
      <c r="C23" s="44"/>
      <c r="D23" s="44"/>
      <c r="E23" s="44"/>
      <c r="F23" s="44"/>
      <c r="G23" s="132" t="s">
        <v>140</v>
      </c>
      <c r="H23" s="44"/>
      <c r="I23" s="44"/>
      <c r="J23" s="44"/>
      <c r="K23" s="246"/>
      <c r="L23" s="444"/>
    </row>
    <row r="24" spans="1:12" ht="15" customHeight="1">
      <c r="A24" s="240" t="s">
        <v>23</v>
      </c>
      <c r="B24" s="134" t="s">
        <v>335</v>
      </c>
      <c r="C24" s="135">
        <f>+C25+C26</f>
        <v>0</v>
      </c>
      <c r="D24" s="135"/>
      <c r="E24" s="135">
        <f>+E25+E26</f>
        <v>0</v>
      </c>
      <c r="F24" s="135">
        <f>+F25+F26</f>
        <v>0</v>
      </c>
      <c r="G24" s="134" t="s">
        <v>120</v>
      </c>
      <c r="H24" s="44"/>
      <c r="I24" s="44"/>
      <c r="J24" s="44"/>
      <c r="K24" s="246"/>
      <c r="L24" s="444"/>
    </row>
    <row r="25" spans="1:12" ht="15" customHeight="1">
      <c r="A25" s="239" t="s">
        <v>24</v>
      </c>
      <c r="B25" s="132" t="s">
        <v>336</v>
      </c>
      <c r="C25" s="111"/>
      <c r="D25" s="111"/>
      <c r="E25" s="111"/>
      <c r="F25" s="111"/>
      <c r="G25" s="127" t="s">
        <v>121</v>
      </c>
      <c r="H25" s="111"/>
      <c r="I25" s="111"/>
      <c r="J25" s="111"/>
      <c r="K25" s="245"/>
      <c r="L25" s="444"/>
    </row>
    <row r="26" spans="1:12" ht="15" customHeight="1" thickBot="1">
      <c r="A26" s="240" t="s">
        <v>25</v>
      </c>
      <c r="B26" s="134" t="s">
        <v>337</v>
      </c>
      <c r="C26" s="44"/>
      <c r="D26" s="44"/>
      <c r="E26" s="44"/>
      <c r="F26" s="44"/>
      <c r="G26" s="33"/>
      <c r="H26" s="44"/>
      <c r="I26" s="44"/>
      <c r="J26" s="44"/>
      <c r="K26" s="246"/>
      <c r="L26" s="444"/>
    </row>
    <row r="27" spans="1:12" ht="15" customHeight="1" thickBot="1">
      <c r="A27" s="131" t="s">
        <v>26</v>
      </c>
      <c r="B27" s="54" t="s">
        <v>338</v>
      </c>
      <c r="C27" s="110">
        <f>+C19+C24</f>
        <v>78992</v>
      </c>
      <c r="D27" s="110">
        <f>+D19+D24</f>
        <v>-35</v>
      </c>
      <c r="E27" s="110">
        <f>+E19+E24</f>
        <v>78957</v>
      </c>
      <c r="F27" s="110">
        <f>+F19+F24</f>
        <v>78957</v>
      </c>
      <c r="G27" s="54" t="s">
        <v>342</v>
      </c>
      <c r="H27" s="110">
        <f>SUM(H19:H26)</f>
        <v>0</v>
      </c>
      <c r="I27" s="110"/>
      <c r="J27" s="110">
        <f>SUM(J19:J26)</f>
        <v>0</v>
      </c>
      <c r="K27" s="243">
        <f>SUM(K19:K26)</f>
        <v>0</v>
      </c>
      <c r="L27" s="444"/>
    </row>
    <row r="28" spans="1:12" ht="15" customHeight="1" thickBot="1">
      <c r="A28" s="131" t="s">
        <v>27</v>
      </c>
      <c r="B28" s="136" t="s">
        <v>339</v>
      </c>
      <c r="C28" s="182">
        <f>+C18+C27</f>
        <v>725061</v>
      </c>
      <c r="D28" s="182">
        <f>+D18+D27</f>
        <v>12768</v>
      </c>
      <c r="E28" s="182">
        <f>+E18+E27</f>
        <v>746600</v>
      </c>
      <c r="F28" s="137">
        <f>+F18+F27</f>
        <v>408358</v>
      </c>
      <c r="G28" s="136" t="s">
        <v>343</v>
      </c>
      <c r="H28" s="182">
        <f>+H18+H27</f>
        <v>725061</v>
      </c>
      <c r="I28" s="182">
        <f>+I18+I27</f>
        <v>139871</v>
      </c>
      <c r="J28" s="182">
        <f>+J18+J27</f>
        <v>864932</v>
      </c>
      <c r="K28" s="137">
        <f>+K18+K27</f>
        <v>326026</v>
      </c>
      <c r="L28" s="444"/>
    </row>
    <row r="29" spans="1:12" ht="15" customHeight="1" thickBot="1">
      <c r="A29" s="131" t="s">
        <v>28</v>
      </c>
      <c r="B29" s="136" t="s">
        <v>97</v>
      </c>
      <c r="C29" s="182">
        <f>IF(C18-H18&lt;0,C18-H18,"-")</f>
        <v>-78992</v>
      </c>
      <c r="D29" s="182">
        <f>IF(D18-I18&lt;0,D18-I18,"-")</f>
        <v>-127068</v>
      </c>
      <c r="E29" s="182">
        <f>IF(E18-J18&lt;0,E18-J18,"-")</f>
        <v>-197289</v>
      </c>
      <c r="F29" s="182" t="str">
        <f>IF(F18-K18&lt;0,F18-K18,"-")</f>
        <v>-</v>
      </c>
      <c r="G29" s="136" t="s">
        <v>98</v>
      </c>
      <c r="H29" s="182" t="str">
        <f>IF(C18-H18&gt;0,C18-H18,"-")</f>
        <v>-</v>
      </c>
      <c r="I29" s="182" t="str">
        <f>IF(D18-I18&gt;0,D18-I18,"-")</f>
        <v>-</v>
      </c>
      <c r="J29" s="182" t="str">
        <f>IF(E18-J18&gt;0,E18-J18,"-")</f>
        <v>-</v>
      </c>
      <c r="K29" s="137">
        <f>IF(F18-K18&gt;0,F18-K18,"-")</f>
        <v>3375</v>
      </c>
      <c r="L29" s="444"/>
    </row>
    <row r="30" spans="1:12" ht="15" customHeight="1" thickBot="1">
      <c r="A30" s="131" t="s">
        <v>29</v>
      </c>
      <c r="B30" s="136" t="s">
        <v>141</v>
      </c>
      <c r="C30" s="182" t="str">
        <f>IF(C18+C19-H28&lt;0,H28-(C18+C19),"-")</f>
        <v>-</v>
      </c>
      <c r="D30" s="182"/>
      <c r="E30" s="182">
        <f>IF(E18+E19-J28&lt;0,J28-(E18+E19),"-")</f>
        <v>118332</v>
      </c>
      <c r="F30" s="137" t="str">
        <f>IF(F18+F19-K28&lt;0,K28-(F18+F19),"-")</f>
        <v>-</v>
      </c>
      <c r="G30" s="136" t="s">
        <v>142</v>
      </c>
      <c r="H30" s="182" t="str">
        <f>IF(C18+C19-H28&gt;0,C18+C19-H28,"-")</f>
        <v>-</v>
      </c>
      <c r="I30" s="182" t="str">
        <f>IF(D18+D19-I28&gt;0,D18+D19-I28,"-")</f>
        <v>-</v>
      </c>
      <c r="J30" s="182" t="str">
        <f>IF(E18+E19-J28&gt;0,E18+E19-J28,"-")</f>
        <v>-</v>
      </c>
      <c r="K30" s="137">
        <f>IF(F18+F19-K28&gt;0,F18+F19-K28,"-")</f>
        <v>82332</v>
      </c>
      <c r="L30" s="444"/>
    </row>
  </sheetData>
  <sheetProtection/>
  <mergeCells count="2">
    <mergeCell ref="A3:A4"/>
    <mergeCell ref="L1:L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2"/>
  <headerFooter alignWithMargins="0">
    <oddHeader xml:space="preserve">&amp;C2.1 melléklet az 1/2014/.(II.7.) önkormányzati rendelethez&amp;R&amp;"Times New Roman CE,Félkövér dőlt"&amp;11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view="pageLayout" zoomScaleSheetLayoutView="115" workbookViewId="0" topLeftCell="C1">
      <selection activeCell="H3" sqref="H3:I3"/>
    </sheetView>
  </sheetViews>
  <sheetFormatPr defaultColWidth="9.375" defaultRowHeight="12.75"/>
  <cols>
    <col min="1" max="1" width="6.75390625" style="38" customWidth="1"/>
    <col min="2" max="2" width="55.125" style="71" customWidth="1"/>
    <col min="3" max="5" width="16.375" style="38" customWidth="1"/>
    <col min="6" max="6" width="16.375" style="38" hidden="1" customWidth="1"/>
    <col min="7" max="7" width="55.125" style="38" customWidth="1"/>
    <col min="8" max="10" width="16.375" style="38" customWidth="1"/>
    <col min="11" max="11" width="16.375" style="38" hidden="1" customWidth="1"/>
    <col min="12" max="12" width="4.75390625" style="38" customWidth="1"/>
    <col min="13" max="16384" width="9.375" style="38" customWidth="1"/>
  </cols>
  <sheetData>
    <row r="1" spans="2:12" ht="39.75" customHeight="1">
      <c r="B1" s="114" t="s">
        <v>96</v>
      </c>
      <c r="C1" s="115"/>
      <c r="D1" s="115"/>
      <c r="E1" s="115"/>
      <c r="F1" s="115"/>
      <c r="G1" s="115"/>
      <c r="H1" s="115"/>
      <c r="I1" s="115"/>
      <c r="J1" s="115"/>
      <c r="K1" s="115"/>
      <c r="L1" s="447" t="s">
        <v>474</v>
      </c>
    </row>
    <row r="2" spans="8:12" ht="14.25" thickBot="1">
      <c r="H2" s="116"/>
      <c r="I2" s="116"/>
      <c r="J2" s="116"/>
      <c r="K2" s="116" t="s">
        <v>47</v>
      </c>
      <c r="L2" s="447"/>
    </row>
    <row r="3" spans="1:12" ht="24" customHeight="1" thickBot="1">
      <c r="A3" s="445" t="s">
        <v>55</v>
      </c>
      <c r="B3" s="117" t="s">
        <v>40</v>
      </c>
      <c r="C3" s="118"/>
      <c r="D3" s="118"/>
      <c r="E3" s="118"/>
      <c r="F3" s="118"/>
      <c r="G3" s="117" t="s">
        <v>42</v>
      </c>
      <c r="H3" s="119"/>
      <c r="I3" s="119"/>
      <c r="J3" s="119"/>
      <c r="K3" s="119"/>
      <c r="L3" s="447"/>
    </row>
    <row r="4" spans="1:12" s="120" customFormat="1" ht="35.25" customHeight="1" thickBot="1">
      <c r="A4" s="446"/>
      <c r="B4" s="72" t="s">
        <v>48</v>
      </c>
      <c r="C4" s="166" t="s">
        <v>344</v>
      </c>
      <c r="D4" s="164" t="s">
        <v>471</v>
      </c>
      <c r="E4" s="167" t="s">
        <v>345</v>
      </c>
      <c r="F4" s="166" t="s">
        <v>325</v>
      </c>
      <c r="G4" s="72" t="s">
        <v>48</v>
      </c>
      <c r="H4" s="166" t="s">
        <v>344</v>
      </c>
      <c r="I4" s="164" t="s">
        <v>471</v>
      </c>
      <c r="J4" s="167" t="s">
        <v>345</v>
      </c>
      <c r="K4" s="166" t="s">
        <v>325</v>
      </c>
      <c r="L4" s="447"/>
    </row>
    <row r="5" spans="1:12" s="120" customFormat="1" ht="13.5" thickBot="1">
      <c r="A5" s="121">
        <v>1</v>
      </c>
      <c r="B5" s="122">
        <v>2</v>
      </c>
      <c r="C5" s="123">
        <v>3</v>
      </c>
      <c r="D5" s="123">
        <v>4</v>
      </c>
      <c r="E5" s="123">
        <v>5</v>
      </c>
      <c r="F5" s="123">
        <v>5</v>
      </c>
      <c r="G5" s="122">
        <v>6</v>
      </c>
      <c r="H5" s="123">
        <v>7</v>
      </c>
      <c r="I5" s="123">
        <v>8</v>
      </c>
      <c r="J5" s="123">
        <v>9</v>
      </c>
      <c r="K5" s="124">
        <v>9</v>
      </c>
      <c r="L5" s="447"/>
    </row>
    <row r="6" spans="1:12" ht="12.75" customHeight="1">
      <c r="A6" s="126" t="s">
        <v>5</v>
      </c>
      <c r="B6" s="127" t="s">
        <v>346</v>
      </c>
      <c r="C6" s="106">
        <v>46250</v>
      </c>
      <c r="D6" s="106">
        <v>144472</v>
      </c>
      <c r="E6" s="106">
        <v>190722</v>
      </c>
      <c r="F6" s="106">
        <v>145229</v>
      </c>
      <c r="G6" s="127" t="s">
        <v>133</v>
      </c>
      <c r="H6" s="192">
        <v>38195</v>
      </c>
      <c r="I6" s="192">
        <v>16697</v>
      </c>
      <c r="J6" s="192">
        <v>54892</v>
      </c>
      <c r="K6" s="249">
        <v>14903</v>
      </c>
      <c r="L6" s="447"/>
    </row>
    <row r="7" spans="1:12" ht="22.5" customHeight="1">
      <c r="A7" s="128" t="s">
        <v>6</v>
      </c>
      <c r="B7" s="129" t="s">
        <v>347</v>
      </c>
      <c r="C7" s="107">
        <v>46250</v>
      </c>
      <c r="D7" s="107">
        <v>142735</v>
      </c>
      <c r="E7" s="107">
        <v>188985</v>
      </c>
      <c r="F7" s="107">
        <v>143492</v>
      </c>
      <c r="G7" s="129" t="s">
        <v>355</v>
      </c>
      <c r="H7" s="107">
        <v>36155</v>
      </c>
      <c r="I7" s="107"/>
      <c r="J7" s="107">
        <v>36155</v>
      </c>
      <c r="K7" s="196">
        <v>4013</v>
      </c>
      <c r="L7" s="447"/>
    </row>
    <row r="8" spans="1:12" ht="12.75" customHeight="1">
      <c r="A8" s="128" t="s">
        <v>7</v>
      </c>
      <c r="B8" s="129" t="s">
        <v>348</v>
      </c>
      <c r="C8" s="107"/>
      <c r="D8" s="107"/>
      <c r="E8" s="107"/>
      <c r="F8" s="107"/>
      <c r="G8" s="129" t="s">
        <v>115</v>
      </c>
      <c r="H8" s="107">
        <v>186125</v>
      </c>
      <c r="I8" s="107">
        <v>11753</v>
      </c>
      <c r="J8" s="107">
        <v>197878</v>
      </c>
      <c r="K8" s="196">
        <v>117959</v>
      </c>
      <c r="L8" s="447"/>
    </row>
    <row r="9" spans="1:12" ht="12.75" customHeight="1">
      <c r="A9" s="128" t="s">
        <v>8</v>
      </c>
      <c r="B9" s="129" t="s">
        <v>349</v>
      </c>
      <c r="C9" s="107"/>
      <c r="D9" s="107">
        <v>2414</v>
      </c>
      <c r="E9" s="107">
        <v>2414</v>
      </c>
      <c r="F9" s="107"/>
      <c r="G9" s="129" t="s">
        <v>356</v>
      </c>
      <c r="H9" s="107">
        <v>25005</v>
      </c>
      <c r="I9" s="207">
        <v>11753</v>
      </c>
      <c r="J9" s="207">
        <v>36758</v>
      </c>
      <c r="K9" s="196">
        <v>115914</v>
      </c>
      <c r="L9" s="447"/>
    </row>
    <row r="10" spans="1:12" ht="12.75" customHeight="1">
      <c r="A10" s="128" t="s">
        <v>9</v>
      </c>
      <c r="B10" s="129" t="s">
        <v>350</v>
      </c>
      <c r="C10" s="107"/>
      <c r="D10" s="107"/>
      <c r="E10" s="107"/>
      <c r="F10" s="107"/>
      <c r="G10" s="129" t="s">
        <v>136</v>
      </c>
      <c r="H10" s="107">
        <v>1786</v>
      </c>
      <c r="I10" s="107">
        <v>80</v>
      </c>
      <c r="J10" s="107">
        <v>1866</v>
      </c>
      <c r="K10" s="196">
        <v>80</v>
      </c>
      <c r="L10" s="447"/>
    </row>
    <row r="11" spans="1:12" ht="12.75" customHeight="1">
      <c r="A11" s="128" t="s">
        <v>10</v>
      </c>
      <c r="B11" s="129" t="s">
        <v>351</v>
      </c>
      <c r="C11" s="108">
        <v>15000</v>
      </c>
      <c r="D11" s="108">
        <v>5</v>
      </c>
      <c r="E11" s="108">
        <v>15005</v>
      </c>
      <c r="F11" s="108">
        <v>3444</v>
      </c>
      <c r="G11" s="313"/>
      <c r="H11" s="107"/>
      <c r="I11" s="107"/>
      <c r="J11" s="107"/>
      <c r="K11" s="196"/>
      <c r="L11" s="447"/>
    </row>
    <row r="12" spans="1:12" ht="12.75" customHeight="1">
      <c r="A12" s="128" t="s">
        <v>11</v>
      </c>
      <c r="B12" s="33"/>
      <c r="C12" s="107"/>
      <c r="D12" s="107"/>
      <c r="E12" s="107"/>
      <c r="F12" s="107"/>
      <c r="G12" s="313"/>
      <c r="H12" s="107"/>
      <c r="I12" s="107"/>
      <c r="J12" s="107"/>
      <c r="K12" s="196"/>
      <c r="L12" s="447"/>
    </row>
    <row r="13" spans="1:12" ht="12.75" customHeight="1">
      <c r="A13" s="128" t="s">
        <v>12</v>
      </c>
      <c r="B13" s="33"/>
      <c r="C13" s="107"/>
      <c r="D13" s="107"/>
      <c r="E13" s="107"/>
      <c r="F13" s="107"/>
      <c r="G13" s="314"/>
      <c r="H13" s="107"/>
      <c r="I13" s="107"/>
      <c r="J13" s="107"/>
      <c r="K13" s="196"/>
      <c r="L13" s="447"/>
    </row>
    <row r="14" spans="1:12" ht="12.75" customHeight="1">
      <c r="A14" s="128" t="s">
        <v>13</v>
      </c>
      <c r="B14" s="313"/>
      <c r="C14" s="108"/>
      <c r="D14" s="108"/>
      <c r="E14" s="108"/>
      <c r="F14" s="108"/>
      <c r="G14" s="313"/>
      <c r="H14" s="107"/>
      <c r="I14" s="107"/>
      <c r="J14" s="107"/>
      <c r="K14" s="196"/>
      <c r="L14" s="447"/>
    </row>
    <row r="15" spans="1:12" ht="22.5" customHeight="1">
      <c r="A15" s="128" t="s">
        <v>14</v>
      </c>
      <c r="B15" s="33"/>
      <c r="C15" s="108"/>
      <c r="D15" s="108"/>
      <c r="E15" s="108"/>
      <c r="F15" s="108"/>
      <c r="G15" s="313"/>
      <c r="H15" s="107"/>
      <c r="I15" s="107"/>
      <c r="J15" s="107"/>
      <c r="K15" s="196"/>
      <c r="L15" s="447"/>
    </row>
    <row r="16" spans="1:12" ht="12.75" customHeight="1" thickBot="1">
      <c r="A16" s="199" t="s">
        <v>15</v>
      </c>
      <c r="B16" s="247"/>
      <c r="C16" s="248"/>
      <c r="D16" s="248"/>
      <c r="E16" s="248"/>
      <c r="F16" s="248"/>
      <c r="G16" s="200" t="s">
        <v>35</v>
      </c>
      <c r="H16" s="193">
        <v>135832</v>
      </c>
      <c r="I16" s="193"/>
      <c r="J16" s="193">
        <v>135832</v>
      </c>
      <c r="K16" s="250"/>
      <c r="L16" s="447"/>
    </row>
    <row r="17" spans="1:12" ht="12.75" customHeight="1" thickBot="1">
      <c r="A17" s="131" t="s">
        <v>16</v>
      </c>
      <c r="B17" s="54" t="s">
        <v>352</v>
      </c>
      <c r="C17" s="110">
        <f>+C6+C8+C9+C11+C12+C13+C14+C15+C16</f>
        <v>61250</v>
      </c>
      <c r="D17" s="110">
        <f>+D6+D8+D9+D11+D12+D13+D14+D15+D16</f>
        <v>146891</v>
      </c>
      <c r="E17" s="110">
        <f>+E6+E8+E9+E11+E12+E13+E14+E15+E16</f>
        <v>208141</v>
      </c>
      <c r="F17" s="110">
        <f>+F6+F8+F9+F11+F12+F13+F14+F15+F16</f>
        <v>148673</v>
      </c>
      <c r="G17" s="54" t="s">
        <v>357</v>
      </c>
      <c r="H17" s="110">
        <f>+H6+H8+H10+H11+H12+H13+H14+H15+H16</f>
        <v>361938</v>
      </c>
      <c r="I17" s="110">
        <f>+I6+I8+I10+I11+I12+I13+I14+I15+I16</f>
        <v>28530</v>
      </c>
      <c r="J17" s="110">
        <f>+J6+J8+J10+J11+J12+J13+J14+J15+J16</f>
        <v>390468</v>
      </c>
      <c r="K17" s="243">
        <f>+K6+K8+K10+K11+K12+K13+K14+K15+K16</f>
        <v>132942</v>
      </c>
      <c r="L17" s="447"/>
    </row>
    <row r="18" spans="1:12" ht="15.75" customHeight="1">
      <c r="A18" s="126" t="s">
        <v>17</v>
      </c>
      <c r="B18" s="139" t="s">
        <v>154</v>
      </c>
      <c r="C18" s="146">
        <f>+C19+C20+C21+C22+C23</f>
        <v>300688</v>
      </c>
      <c r="D18" s="146"/>
      <c r="E18" s="146">
        <f>+E19+E20+E21+E22+E23</f>
        <v>300688</v>
      </c>
      <c r="F18" s="146">
        <f>+F19+F20+F21+F22+F23</f>
        <v>300688</v>
      </c>
      <c r="G18" s="134" t="s">
        <v>119</v>
      </c>
      <c r="H18" s="183"/>
      <c r="I18" s="183"/>
      <c r="J18" s="183"/>
      <c r="K18" s="251"/>
      <c r="L18" s="447"/>
    </row>
    <row r="19" spans="1:12" ht="12.75" customHeight="1">
      <c r="A19" s="128" t="s">
        <v>18</v>
      </c>
      <c r="B19" s="140" t="s">
        <v>143</v>
      </c>
      <c r="C19" s="44">
        <v>300688</v>
      </c>
      <c r="D19" s="44"/>
      <c r="E19" s="44">
        <v>300688</v>
      </c>
      <c r="F19" s="44">
        <v>300688</v>
      </c>
      <c r="G19" s="134" t="s">
        <v>122</v>
      </c>
      <c r="H19" s="44"/>
      <c r="I19" s="44"/>
      <c r="J19" s="44"/>
      <c r="K19" s="246"/>
      <c r="L19" s="447"/>
    </row>
    <row r="20" spans="1:12" ht="12.75" customHeight="1">
      <c r="A20" s="126" t="s">
        <v>19</v>
      </c>
      <c r="B20" s="140" t="s">
        <v>144</v>
      </c>
      <c r="C20" s="44"/>
      <c r="D20" s="44"/>
      <c r="E20" s="44"/>
      <c r="F20" s="44"/>
      <c r="G20" s="134" t="s">
        <v>93</v>
      </c>
      <c r="H20" s="44"/>
      <c r="I20" s="44"/>
      <c r="J20" s="44"/>
      <c r="K20" s="246"/>
      <c r="L20" s="447"/>
    </row>
    <row r="21" spans="1:12" ht="12.75" customHeight="1">
      <c r="A21" s="128" t="s">
        <v>20</v>
      </c>
      <c r="B21" s="140" t="s">
        <v>145</v>
      </c>
      <c r="C21" s="44"/>
      <c r="D21" s="44"/>
      <c r="E21" s="44"/>
      <c r="F21" s="44"/>
      <c r="G21" s="134" t="s">
        <v>94</v>
      </c>
      <c r="H21" s="44"/>
      <c r="I21" s="44"/>
      <c r="J21" s="44"/>
      <c r="K21" s="246"/>
      <c r="L21" s="447"/>
    </row>
    <row r="22" spans="1:12" ht="12.75" customHeight="1">
      <c r="A22" s="126" t="s">
        <v>21</v>
      </c>
      <c r="B22" s="140" t="s">
        <v>146</v>
      </c>
      <c r="C22" s="44"/>
      <c r="D22" s="44"/>
      <c r="E22" s="44"/>
      <c r="F22" s="44"/>
      <c r="G22" s="132" t="s">
        <v>140</v>
      </c>
      <c r="H22" s="44"/>
      <c r="I22" s="44"/>
      <c r="J22" s="44"/>
      <c r="K22" s="246"/>
      <c r="L22" s="447"/>
    </row>
    <row r="23" spans="1:12" ht="12.75" customHeight="1">
      <c r="A23" s="128" t="s">
        <v>22</v>
      </c>
      <c r="B23" s="141" t="s">
        <v>147</v>
      </c>
      <c r="C23" s="44"/>
      <c r="D23" s="44"/>
      <c r="E23" s="44"/>
      <c r="F23" s="44"/>
      <c r="G23" s="134" t="s">
        <v>123</v>
      </c>
      <c r="H23" s="44"/>
      <c r="I23" s="44">
        <v>29</v>
      </c>
      <c r="J23" s="44">
        <v>29</v>
      </c>
      <c r="K23" s="246">
        <v>29</v>
      </c>
      <c r="L23" s="447"/>
    </row>
    <row r="24" spans="1:12" ht="12.75" customHeight="1">
      <c r="A24" s="126" t="s">
        <v>23</v>
      </c>
      <c r="B24" s="142" t="s">
        <v>148</v>
      </c>
      <c r="C24" s="135">
        <f>+C25+C26+C27+C28+C29</f>
        <v>0</v>
      </c>
      <c r="D24" s="135"/>
      <c r="E24" s="135">
        <f>+E25+E26+E27+E28+E29</f>
        <v>0</v>
      </c>
      <c r="F24" s="135">
        <f>+F25+F26+F27+F28+F29</f>
        <v>0</v>
      </c>
      <c r="G24" s="143" t="s">
        <v>121</v>
      </c>
      <c r="H24" s="44"/>
      <c r="I24" s="44"/>
      <c r="J24" s="44"/>
      <c r="K24" s="246"/>
      <c r="L24" s="447"/>
    </row>
    <row r="25" spans="1:12" ht="12.75" customHeight="1">
      <c r="A25" s="128" t="s">
        <v>24</v>
      </c>
      <c r="B25" s="141" t="s">
        <v>149</v>
      </c>
      <c r="C25" s="44"/>
      <c r="D25" s="44"/>
      <c r="E25" s="44"/>
      <c r="F25" s="44"/>
      <c r="G25" s="143" t="s">
        <v>358</v>
      </c>
      <c r="H25" s="44"/>
      <c r="I25" s="44"/>
      <c r="J25" s="44"/>
      <c r="K25" s="246"/>
      <c r="L25" s="447"/>
    </row>
    <row r="26" spans="1:12" ht="12.75" customHeight="1">
      <c r="A26" s="126" t="s">
        <v>25</v>
      </c>
      <c r="B26" s="141" t="s">
        <v>150</v>
      </c>
      <c r="C26" s="44"/>
      <c r="D26" s="44"/>
      <c r="E26" s="44"/>
      <c r="F26" s="44"/>
      <c r="G26" s="138"/>
      <c r="H26" s="44"/>
      <c r="I26" s="44"/>
      <c r="J26" s="44"/>
      <c r="K26" s="246"/>
      <c r="L26" s="447"/>
    </row>
    <row r="27" spans="1:12" ht="12.75" customHeight="1">
      <c r="A27" s="128" t="s">
        <v>26</v>
      </c>
      <c r="B27" s="140" t="s">
        <v>151</v>
      </c>
      <c r="C27" s="44"/>
      <c r="D27" s="44"/>
      <c r="E27" s="44"/>
      <c r="F27" s="44"/>
      <c r="G27" s="51"/>
      <c r="H27" s="44"/>
      <c r="I27" s="44"/>
      <c r="J27" s="44"/>
      <c r="K27" s="246"/>
      <c r="L27" s="447"/>
    </row>
    <row r="28" spans="1:12" ht="12.75" customHeight="1">
      <c r="A28" s="126" t="s">
        <v>27</v>
      </c>
      <c r="B28" s="144" t="s">
        <v>152</v>
      </c>
      <c r="C28" s="44"/>
      <c r="D28" s="44"/>
      <c r="E28" s="44"/>
      <c r="F28" s="44"/>
      <c r="G28" s="33"/>
      <c r="H28" s="44"/>
      <c r="I28" s="44"/>
      <c r="J28" s="44"/>
      <c r="K28" s="246"/>
      <c r="L28" s="447"/>
    </row>
    <row r="29" spans="1:12" ht="12.75" customHeight="1" thickBot="1">
      <c r="A29" s="128" t="s">
        <v>28</v>
      </c>
      <c r="B29" s="145" t="s">
        <v>153</v>
      </c>
      <c r="C29" s="44"/>
      <c r="D29" s="44"/>
      <c r="E29" s="44"/>
      <c r="F29" s="44"/>
      <c r="G29" s="51"/>
      <c r="H29" s="44"/>
      <c r="I29" s="44"/>
      <c r="J29" s="44"/>
      <c r="K29" s="246"/>
      <c r="L29" s="447"/>
    </row>
    <row r="30" spans="1:12" ht="12.75" customHeight="1" thickBot="1">
      <c r="A30" s="131" t="s">
        <v>29</v>
      </c>
      <c r="B30" s="54" t="s">
        <v>353</v>
      </c>
      <c r="C30" s="110">
        <f>+C18+C24</f>
        <v>300688</v>
      </c>
      <c r="D30" s="110"/>
      <c r="E30" s="110">
        <f>+E18+E24</f>
        <v>300688</v>
      </c>
      <c r="F30" s="110">
        <f>+F18+F24</f>
        <v>300688</v>
      </c>
      <c r="G30" s="54" t="s">
        <v>359</v>
      </c>
      <c r="H30" s="110">
        <f>SUM(H18:H29)</f>
        <v>0</v>
      </c>
      <c r="I30" s="110">
        <f>SUM(I18:I29)</f>
        <v>29</v>
      </c>
      <c r="J30" s="110">
        <f>SUM(J18:J29)</f>
        <v>29</v>
      </c>
      <c r="K30" s="243">
        <f>SUM(K18:K29)</f>
        <v>29</v>
      </c>
      <c r="L30" s="447"/>
    </row>
    <row r="31" spans="1:12" ht="21.75" customHeight="1" thickBot="1">
      <c r="A31" s="131" t="s">
        <v>30</v>
      </c>
      <c r="B31" s="136" t="s">
        <v>354</v>
      </c>
      <c r="C31" s="182">
        <f>+C17+C30</f>
        <v>361938</v>
      </c>
      <c r="D31" s="182">
        <f>+D17+D30</f>
        <v>146891</v>
      </c>
      <c r="E31" s="182">
        <f>+E17+E30</f>
        <v>508829</v>
      </c>
      <c r="F31" s="137">
        <f>+F17+F30</f>
        <v>449361</v>
      </c>
      <c r="G31" s="136" t="s">
        <v>360</v>
      </c>
      <c r="H31" s="182">
        <f>+H17+H30</f>
        <v>361938</v>
      </c>
      <c r="I31" s="182">
        <f>+I17+I30</f>
        <v>28559</v>
      </c>
      <c r="J31" s="182">
        <f>+J17+J30</f>
        <v>390497</v>
      </c>
      <c r="K31" s="137">
        <f>+K17+K30</f>
        <v>132971</v>
      </c>
      <c r="L31" s="447"/>
    </row>
    <row r="32" spans="1:12" ht="18" customHeight="1" thickBot="1">
      <c r="A32" s="131" t="s">
        <v>31</v>
      </c>
      <c r="B32" s="136" t="s">
        <v>97</v>
      </c>
      <c r="C32" s="182">
        <f>IF(C17-H17&lt;0,H17-C17,"-")</f>
        <v>300688</v>
      </c>
      <c r="D32" s="182" t="str">
        <f>IF(D17-I17&lt;0,I17-D17,"-")</f>
        <v>-</v>
      </c>
      <c r="E32" s="182">
        <f>IF(E17-J17&lt;0,J17-E17,"-")</f>
        <v>182327</v>
      </c>
      <c r="F32" s="137" t="str">
        <f>IF(F17-K17&lt;0,K17-F17,"-")</f>
        <v>-</v>
      </c>
      <c r="G32" s="136" t="s">
        <v>98</v>
      </c>
      <c r="H32" s="182" t="str">
        <f>IF(C17-H17&gt;0,C17-H17,"-")</f>
        <v>-</v>
      </c>
      <c r="I32" s="182">
        <f>IF(D17-I17&gt;0,D17-I17,"-")</f>
        <v>118361</v>
      </c>
      <c r="J32" s="182" t="str">
        <f>IF(E17-J17&gt;0,E17-J17,"-")</f>
        <v>-</v>
      </c>
      <c r="K32" s="137">
        <f>IF(F17-K17&gt;0,F17-K17,"-")</f>
        <v>15731</v>
      </c>
      <c r="L32" s="447"/>
    </row>
    <row r="33" spans="1:12" ht="18" customHeight="1" thickBot="1">
      <c r="A33" s="131" t="s">
        <v>32</v>
      </c>
      <c r="B33" s="136" t="s">
        <v>141</v>
      </c>
      <c r="C33" s="182" t="str">
        <f>IF(C17+C18-H31&lt;0,H31-(C17+C18),"-")</f>
        <v>-</v>
      </c>
      <c r="D33" s="182" t="str">
        <f>IF(D17+D18-I31&lt;0,I31-(D17+D18),"-")</f>
        <v>-</v>
      </c>
      <c r="E33" s="182" t="str">
        <f>IF(E17+E18-J31&lt;0,J31-(E17+E18),"-")</f>
        <v>-</v>
      </c>
      <c r="F33" s="182" t="str">
        <f>IF(F17+F18-K31&lt;0,K31-(F17+F18),"-")</f>
        <v>-</v>
      </c>
      <c r="G33" s="136" t="s">
        <v>142</v>
      </c>
      <c r="H33" s="182" t="str">
        <f>IF(C17+C18-H31&gt;0,C17+C18-H31,"-")</f>
        <v>-</v>
      </c>
      <c r="I33" s="182">
        <f>IF(D17+D18-I31&gt;0,D17+D18-I31,"-")</f>
        <v>118332</v>
      </c>
      <c r="J33" s="182">
        <f>IF(E17+E18-J31&gt;0,E17+E18-J31,"-")</f>
        <v>118332</v>
      </c>
      <c r="K33" s="312">
        <f>IF(F17+F18-K31&gt;0,F17+F18-K31,"-")</f>
        <v>316390</v>
      </c>
      <c r="L33" s="447"/>
    </row>
  </sheetData>
  <sheetProtection/>
  <mergeCells count="2">
    <mergeCell ref="A3:A4"/>
    <mergeCell ref="L1:L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  <headerFooter alignWithMargins="0">
    <oddHeader>&amp;C2.2 melléklet az 1/2014.(II.7.)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8" sqref="C8"/>
    </sheetView>
  </sheetViews>
  <sheetFormatPr defaultColWidth="9.375" defaultRowHeight="12.75"/>
  <cols>
    <col min="1" max="1" width="5.625" style="60" customWidth="1"/>
    <col min="2" max="2" width="61.00390625" style="60" customWidth="1"/>
    <col min="3" max="4" width="16.00390625" style="60" customWidth="1"/>
    <col min="5" max="16384" width="9.375" style="60" customWidth="1"/>
  </cols>
  <sheetData>
    <row r="1" spans="1:4" ht="33" customHeight="1">
      <c r="A1" s="451" t="s">
        <v>447</v>
      </c>
      <c r="B1" s="451"/>
      <c r="C1" s="451"/>
      <c r="D1" s="451"/>
    </row>
    <row r="2" spans="1:4" ht="15.75" customHeight="1" thickBot="1">
      <c r="A2" s="61"/>
      <c r="B2" s="61"/>
      <c r="C2" s="62"/>
      <c r="D2" s="62" t="s">
        <v>38</v>
      </c>
    </row>
    <row r="3" spans="1:4" ht="26.25" customHeight="1" thickBot="1">
      <c r="A3" s="63" t="s">
        <v>3</v>
      </c>
      <c r="B3" s="64" t="s">
        <v>124</v>
      </c>
      <c r="C3" s="65" t="s">
        <v>344</v>
      </c>
      <c r="D3" s="65" t="s">
        <v>345</v>
      </c>
    </row>
    <row r="4" spans="1:4" ht="14.25" thickBot="1">
      <c r="A4" s="66">
        <v>1</v>
      </c>
      <c r="B4" s="67">
        <v>2</v>
      </c>
      <c r="C4" s="67">
        <v>3</v>
      </c>
      <c r="D4" s="184">
        <v>3</v>
      </c>
    </row>
    <row r="5" spans="1:4" ht="13.5">
      <c r="A5" s="68" t="s">
        <v>5</v>
      </c>
      <c r="B5" s="150" t="s">
        <v>41</v>
      </c>
      <c r="C5" s="186">
        <v>40000</v>
      </c>
      <c r="D5" s="147">
        <v>54524</v>
      </c>
    </row>
    <row r="6" spans="1:4" ht="24">
      <c r="A6" s="69" t="s">
        <v>6</v>
      </c>
      <c r="B6" s="158" t="s">
        <v>155</v>
      </c>
      <c r="C6" s="187"/>
      <c r="D6" s="148"/>
    </row>
    <row r="7" spans="1:4" ht="13.5">
      <c r="A7" s="69" t="s">
        <v>7</v>
      </c>
      <c r="B7" s="315" t="s">
        <v>389</v>
      </c>
      <c r="C7" s="187">
        <v>15000</v>
      </c>
      <c r="D7" s="148">
        <v>15000</v>
      </c>
    </row>
    <row r="8" spans="1:4" ht="24">
      <c r="A8" s="69" t="s">
        <v>8</v>
      </c>
      <c r="B8" s="159" t="s">
        <v>157</v>
      </c>
      <c r="C8" s="187"/>
      <c r="D8" s="148"/>
    </row>
    <row r="9" spans="1:4" ht="13.5">
      <c r="A9" s="70" t="s">
        <v>9</v>
      </c>
      <c r="B9" s="159" t="s">
        <v>156</v>
      </c>
      <c r="C9" s="188">
        <v>400</v>
      </c>
      <c r="D9" s="149">
        <v>8078</v>
      </c>
    </row>
    <row r="10" spans="1:4" ht="14.25" thickBot="1">
      <c r="A10" s="69" t="s">
        <v>10</v>
      </c>
      <c r="B10" s="160" t="s">
        <v>125</v>
      </c>
      <c r="C10" s="187"/>
      <c r="D10" s="148"/>
    </row>
    <row r="11" spans="1:4" ht="14.25" thickBot="1">
      <c r="A11" s="448" t="s">
        <v>126</v>
      </c>
      <c r="B11" s="449"/>
      <c r="C11" s="189">
        <f>SUM(C5:C10)</f>
        <v>55400</v>
      </c>
      <c r="D11" s="185">
        <f>SUM(D5:D10)</f>
        <v>77602</v>
      </c>
    </row>
    <row r="12" spans="1:3" ht="23.25" customHeight="1">
      <c r="A12" s="450" t="s">
        <v>130</v>
      </c>
      <c r="B12" s="450"/>
      <c r="C12" s="450"/>
    </row>
  </sheetData>
  <sheetProtection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sz. melléklet az 1/2014.(II.7.)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1">
      <selection activeCell="E4" sqref="E4"/>
    </sheetView>
  </sheetViews>
  <sheetFormatPr defaultColWidth="9.375" defaultRowHeight="12.75"/>
  <cols>
    <col min="1" max="1" width="47.375" style="31" customWidth="1"/>
    <col min="2" max="2" width="14.50390625" style="30" customWidth="1"/>
    <col min="3" max="3" width="13.75390625" style="30" customWidth="1"/>
    <col min="4" max="4" width="14.75390625" style="30" customWidth="1"/>
    <col min="5" max="5" width="13.50390625" style="30" customWidth="1"/>
    <col min="6" max="6" width="15.625" style="342" customWidth="1"/>
    <col min="7" max="7" width="15.625" style="30" customWidth="1"/>
    <col min="8" max="8" width="13.75390625" style="30" customWidth="1"/>
    <col min="9" max="16384" width="9.375" style="30" customWidth="1"/>
  </cols>
  <sheetData>
    <row r="1" spans="1:7" ht="18" customHeight="1">
      <c r="A1" s="453" t="s">
        <v>0</v>
      </c>
      <c r="B1" s="453"/>
      <c r="C1" s="453"/>
      <c r="D1" s="453"/>
      <c r="E1" s="453"/>
      <c r="F1" s="453"/>
      <c r="G1" s="453"/>
    </row>
    <row r="2" spans="1:7" ht="22.5" customHeight="1" thickBot="1">
      <c r="A2" s="71"/>
      <c r="B2" s="38"/>
      <c r="C2" s="38"/>
      <c r="D2" s="38"/>
      <c r="E2" s="38"/>
      <c r="F2" s="452" t="s">
        <v>47</v>
      </c>
      <c r="G2" s="452"/>
    </row>
    <row r="3" spans="1:7" s="32" customFormat="1" ht="50.25" customHeight="1" thickBot="1">
      <c r="A3" s="72" t="s">
        <v>51</v>
      </c>
      <c r="B3" s="73" t="s">
        <v>52</v>
      </c>
      <c r="C3" s="73" t="s">
        <v>53</v>
      </c>
      <c r="D3" s="73" t="s">
        <v>361</v>
      </c>
      <c r="E3" s="73" t="s">
        <v>345</v>
      </c>
      <c r="F3" s="336" t="s">
        <v>362</v>
      </c>
      <c r="G3" s="34" t="s">
        <v>363</v>
      </c>
    </row>
    <row r="4" spans="1:7" s="38" customFormat="1" ht="12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337" t="s">
        <v>10</v>
      </c>
      <c r="G4" s="37" t="s">
        <v>160</v>
      </c>
    </row>
    <row r="5" spans="1:7" ht="15.75" customHeight="1">
      <c r="A5" s="318" t="s">
        <v>394</v>
      </c>
      <c r="B5" s="319">
        <v>10725</v>
      </c>
      <c r="C5" s="320" t="s">
        <v>395</v>
      </c>
      <c r="D5" s="20"/>
      <c r="E5" s="351">
        <v>10725</v>
      </c>
      <c r="F5" s="338">
        <v>1962</v>
      </c>
      <c r="G5" s="169">
        <f>+D5+F5</f>
        <v>1962</v>
      </c>
    </row>
    <row r="6" spans="1:7" ht="15.75" customHeight="1">
      <c r="A6" s="318" t="s">
        <v>396</v>
      </c>
      <c r="B6" s="319">
        <v>1874487</v>
      </c>
      <c r="C6" s="320" t="s">
        <v>395</v>
      </c>
      <c r="D6" s="20"/>
      <c r="E6" s="351">
        <v>25430</v>
      </c>
      <c r="F6" s="338"/>
      <c r="G6" s="169">
        <f aca="true" t="shared" si="0" ref="G6:G23">+D6+F6</f>
        <v>0</v>
      </c>
    </row>
    <row r="7" spans="1:7" ht="15.75" customHeight="1">
      <c r="A7" s="33"/>
      <c r="B7" s="20"/>
      <c r="C7" s="316"/>
      <c r="D7" s="20"/>
      <c r="E7" s="351"/>
      <c r="F7" s="338"/>
      <c r="G7" s="169">
        <f t="shared" si="0"/>
        <v>0</v>
      </c>
    </row>
    <row r="8" spans="1:7" ht="15.75" customHeight="1">
      <c r="A8" s="349" t="s">
        <v>402</v>
      </c>
      <c r="B8" s="20"/>
      <c r="C8" s="316"/>
      <c r="D8" s="20"/>
      <c r="E8" s="351">
        <v>3445</v>
      </c>
      <c r="F8" s="338">
        <f>2251+94+368+732</f>
        <v>3445</v>
      </c>
      <c r="G8" s="169">
        <f t="shared" si="0"/>
        <v>3445</v>
      </c>
    </row>
    <row r="9" spans="1:7" ht="15.75" customHeight="1">
      <c r="A9" s="350" t="s">
        <v>405</v>
      </c>
      <c r="B9" s="20"/>
      <c r="C9" s="316"/>
      <c r="D9" s="20"/>
      <c r="E9" s="351">
        <v>2051</v>
      </c>
      <c r="F9" s="338">
        <f>609+1006+436</f>
        <v>2051</v>
      </c>
      <c r="G9" s="169">
        <f t="shared" si="0"/>
        <v>2051</v>
      </c>
    </row>
    <row r="10" spans="1:7" ht="15.75" customHeight="1">
      <c r="A10" s="349" t="s">
        <v>403</v>
      </c>
      <c r="B10" s="20"/>
      <c r="C10" s="316"/>
      <c r="D10" s="20"/>
      <c r="E10" s="351">
        <v>1730</v>
      </c>
      <c r="F10" s="338">
        <f>380+1350</f>
        <v>1730</v>
      </c>
      <c r="G10" s="169">
        <f t="shared" si="0"/>
        <v>1730</v>
      </c>
    </row>
    <row r="11" spans="1:7" ht="15.75" customHeight="1">
      <c r="A11" s="350" t="s">
        <v>404</v>
      </c>
      <c r="B11" s="20"/>
      <c r="C11" s="316"/>
      <c r="D11" s="20"/>
      <c r="E11" s="351">
        <v>1550</v>
      </c>
      <c r="F11" s="338">
        <f>433+117</f>
        <v>550</v>
      </c>
      <c r="G11" s="169">
        <f t="shared" si="0"/>
        <v>550</v>
      </c>
    </row>
    <row r="12" spans="1:7" ht="15.75" customHeight="1">
      <c r="A12" s="350" t="s">
        <v>406</v>
      </c>
      <c r="B12" s="20"/>
      <c r="C12" s="316"/>
      <c r="D12" s="20"/>
      <c r="E12" s="351">
        <v>717</v>
      </c>
      <c r="F12" s="338">
        <f>565+152</f>
        <v>717</v>
      </c>
      <c r="G12" s="169">
        <f t="shared" si="0"/>
        <v>717</v>
      </c>
    </row>
    <row r="13" spans="1:7" ht="15.75" customHeight="1">
      <c r="A13" s="350" t="s">
        <v>407</v>
      </c>
      <c r="B13" s="20"/>
      <c r="C13" s="316"/>
      <c r="D13" s="20"/>
      <c r="E13" s="351">
        <v>7319</v>
      </c>
      <c r="F13" s="338">
        <f>2493+120</f>
        <v>2613</v>
      </c>
      <c r="G13" s="169">
        <f t="shared" si="0"/>
        <v>2613</v>
      </c>
    </row>
    <row r="14" spans="1:7" ht="15.75" customHeight="1">
      <c r="A14" s="350" t="s">
        <v>412</v>
      </c>
      <c r="B14" s="20"/>
      <c r="C14" s="316"/>
      <c r="D14" s="20"/>
      <c r="E14" s="351">
        <v>1157</v>
      </c>
      <c r="F14" s="338">
        <v>254</v>
      </c>
      <c r="G14" s="169">
        <f t="shared" si="0"/>
        <v>254</v>
      </c>
    </row>
    <row r="15" spans="1:7" ht="15.75" customHeight="1">
      <c r="A15" s="352" t="s">
        <v>446</v>
      </c>
      <c r="B15" s="20"/>
      <c r="C15" s="316"/>
      <c r="D15" s="20"/>
      <c r="E15" s="351">
        <v>768</v>
      </c>
      <c r="F15" s="338">
        <v>437</v>
      </c>
      <c r="G15" s="169">
        <f t="shared" si="0"/>
        <v>437</v>
      </c>
    </row>
    <row r="16" spans="1:7" ht="15.75" customHeight="1">
      <c r="A16" s="33"/>
      <c r="B16" s="20"/>
      <c r="C16" s="316"/>
      <c r="D16" s="20"/>
      <c r="E16" s="20"/>
      <c r="F16" s="338"/>
      <c r="G16" s="169">
        <f t="shared" si="0"/>
        <v>0</v>
      </c>
    </row>
    <row r="17" spans="1:7" ht="15.75" customHeight="1">
      <c r="A17" s="33"/>
      <c r="B17" s="20"/>
      <c r="C17" s="316"/>
      <c r="D17" s="20"/>
      <c r="E17" s="20"/>
      <c r="F17" s="338"/>
      <c r="G17" s="169">
        <f t="shared" si="0"/>
        <v>0</v>
      </c>
    </row>
    <row r="18" spans="1:7" ht="15.75" customHeight="1">
      <c r="A18" s="33"/>
      <c r="B18" s="20"/>
      <c r="C18" s="316"/>
      <c r="D18" s="20"/>
      <c r="E18" s="20"/>
      <c r="F18" s="338"/>
      <c r="G18" s="169">
        <f t="shared" si="0"/>
        <v>0</v>
      </c>
    </row>
    <row r="19" spans="1:7" ht="15.75" customHeight="1">
      <c r="A19" s="33"/>
      <c r="B19" s="20"/>
      <c r="C19" s="316"/>
      <c r="D19" s="20"/>
      <c r="E19" s="20"/>
      <c r="F19" s="338"/>
      <c r="G19" s="169">
        <f t="shared" si="0"/>
        <v>0</v>
      </c>
    </row>
    <row r="20" spans="1:7" ht="15.75" customHeight="1">
      <c r="A20" s="33"/>
      <c r="B20" s="20"/>
      <c r="C20" s="316"/>
      <c r="D20" s="20"/>
      <c r="E20" s="20"/>
      <c r="F20" s="338"/>
      <c r="G20" s="169">
        <f t="shared" si="0"/>
        <v>0</v>
      </c>
    </row>
    <row r="21" spans="1:7" ht="15.75" customHeight="1">
      <c r="A21" s="33"/>
      <c r="B21" s="20"/>
      <c r="C21" s="316"/>
      <c r="D21" s="20"/>
      <c r="E21" s="20"/>
      <c r="F21" s="338"/>
      <c r="G21" s="169">
        <f t="shared" si="0"/>
        <v>0</v>
      </c>
    </row>
    <row r="22" spans="1:7" ht="15.75" customHeight="1">
      <c r="A22" s="33"/>
      <c r="B22" s="20"/>
      <c r="C22" s="316"/>
      <c r="D22" s="20"/>
      <c r="E22" s="20"/>
      <c r="F22" s="338"/>
      <c r="G22" s="169">
        <f t="shared" si="0"/>
        <v>0</v>
      </c>
    </row>
    <row r="23" spans="1:7" ht="15.75" customHeight="1" thickBot="1">
      <c r="A23" s="39"/>
      <c r="B23" s="21"/>
      <c r="C23" s="317"/>
      <c r="D23" s="21"/>
      <c r="E23" s="21"/>
      <c r="F23" s="339"/>
      <c r="G23" s="169">
        <f t="shared" si="0"/>
        <v>0</v>
      </c>
    </row>
    <row r="24" spans="1:7" s="42" customFormat="1" ht="18" customHeight="1" thickBot="1">
      <c r="A24" s="74" t="s">
        <v>50</v>
      </c>
      <c r="B24" s="40">
        <f>SUM(B5:B23)</f>
        <v>1885212</v>
      </c>
      <c r="C24" s="50"/>
      <c r="D24" s="40">
        <f>SUM(D5:D23)</f>
        <v>0</v>
      </c>
      <c r="E24" s="40">
        <f>SUM(E5:E23)</f>
        <v>54892</v>
      </c>
      <c r="F24" s="340">
        <f>SUM(F5:F23)</f>
        <v>13759</v>
      </c>
      <c r="G24" s="41">
        <f>SUM(G5:G23)</f>
        <v>13759</v>
      </c>
    </row>
    <row r="25" spans="6:7" ht="15">
      <c r="F25" s="341"/>
      <c r="G25" s="42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1/2014.(II.7.)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view="pageLayout" workbookViewId="0" topLeftCell="A1">
      <selection activeCell="D4" sqref="D4:E4"/>
    </sheetView>
  </sheetViews>
  <sheetFormatPr defaultColWidth="9.375" defaultRowHeight="12.75"/>
  <cols>
    <col min="1" max="1" width="56.75390625" style="31" customWidth="1"/>
    <col min="2" max="7" width="15.75390625" style="30" customWidth="1"/>
    <col min="8" max="8" width="12.75390625" style="30" customWidth="1"/>
    <col min="9" max="9" width="13.75390625" style="30" customWidth="1"/>
    <col min="10" max="16384" width="9.375" style="30" customWidth="1"/>
  </cols>
  <sheetData>
    <row r="1" spans="1:7" ht="24.75" customHeight="1">
      <c r="A1" s="453" t="s">
        <v>1</v>
      </c>
      <c r="B1" s="453"/>
      <c r="C1" s="453"/>
      <c r="D1" s="453"/>
      <c r="E1" s="453"/>
      <c r="F1" s="453"/>
      <c r="G1" s="453"/>
    </row>
    <row r="2" spans="1:7" ht="23.25" customHeight="1" thickBot="1">
      <c r="A2" s="71"/>
      <c r="B2" s="38"/>
      <c r="C2" s="38"/>
      <c r="D2" s="38"/>
      <c r="E2" s="38"/>
      <c r="F2" s="452" t="s">
        <v>47</v>
      </c>
      <c r="G2" s="452"/>
    </row>
    <row r="3" spans="1:7" s="32" customFormat="1" ht="48.75" customHeight="1" thickBot="1">
      <c r="A3" s="72" t="s">
        <v>54</v>
      </c>
      <c r="B3" s="73" t="s">
        <v>52</v>
      </c>
      <c r="C3" s="73" t="s">
        <v>53</v>
      </c>
      <c r="D3" s="73" t="s">
        <v>361</v>
      </c>
      <c r="E3" s="73" t="s">
        <v>345</v>
      </c>
      <c r="F3" s="191" t="s">
        <v>362</v>
      </c>
      <c r="G3" s="190" t="s">
        <v>363</v>
      </c>
    </row>
    <row r="4" spans="1:7" s="38" customFormat="1" ht="15" customHeight="1" thickBot="1">
      <c r="A4" s="35">
        <v>1</v>
      </c>
      <c r="B4" s="36">
        <v>2</v>
      </c>
      <c r="C4" s="36">
        <v>3</v>
      </c>
      <c r="D4" s="36">
        <v>4</v>
      </c>
      <c r="E4" s="36">
        <v>5</v>
      </c>
      <c r="F4" s="168">
        <v>6</v>
      </c>
      <c r="G4" s="37" t="s">
        <v>160</v>
      </c>
    </row>
    <row r="5" spans="1:7" ht="15.75" customHeight="1">
      <c r="A5" s="321" t="s">
        <v>397</v>
      </c>
      <c r="B5" s="319">
        <v>25005</v>
      </c>
      <c r="C5" s="320" t="s">
        <v>395</v>
      </c>
      <c r="D5" s="351"/>
      <c r="E5" s="351">
        <v>25005</v>
      </c>
      <c r="F5" s="351">
        <v>1144</v>
      </c>
      <c r="G5" s="169">
        <f>+D5+F5</f>
        <v>1144</v>
      </c>
    </row>
    <row r="6" spans="1:7" ht="15.75" customHeight="1">
      <c r="A6" s="321" t="s">
        <v>398</v>
      </c>
      <c r="B6" s="319">
        <v>48000</v>
      </c>
      <c r="C6" s="320" t="s">
        <v>395</v>
      </c>
      <c r="D6" s="351"/>
      <c r="E6" s="351">
        <v>48000</v>
      </c>
      <c r="F6" s="351">
        <f>1610+435</f>
        <v>2045</v>
      </c>
      <c r="G6" s="169">
        <f aca="true" t="shared" si="0" ref="G6:G23">+D6+F6</f>
        <v>2045</v>
      </c>
    </row>
    <row r="7" spans="1:7" ht="15.75" customHeight="1">
      <c r="A7" s="321" t="s">
        <v>399</v>
      </c>
      <c r="B7" s="319">
        <v>20120</v>
      </c>
      <c r="C7" s="320" t="s">
        <v>395</v>
      </c>
      <c r="D7" s="351"/>
      <c r="E7" s="351">
        <v>20120</v>
      </c>
      <c r="F7" s="351"/>
      <c r="G7" s="169">
        <f t="shared" si="0"/>
        <v>0</v>
      </c>
    </row>
    <row r="8" spans="1:7" ht="15.75" customHeight="1">
      <c r="A8" s="321" t="s">
        <v>400</v>
      </c>
      <c r="B8" s="319">
        <v>90000</v>
      </c>
      <c r="C8" s="320" t="s">
        <v>395</v>
      </c>
      <c r="D8" s="351"/>
      <c r="E8" s="351">
        <v>90000</v>
      </c>
      <c r="F8" s="351"/>
      <c r="G8" s="169">
        <f t="shared" si="0"/>
        <v>0</v>
      </c>
    </row>
    <row r="9" spans="1:7" ht="15.75" customHeight="1">
      <c r="A9" s="325" t="s">
        <v>401</v>
      </c>
      <c r="B9" s="326">
        <v>3000</v>
      </c>
      <c r="C9" s="327" t="s">
        <v>395</v>
      </c>
      <c r="D9" s="351"/>
      <c r="E9" s="351">
        <v>3000</v>
      </c>
      <c r="F9" s="351"/>
      <c r="G9" s="169">
        <f t="shared" si="0"/>
        <v>0</v>
      </c>
    </row>
    <row r="10" spans="1:7" ht="15.75" customHeight="1">
      <c r="A10" s="321" t="s">
        <v>409</v>
      </c>
      <c r="B10" s="319">
        <v>78811</v>
      </c>
      <c r="C10" s="320" t="s">
        <v>408</v>
      </c>
      <c r="D10" s="351">
        <v>13602</v>
      </c>
      <c r="E10" s="351">
        <v>11753</v>
      </c>
      <c r="F10" s="351">
        <f>53253+14379</f>
        <v>67632</v>
      </c>
      <c r="G10" s="169">
        <f t="shared" si="0"/>
        <v>81234</v>
      </c>
    </row>
    <row r="11" spans="1:7" ht="27.75" customHeight="1">
      <c r="A11" s="343" t="s">
        <v>410</v>
      </c>
      <c r="B11" s="319">
        <v>105199</v>
      </c>
      <c r="C11" s="320" t="s">
        <v>411</v>
      </c>
      <c r="D11" s="351">
        <v>68172</v>
      </c>
      <c r="E11" s="351"/>
      <c r="F11" s="351">
        <f>47899+383</f>
        <v>48282</v>
      </c>
      <c r="G11" s="169">
        <f t="shared" si="0"/>
        <v>116454</v>
      </c>
    </row>
    <row r="12" spans="1:7" ht="15.75" customHeight="1">
      <c r="A12" s="321"/>
      <c r="B12" s="319"/>
      <c r="C12" s="320"/>
      <c r="D12" s="20"/>
      <c r="E12" s="20"/>
      <c r="F12" s="20"/>
      <c r="G12" s="169">
        <f t="shared" si="0"/>
        <v>0</v>
      </c>
    </row>
    <row r="13" spans="1:7" ht="15.75" customHeight="1">
      <c r="A13" s="321"/>
      <c r="B13" s="319"/>
      <c r="C13" s="320"/>
      <c r="D13" s="20"/>
      <c r="E13" s="20"/>
      <c r="F13" s="20"/>
      <c r="G13" s="169">
        <f t="shared" si="0"/>
        <v>0</v>
      </c>
    </row>
    <row r="14" spans="1:7" ht="15.75" customHeight="1">
      <c r="A14" s="321"/>
      <c r="B14" s="319"/>
      <c r="C14" s="320"/>
      <c r="D14" s="20"/>
      <c r="E14" s="20"/>
      <c r="F14" s="20"/>
      <c r="G14" s="169">
        <f t="shared" si="0"/>
        <v>0</v>
      </c>
    </row>
    <row r="15" spans="1:7" ht="15.75" customHeight="1">
      <c r="A15" s="322"/>
      <c r="B15" s="323"/>
      <c r="C15" s="324"/>
      <c r="D15" s="20"/>
      <c r="E15" s="20"/>
      <c r="F15" s="20"/>
      <c r="G15" s="169">
        <f t="shared" si="0"/>
        <v>0</v>
      </c>
    </row>
    <row r="16" spans="1:7" ht="15.75" customHeight="1">
      <c r="A16" s="322"/>
      <c r="B16" s="323"/>
      <c r="C16" s="324"/>
      <c r="D16" s="20"/>
      <c r="E16" s="20"/>
      <c r="F16" s="20"/>
      <c r="G16" s="169">
        <f t="shared" si="0"/>
        <v>0</v>
      </c>
    </row>
    <row r="17" spans="1:7" ht="15.75" customHeight="1">
      <c r="A17" s="322"/>
      <c r="B17" s="323"/>
      <c r="C17" s="324"/>
      <c r="D17" s="20"/>
      <c r="E17" s="20"/>
      <c r="F17" s="20"/>
      <c r="G17" s="169">
        <f t="shared" si="0"/>
        <v>0</v>
      </c>
    </row>
    <row r="18" spans="1:7" ht="15.75" customHeight="1">
      <c r="A18" s="322"/>
      <c r="B18" s="323"/>
      <c r="C18" s="324"/>
      <c r="D18" s="20"/>
      <c r="E18" s="20"/>
      <c r="F18" s="20"/>
      <c r="G18" s="169">
        <f t="shared" si="0"/>
        <v>0</v>
      </c>
    </row>
    <row r="19" spans="1:7" ht="15.75" customHeight="1">
      <c r="A19" s="322"/>
      <c r="B19" s="323"/>
      <c r="C19" s="324"/>
      <c r="D19" s="20"/>
      <c r="E19" s="20"/>
      <c r="F19" s="20"/>
      <c r="G19" s="169">
        <f t="shared" si="0"/>
        <v>0</v>
      </c>
    </row>
    <row r="20" spans="1:7" ht="15.75" customHeight="1">
      <c r="A20" s="322"/>
      <c r="B20" s="323"/>
      <c r="C20" s="324"/>
      <c r="D20" s="20"/>
      <c r="E20" s="20"/>
      <c r="F20" s="20"/>
      <c r="G20" s="169">
        <f t="shared" si="0"/>
        <v>0</v>
      </c>
    </row>
    <row r="21" spans="1:7" ht="15.75" customHeight="1">
      <c r="A21" s="328"/>
      <c r="B21" s="329"/>
      <c r="C21" s="330"/>
      <c r="D21" s="20"/>
      <c r="E21" s="20"/>
      <c r="F21" s="20"/>
      <c r="G21" s="169">
        <f t="shared" si="0"/>
        <v>0</v>
      </c>
    </row>
    <row r="22" spans="1:7" ht="15.75" customHeight="1">
      <c r="A22" s="331"/>
      <c r="B22" s="332"/>
      <c r="C22" s="332"/>
      <c r="D22" s="20"/>
      <c r="E22" s="20"/>
      <c r="F22" s="20"/>
      <c r="G22" s="169">
        <f t="shared" si="0"/>
        <v>0</v>
      </c>
    </row>
    <row r="23" spans="1:7" ht="15.75" customHeight="1" thickBot="1">
      <c r="A23" s="333"/>
      <c r="B23" s="334"/>
      <c r="C23" s="334"/>
      <c r="D23" s="21"/>
      <c r="E23" s="21"/>
      <c r="F23" s="21"/>
      <c r="G23" s="335">
        <f t="shared" si="0"/>
        <v>0</v>
      </c>
    </row>
    <row r="24" spans="1:7" s="42" customFormat="1" ht="18" customHeight="1" thickBot="1">
      <c r="A24" s="74" t="s">
        <v>50</v>
      </c>
      <c r="B24" s="40">
        <f>SUM(B5:B21)</f>
        <v>370135</v>
      </c>
      <c r="C24" s="50"/>
      <c r="D24" s="40">
        <f>SUM(D5:D23)</f>
        <v>81774</v>
      </c>
      <c r="E24" s="40">
        <f>SUM(E5:E23)</f>
        <v>197878</v>
      </c>
      <c r="F24" s="40">
        <f>SUM(F5:F23)</f>
        <v>119103</v>
      </c>
      <c r="G24" s="41">
        <f>SUM(G5:G23)</f>
        <v>200877</v>
      </c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1/2014.(II.7.) önkormányzati rendelethez&amp;"Times New Roman CE,Normál"&amp;10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149"/>
  <sheetViews>
    <sheetView view="pageLayout" zoomScaleNormal="130" zoomScaleSheetLayoutView="89" workbookViewId="0" topLeftCell="A1">
      <selection activeCell="D4" sqref="D4"/>
    </sheetView>
  </sheetViews>
  <sheetFormatPr defaultColWidth="9.375" defaultRowHeight="12.75"/>
  <cols>
    <col min="1" max="1" width="14.75390625" style="161" customWidth="1"/>
    <col min="2" max="2" width="59.375" style="162" customWidth="1"/>
    <col min="3" max="5" width="15.75390625" style="163" customWidth="1"/>
    <col min="6" max="6" width="15.75390625" style="163" hidden="1" customWidth="1"/>
    <col min="7" max="16384" width="9.375" style="3" customWidth="1"/>
  </cols>
  <sheetData>
    <row r="1" spans="1:5" s="2" customFormat="1" ht="16.5" customHeight="1" thickBot="1">
      <c r="A1" s="79"/>
      <c r="B1" s="80"/>
      <c r="C1" s="89"/>
      <c r="D1" s="89"/>
      <c r="E1" s="89"/>
    </row>
    <row r="2" spans="1:6" s="45" customFormat="1" ht="15.75" customHeight="1">
      <c r="A2" s="198" t="s">
        <v>48</v>
      </c>
      <c r="B2" s="457" t="s">
        <v>129</v>
      </c>
      <c r="C2" s="458"/>
      <c r="D2" s="458"/>
      <c r="E2" s="459"/>
      <c r="F2" s="151" t="s">
        <v>36</v>
      </c>
    </row>
    <row r="3" spans="1:6" s="45" customFormat="1" ht="23.25" thickBot="1">
      <c r="A3" s="252" t="s">
        <v>127</v>
      </c>
      <c r="B3" s="460" t="s">
        <v>364</v>
      </c>
      <c r="C3" s="461"/>
      <c r="D3" s="461"/>
      <c r="E3" s="462"/>
      <c r="F3" s="152" t="s">
        <v>37</v>
      </c>
    </row>
    <row r="4" spans="1:6" s="46" customFormat="1" ht="15.75" customHeight="1" thickBot="1">
      <c r="A4" s="81"/>
      <c r="B4" s="81"/>
      <c r="C4" s="82"/>
      <c r="D4" s="82"/>
      <c r="E4" s="82"/>
      <c r="F4" s="82" t="s">
        <v>38</v>
      </c>
    </row>
    <row r="5" spans="1:6" ht="23.25" thickBot="1">
      <c r="A5" s="197" t="s">
        <v>128</v>
      </c>
      <c r="B5" s="83" t="s">
        <v>39</v>
      </c>
      <c r="C5" s="170" t="s">
        <v>158</v>
      </c>
      <c r="D5" s="164" t="s">
        <v>471</v>
      </c>
      <c r="E5" s="75" t="s">
        <v>159</v>
      </c>
      <c r="F5" s="84" t="s">
        <v>365</v>
      </c>
    </row>
    <row r="6" spans="1:6" s="43" customFormat="1" ht="12.75" customHeight="1" thickBot="1">
      <c r="A6" s="77">
        <v>1</v>
      </c>
      <c r="B6" s="78">
        <v>2</v>
      </c>
      <c r="C6" s="78">
        <v>3</v>
      </c>
      <c r="D6" s="195"/>
      <c r="E6" s="195">
        <v>4</v>
      </c>
      <c r="F6" s="194">
        <v>5</v>
      </c>
    </row>
    <row r="7" spans="1:6" s="43" customFormat="1" ht="15.75" customHeight="1" thickBot="1">
      <c r="A7" s="454" t="s">
        <v>40</v>
      </c>
      <c r="B7" s="455"/>
      <c r="C7" s="455"/>
      <c r="D7" s="455"/>
      <c r="E7" s="455"/>
      <c r="F7" s="456"/>
    </row>
    <row r="8" spans="1:6" s="43" customFormat="1" ht="12" customHeight="1" thickBot="1">
      <c r="A8" s="24" t="s">
        <v>5</v>
      </c>
      <c r="B8" s="308" t="s">
        <v>161</v>
      </c>
      <c r="C8" s="96">
        <f>+C9+C10+C11+C13+C14+C15+C12</f>
        <v>393464</v>
      </c>
      <c r="D8" s="96">
        <f>+D9+D10+D11+D13+D14+D15+D12</f>
        <v>-50360</v>
      </c>
      <c r="E8" s="96">
        <f>+E9+E10+E11+E13+E14+E15+E12</f>
        <v>343104</v>
      </c>
      <c r="F8" s="96">
        <f>+F9+F10+F11+F13+F14+F15+F12</f>
        <v>172660</v>
      </c>
    </row>
    <row r="9" spans="1:6" s="47" customFormat="1" ht="12" customHeight="1">
      <c r="A9" s="253" t="s">
        <v>67</v>
      </c>
      <c r="B9" s="309" t="s">
        <v>162</v>
      </c>
      <c r="C9" s="99">
        <v>99406</v>
      </c>
      <c r="D9" s="99">
        <v>-1633</v>
      </c>
      <c r="E9" s="99">
        <f>99406-1633</f>
        <v>97773</v>
      </c>
      <c r="F9" s="99">
        <f>51691-849-122</f>
        <v>50720</v>
      </c>
    </row>
    <row r="10" spans="1:6" s="48" customFormat="1" ht="12" customHeight="1">
      <c r="A10" s="254" t="s">
        <v>68</v>
      </c>
      <c r="B10" s="306" t="s">
        <v>163</v>
      </c>
      <c r="C10" s="98">
        <v>43005</v>
      </c>
      <c r="D10" s="98"/>
      <c r="E10" s="98">
        <v>43005</v>
      </c>
      <c r="F10" s="98">
        <v>21655</v>
      </c>
    </row>
    <row r="11" spans="1:6" s="48" customFormat="1" ht="12" customHeight="1">
      <c r="A11" s="254" t="s">
        <v>69</v>
      </c>
      <c r="B11" s="306" t="s">
        <v>164</v>
      </c>
      <c r="C11" s="98">
        <v>71830</v>
      </c>
      <c r="D11" s="98"/>
      <c r="E11" s="98">
        <f>24144+47686</f>
        <v>71830</v>
      </c>
      <c r="F11" s="98">
        <f>24797+12555</f>
        <v>37352</v>
      </c>
    </row>
    <row r="12" spans="1:6" s="48" customFormat="1" ht="12" customHeight="1">
      <c r="A12" s="254" t="s">
        <v>428</v>
      </c>
      <c r="B12" s="306" t="s">
        <v>429</v>
      </c>
      <c r="C12" s="98">
        <v>75235</v>
      </c>
      <c r="D12" s="98">
        <v>-35042</v>
      </c>
      <c r="E12" s="98">
        <f>75235-35042</f>
        <v>40193</v>
      </c>
      <c r="F12" s="98">
        <v>40193</v>
      </c>
    </row>
    <row r="13" spans="1:6" s="48" customFormat="1" ht="12" customHeight="1">
      <c r="A13" s="254" t="s">
        <v>70</v>
      </c>
      <c r="B13" s="306" t="s">
        <v>165</v>
      </c>
      <c r="C13" s="98">
        <v>3765</v>
      </c>
      <c r="D13" s="98"/>
      <c r="E13" s="98">
        <v>3765</v>
      </c>
      <c r="F13" s="98">
        <v>1958</v>
      </c>
    </row>
    <row r="14" spans="1:6" s="48" customFormat="1" ht="12" customHeight="1">
      <c r="A14" s="254" t="s">
        <v>87</v>
      </c>
      <c r="B14" s="306" t="s">
        <v>166</v>
      </c>
      <c r="C14" s="263"/>
      <c r="D14" s="263">
        <v>21567</v>
      </c>
      <c r="E14" s="263">
        <v>21567</v>
      </c>
      <c r="F14" s="263">
        <f>849+19933</f>
        <v>20782</v>
      </c>
    </row>
    <row r="15" spans="1:6" s="47" customFormat="1" ht="12" customHeight="1" thickBot="1">
      <c r="A15" s="255" t="s">
        <v>71</v>
      </c>
      <c r="B15" s="305" t="s">
        <v>167</v>
      </c>
      <c r="C15" s="264">
        <v>100223</v>
      </c>
      <c r="D15" s="264">
        <v>-35252</v>
      </c>
      <c r="E15" s="264">
        <v>64971</v>
      </c>
      <c r="F15" s="264"/>
    </row>
    <row r="16" spans="1:6" s="47" customFormat="1" ht="12" customHeight="1" thickBot="1">
      <c r="A16" s="24" t="s">
        <v>6</v>
      </c>
      <c r="B16" s="310" t="s">
        <v>168</v>
      </c>
      <c r="C16" s="96">
        <f>+C17+C18+C19+C20+C21</f>
        <v>174665</v>
      </c>
      <c r="D16" s="96">
        <f>+D17+D18+D19+D20+D21</f>
        <v>2175</v>
      </c>
      <c r="E16" s="96">
        <f>+E17+E18+E19+E20+E21</f>
        <v>176840</v>
      </c>
      <c r="F16" s="96">
        <f>+F17+F18+F19+F20+F21</f>
        <v>84063</v>
      </c>
    </row>
    <row r="17" spans="1:6" s="47" customFormat="1" ht="12" customHeight="1">
      <c r="A17" s="253" t="s">
        <v>73</v>
      </c>
      <c r="B17" s="309" t="s">
        <v>169</v>
      </c>
      <c r="C17" s="99"/>
      <c r="D17" s="99"/>
      <c r="E17" s="99"/>
      <c r="F17" s="99"/>
    </row>
    <row r="18" spans="1:6" s="47" customFormat="1" ht="12" customHeight="1">
      <c r="A18" s="254" t="s">
        <v>74</v>
      </c>
      <c r="B18" s="306" t="s">
        <v>170</v>
      </c>
      <c r="C18" s="98"/>
      <c r="D18" s="98"/>
      <c r="E18" s="98"/>
      <c r="F18" s="98"/>
    </row>
    <row r="19" spans="1:6" s="47" customFormat="1" ht="12" customHeight="1">
      <c r="A19" s="254" t="s">
        <v>75</v>
      </c>
      <c r="B19" s="306" t="s">
        <v>171</v>
      </c>
      <c r="C19" s="98"/>
      <c r="D19" s="98"/>
      <c r="E19" s="98"/>
      <c r="F19" s="98"/>
    </row>
    <row r="20" spans="1:6" s="47" customFormat="1" ht="12" customHeight="1">
      <c r="A20" s="254" t="s">
        <v>76</v>
      </c>
      <c r="B20" s="306" t="s">
        <v>172</v>
      </c>
      <c r="C20" s="98"/>
      <c r="D20" s="98"/>
      <c r="E20" s="98"/>
      <c r="F20" s="98"/>
    </row>
    <row r="21" spans="1:6" s="47" customFormat="1" ht="12" customHeight="1">
      <c r="A21" s="254" t="s">
        <v>77</v>
      </c>
      <c r="B21" s="306" t="s">
        <v>173</v>
      </c>
      <c r="C21" s="98">
        <v>174665</v>
      </c>
      <c r="D21" s="98">
        <v>2175</v>
      </c>
      <c r="E21" s="98">
        <v>176840</v>
      </c>
      <c r="F21" s="98">
        <v>84063</v>
      </c>
    </row>
    <row r="22" spans="1:6" s="48" customFormat="1" ht="12" customHeight="1" thickBot="1">
      <c r="A22" s="255" t="s">
        <v>83</v>
      </c>
      <c r="B22" s="305" t="s">
        <v>174</v>
      </c>
      <c r="C22" s="100">
        <v>9630</v>
      </c>
      <c r="D22" s="100"/>
      <c r="E22" s="100">
        <v>9630</v>
      </c>
      <c r="F22" s="100"/>
    </row>
    <row r="23" spans="1:6" s="48" customFormat="1" ht="12" customHeight="1" thickBot="1">
      <c r="A23" s="24" t="s">
        <v>7</v>
      </c>
      <c r="B23" s="308" t="s">
        <v>175</v>
      </c>
      <c r="C23" s="96">
        <f>+C24+C25+C26+C27+C28</f>
        <v>46250</v>
      </c>
      <c r="D23" s="96">
        <f>+D24+D25+D26+D27+D28</f>
        <v>144472</v>
      </c>
      <c r="E23" s="96">
        <f>+E24+E25+E26+E27+E28</f>
        <v>190722</v>
      </c>
      <c r="F23" s="96">
        <f>+F24+F25+F26+F27+F28</f>
        <v>145229</v>
      </c>
    </row>
    <row r="24" spans="1:6" s="48" customFormat="1" ht="12" customHeight="1">
      <c r="A24" s="253" t="s">
        <v>56</v>
      </c>
      <c r="B24" s="309" t="s">
        <v>176</v>
      </c>
      <c r="C24" s="99"/>
      <c r="D24" s="99">
        <v>1737</v>
      </c>
      <c r="E24" s="99">
        <v>1737</v>
      </c>
      <c r="F24" s="99">
        <v>1737</v>
      </c>
    </row>
    <row r="25" spans="1:6" s="47" customFormat="1" ht="12" customHeight="1">
      <c r="A25" s="254" t="s">
        <v>57</v>
      </c>
      <c r="B25" s="306" t="s">
        <v>177</v>
      </c>
      <c r="C25" s="98"/>
      <c r="D25" s="98"/>
      <c r="E25" s="98"/>
      <c r="F25" s="98"/>
    </row>
    <row r="26" spans="1:6" s="47" customFormat="1" ht="12" customHeight="1">
      <c r="A26" s="254" t="s">
        <v>58</v>
      </c>
      <c r="B26" s="306" t="s">
        <v>178</v>
      </c>
      <c r="C26" s="98"/>
      <c r="D26" s="98"/>
      <c r="E26" s="98"/>
      <c r="F26" s="98"/>
    </row>
    <row r="27" spans="1:6" s="47" customFormat="1" ht="12" customHeight="1">
      <c r="A27" s="254" t="s">
        <v>59</v>
      </c>
      <c r="B27" s="306" t="s">
        <v>179</v>
      </c>
      <c r="C27" s="98"/>
      <c r="D27" s="98"/>
      <c r="E27" s="98"/>
      <c r="F27" s="98"/>
    </row>
    <row r="28" spans="1:6" s="47" customFormat="1" ht="12" customHeight="1">
      <c r="A28" s="254" t="s">
        <v>99</v>
      </c>
      <c r="B28" s="306" t="s">
        <v>180</v>
      </c>
      <c r="C28" s="98">
        <v>46250</v>
      </c>
      <c r="D28" s="98">
        <v>142735</v>
      </c>
      <c r="E28" s="98">
        <v>188985</v>
      </c>
      <c r="F28" s="98">
        <v>143492</v>
      </c>
    </row>
    <row r="29" spans="1:6" s="47" customFormat="1" ht="12" customHeight="1" thickBot="1">
      <c r="A29" s="255" t="s">
        <v>100</v>
      </c>
      <c r="B29" s="305" t="s">
        <v>181</v>
      </c>
      <c r="C29" s="100">
        <v>46250</v>
      </c>
      <c r="D29" s="100"/>
      <c r="E29" s="100"/>
      <c r="F29" s="100">
        <v>143492</v>
      </c>
    </row>
    <row r="30" spans="1:6" s="47" customFormat="1" ht="12" customHeight="1" thickBot="1">
      <c r="A30" s="24" t="s">
        <v>101</v>
      </c>
      <c r="B30" s="308" t="s">
        <v>182</v>
      </c>
      <c r="C30" s="102">
        <f>+C31+C34+C35+C36</f>
        <v>45200</v>
      </c>
      <c r="D30" s="102">
        <f>+D31+D34+D35+D36</f>
        <v>26763</v>
      </c>
      <c r="E30" s="102">
        <f>+E31+E34+E35+E36</f>
        <v>71963</v>
      </c>
      <c r="F30" s="102">
        <f>+F31+F34+F35+F36</f>
        <v>28887</v>
      </c>
    </row>
    <row r="31" spans="1:6" s="47" customFormat="1" ht="12" customHeight="1">
      <c r="A31" s="253" t="s">
        <v>183</v>
      </c>
      <c r="B31" s="309" t="s">
        <v>184</v>
      </c>
      <c r="C31" s="256">
        <f>+C32+C33</f>
        <v>40000</v>
      </c>
      <c r="D31" s="256">
        <f>+D32+D33</f>
        <v>14524</v>
      </c>
      <c r="E31" s="256">
        <f>+E32+E33</f>
        <v>54524</v>
      </c>
      <c r="F31" s="256">
        <f>+F32+F33</f>
        <v>26625</v>
      </c>
    </row>
    <row r="32" spans="1:6" s="47" customFormat="1" ht="12" customHeight="1">
      <c r="A32" s="254" t="s">
        <v>185</v>
      </c>
      <c r="B32" s="306" t="s">
        <v>186</v>
      </c>
      <c r="C32" s="98">
        <v>40000</v>
      </c>
      <c r="D32" s="98">
        <v>14524</v>
      </c>
      <c r="E32" s="98">
        <v>54524</v>
      </c>
      <c r="F32" s="98">
        <v>26625</v>
      </c>
    </row>
    <row r="33" spans="1:6" s="47" customFormat="1" ht="12" customHeight="1">
      <c r="A33" s="254" t="s">
        <v>187</v>
      </c>
      <c r="B33" s="306" t="s">
        <v>188</v>
      </c>
      <c r="C33" s="98"/>
      <c r="D33" s="98"/>
      <c r="E33" s="98"/>
      <c r="F33" s="98"/>
    </row>
    <row r="34" spans="1:6" s="47" customFormat="1" ht="12" customHeight="1">
      <c r="A34" s="254" t="s">
        <v>189</v>
      </c>
      <c r="B34" s="306" t="s">
        <v>190</v>
      </c>
      <c r="C34" s="98">
        <v>4800</v>
      </c>
      <c r="D34" s="98">
        <v>4561</v>
      </c>
      <c r="E34" s="98">
        <v>9361</v>
      </c>
      <c r="F34" s="98">
        <v>2014</v>
      </c>
    </row>
    <row r="35" spans="1:6" s="47" customFormat="1" ht="12" customHeight="1">
      <c r="A35" s="254" t="s">
        <v>191</v>
      </c>
      <c r="B35" s="306" t="s">
        <v>192</v>
      </c>
      <c r="C35" s="98"/>
      <c r="D35" s="98"/>
      <c r="E35" s="98"/>
      <c r="F35" s="98"/>
    </row>
    <row r="36" spans="1:6" s="47" customFormat="1" ht="12" customHeight="1" thickBot="1">
      <c r="A36" s="255" t="s">
        <v>193</v>
      </c>
      <c r="B36" s="305" t="s">
        <v>194</v>
      </c>
      <c r="C36" s="100">
        <v>400</v>
      </c>
      <c r="D36" s="100">
        <v>7678</v>
      </c>
      <c r="E36" s="100">
        <v>8078</v>
      </c>
      <c r="F36" s="100">
        <v>248</v>
      </c>
    </row>
    <row r="37" spans="1:6" s="47" customFormat="1" ht="12" customHeight="1" thickBot="1">
      <c r="A37" s="24" t="s">
        <v>9</v>
      </c>
      <c r="B37" s="308" t="s">
        <v>195</v>
      </c>
      <c r="C37" s="96">
        <f>SUM(C38:C47)</f>
        <v>29925</v>
      </c>
      <c r="D37" s="96">
        <f>SUM(D38:D47)</f>
        <v>29450</v>
      </c>
      <c r="E37" s="96">
        <f>SUM(E38:E47)</f>
        <v>59375</v>
      </c>
      <c r="F37" s="96">
        <f>SUM(F38:F47)</f>
        <v>31475</v>
      </c>
    </row>
    <row r="38" spans="1:6" s="47" customFormat="1" ht="12" customHeight="1">
      <c r="A38" s="253" t="s">
        <v>60</v>
      </c>
      <c r="B38" s="309" t="s">
        <v>196</v>
      </c>
      <c r="C38" s="99"/>
      <c r="D38" s="99">
        <v>16</v>
      </c>
      <c r="E38" s="99">
        <v>16</v>
      </c>
      <c r="F38" s="99">
        <v>15</v>
      </c>
    </row>
    <row r="39" spans="1:6" s="47" customFormat="1" ht="12" customHeight="1">
      <c r="A39" s="254" t="s">
        <v>61</v>
      </c>
      <c r="B39" s="306" t="s">
        <v>197</v>
      </c>
      <c r="C39" s="98">
        <v>8995</v>
      </c>
      <c r="D39" s="98">
        <v>25787</v>
      </c>
      <c r="E39" s="98">
        <f>38282-E41</f>
        <v>34782</v>
      </c>
      <c r="F39" s="98">
        <f>22772-F41</f>
        <v>19547</v>
      </c>
    </row>
    <row r="40" spans="1:6" s="47" customFormat="1" ht="12" customHeight="1">
      <c r="A40" s="254" t="s">
        <v>62</v>
      </c>
      <c r="B40" s="306" t="s">
        <v>198</v>
      </c>
      <c r="C40" s="98"/>
      <c r="D40" s="98"/>
      <c r="E40" s="98"/>
      <c r="F40" s="98"/>
    </row>
    <row r="41" spans="1:6" s="47" customFormat="1" ht="12" customHeight="1">
      <c r="A41" s="254" t="s">
        <v>103</v>
      </c>
      <c r="B41" s="306" t="s">
        <v>199</v>
      </c>
      <c r="C41" s="98">
        <v>3500</v>
      </c>
      <c r="D41" s="98"/>
      <c r="E41" s="98">
        <v>3500</v>
      </c>
      <c r="F41" s="98">
        <v>3225</v>
      </c>
    </row>
    <row r="42" spans="1:6" s="47" customFormat="1" ht="12" customHeight="1">
      <c r="A42" s="254" t="s">
        <v>104</v>
      </c>
      <c r="B42" s="306" t="s">
        <v>200</v>
      </c>
      <c r="C42" s="98"/>
      <c r="D42" s="98"/>
      <c r="E42" s="98"/>
      <c r="F42" s="98"/>
    </row>
    <row r="43" spans="1:6" s="47" customFormat="1" ht="12" customHeight="1">
      <c r="A43" s="254" t="s">
        <v>105</v>
      </c>
      <c r="B43" s="306" t="s">
        <v>201</v>
      </c>
      <c r="C43" s="98">
        <v>2430</v>
      </c>
      <c r="D43" s="98">
        <v>3647</v>
      </c>
      <c r="E43" s="98">
        <v>6077</v>
      </c>
      <c r="F43" s="98">
        <v>5244</v>
      </c>
    </row>
    <row r="44" spans="1:6" s="47" customFormat="1" ht="12" customHeight="1">
      <c r="A44" s="254" t="s">
        <v>106</v>
      </c>
      <c r="B44" s="306" t="s">
        <v>202</v>
      </c>
      <c r="C44" s="98"/>
      <c r="D44" s="98"/>
      <c r="E44" s="98"/>
      <c r="F44" s="98"/>
    </row>
    <row r="45" spans="1:6" s="47" customFormat="1" ht="12" customHeight="1">
      <c r="A45" s="254" t="s">
        <v>107</v>
      </c>
      <c r="B45" s="306" t="s">
        <v>203</v>
      </c>
      <c r="C45" s="98">
        <v>15000</v>
      </c>
      <c r="D45" s="98"/>
      <c r="E45" s="98">
        <v>15000</v>
      </c>
      <c r="F45" s="98">
        <v>3444</v>
      </c>
    </row>
    <row r="46" spans="1:6" s="47" customFormat="1" ht="12" customHeight="1">
      <c r="A46" s="254" t="s">
        <v>204</v>
      </c>
      <c r="B46" s="306" t="s">
        <v>205</v>
      </c>
      <c r="C46" s="101"/>
      <c r="D46" s="101"/>
      <c r="E46" s="101"/>
      <c r="F46" s="101"/>
    </row>
    <row r="47" spans="1:6" s="47" customFormat="1" ht="12" customHeight="1" thickBot="1">
      <c r="A47" s="255" t="s">
        <v>206</v>
      </c>
      <c r="B47" s="305" t="s">
        <v>207</v>
      </c>
      <c r="C47" s="178"/>
      <c r="D47" s="178"/>
      <c r="E47" s="178"/>
      <c r="F47" s="178"/>
    </row>
    <row r="48" spans="1:6" s="47" customFormat="1" ht="12" customHeight="1" thickBot="1">
      <c r="A48" s="24" t="s">
        <v>10</v>
      </c>
      <c r="B48" s="308" t="s">
        <v>208</v>
      </c>
      <c r="C48" s="96">
        <f>SUM(C49:C53)</f>
        <v>0</v>
      </c>
      <c r="D48" s="96"/>
      <c r="E48" s="96">
        <f>SUM(E49:E53)</f>
        <v>0</v>
      </c>
      <c r="F48" s="96">
        <f>SUM(F49:F53)</f>
        <v>0</v>
      </c>
    </row>
    <row r="49" spans="1:6" s="47" customFormat="1" ht="12" customHeight="1">
      <c r="A49" s="253" t="s">
        <v>63</v>
      </c>
      <c r="B49" s="309" t="s">
        <v>209</v>
      </c>
      <c r="C49" s="180"/>
      <c r="D49" s="180"/>
      <c r="E49" s="180"/>
      <c r="F49" s="180"/>
    </row>
    <row r="50" spans="1:6" s="47" customFormat="1" ht="12" customHeight="1">
      <c r="A50" s="254" t="s">
        <v>64</v>
      </c>
      <c r="B50" s="306" t="s">
        <v>210</v>
      </c>
      <c r="C50" s="101"/>
      <c r="D50" s="101"/>
      <c r="E50" s="101"/>
      <c r="F50" s="101"/>
    </row>
    <row r="51" spans="1:6" s="47" customFormat="1" ht="12" customHeight="1">
      <c r="A51" s="254" t="s">
        <v>211</v>
      </c>
      <c r="B51" s="306" t="s">
        <v>212</v>
      </c>
      <c r="C51" s="101"/>
      <c r="D51" s="101"/>
      <c r="E51" s="101"/>
      <c r="F51" s="101"/>
    </row>
    <row r="52" spans="1:6" s="47" customFormat="1" ht="12" customHeight="1">
      <c r="A52" s="254" t="s">
        <v>213</v>
      </c>
      <c r="B52" s="306" t="s">
        <v>214</v>
      </c>
      <c r="C52" s="101"/>
      <c r="D52" s="101"/>
      <c r="E52" s="101"/>
      <c r="F52" s="101"/>
    </row>
    <row r="53" spans="1:6" s="47" customFormat="1" ht="12" customHeight="1" thickBot="1">
      <c r="A53" s="255" t="s">
        <v>215</v>
      </c>
      <c r="B53" s="305" t="s">
        <v>216</v>
      </c>
      <c r="C53" s="178"/>
      <c r="D53" s="178"/>
      <c r="E53" s="178"/>
      <c r="F53" s="178"/>
    </row>
    <row r="54" spans="1:6" s="47" customFormat="1" ht="12" customHeight="1" thickBot="1">
      <c r="A54" s="24" t="s">
        <v>108</v>
      </c>
      <c r="B54" s="308" t="s">
        <v>217</v>
      </c>
      <c r="C54" s="96">
        <f>SUM(C55:C57)</f>
        <v>0</v>
      </c>
      <c r="D54" s="96">
        <f>SUM(D55:D57)</f>
        <v>8771</v>
      </c>
      <c r="E54" s="96">
        <f>SUM(E55:E57)</f>
        <v>8771</v>
      </c>
      <c r="F54" s="96">
        <f>SUM(F55:F57)</f>
        <v>2715</v>
      </c>
    </row>
    <row r="55" spans="1:6" s="48" customFormat="1" ht="12" customHeight="1">
      <c r="A55" s="253" t="s">
        <v>65</v>
      </c>
      <c r="B55" s="309" t="s">
        <v>218</v>
      </c>
      <c r="C55" s="99"/>
      <c r="D55" s="99"/>
      <c r="E55" s="99"/>
      <c r="F55" s="99"/>
    </row>
    <row r="56" spans="1:6" s="48" customFormat="1" ht="12" customHeight="1">
      <c r="A56" s="254" t="s">
        <v>66</v>
      </c>
      <c r="B56" s="306" t="s">
        <v>219</v>
      </c>
      <c r="C56" s="98"/>
      <c r="D56" s="98">
        <v>8671</v>
      </c>
      <c r="E56" s="98">
        <v>8671</v>
      </c>
      <c r="F56" s="98">
        <v>2615</v>
      </c>
    </row>
    <row r="57" spans="1:6" s="48" customFormat="1" ht="12" customHeight="1">
      <c r="A57" s="254" t="s">
        <v>220</v>
      </c>
      <c r="B57" s="306" t="s">
        <v>221</v>
      </c>
      <c r="C57" s="98"/>
      <c r="D57" s="98">
        <v>100</v>
      </c>
      <c r="E57" s="98">
        <v>100</v>
      </c>
      <c r="F57" s="98">
        <v>100</v>
      </c>
    </row>
    <row r="58" spans="1:6" s="48" customFormat="1" ht="12" customHeight="1" thickBot="1">
      <c r="A58" s="255" t="s">
        <v>222</v>
      </c>
      <c r="B58" s="305" t="s">
        <v>223</v>
      </c>
      <c r="C58" s="100"/>
      <c r="D58" s="100"/>
      <c r="E58" s="100"/>
      <c r="F58" s="100"/>
    </row>
    <row r="59" spans="1:6" s="48" customFormat="1" ht="12" customHeight="1" thickBot="1">
      <c r="A59" s="24" t="s">
        <v>12</v>
      </c>
      <c r="B59" s="310" t="s">
        <v>224</v>
      </c>
      <c r="C59" s="96">
        <f>SUM(C60:C62)</f>
        <v>0</v>
      </c>
      <c r="D59" s="96">
        <f>SUM(D60:D62)</f>
        <v>2414</v>
      </c>
      <c r="E59" s="96">
        <f>SUM(E60:E62)</f>
        <v>2414</v>
      </c>
      <c r="F59" s="96">
        <f>SUM(F60:F62)</f>
        <v>0</v>
      </c>
    </row>
    <row r="60" spans="1:6" s="48" customFormat="1" ht="12" customHeight="1">
      <c r="A60" s="253" t="s">
        <v>109</v>
      </c>
      <c r="B60" s="309" t="s">
        <v>225</v>
      </c>
      <c r="C60" s="101"/>
      <c r="D60" s="101"/>
      <c r="E60" s="101"/>
      <c r="F60" s="101"/>
    </row>
    <row r="61" spans="1:6" s="48" customFormat="1" ht="12" customHeight="1">
      <c r="A61" s="254" t="s">
        <v>110</v>
      </c>
      <c r="B61" s="306" t="s">
        <v>226</v>
      </c>
      <c r="C61" s="101"/>
      <c r="D61" s="101">
        <v>2414</v>
      </c>
      <c r="E61" s="101">
        <v>2414</v>
      </c>
      <c r="F61" s="101"/>
    </row>
    <row r="62" spans="1:6" s="48" customFormat="1" ht="12" customHeight="1">
      <c r="A62" s="254" t="s">
        <v>135</v>
      </c>
      <c r="B62" s="306" t="s">
        <v>227</v>
      </c>
      <c r="C62" s="101"/>
      <c r="D62" s="101"/>
      <c r="E62" s="101"/>
      <c r="F62" s="101"/>
    </row>
    <row r="63" spans="1:6" s="48" customFormat="1" ht="12" customHeight="1" thickBot="1">
      <c r="A63" s="255" t="s">
        <v>228</v>
      </c>
      <c r="B63" s="305" t="s">
        <v>229</v>
      </c>
      <c r="C63" s="101"/>
      <c r="D63" s="101"/>
      <c r="E63" s="101"/>
      <c r="F63" s="101"/>
    </row>
    <row r="64" spans="1:6" s="48" customFormat="1" ht="12" customHeight="1" thickBot="1">
      <c r="A64" s="24" t="s">
        <v>13</v>
      </c>
      <c r="B64" s="308" t="s">
        <v>230</v>
      </c>
      <c r="C64" s="102">
        <f>+C8+C16+C23+C30+C37+C48+C54+C59</f>
        <v>689504</v>
      </c>
      <c r="D64" s="102">
        <f>+D8+D16+D23+D30+D37+D48+D54+D59</f>
        <v>163685</v>
      </c>
      <c r="E64" s="102">
        <f>+E8+E16+E23+E30+E37+E48+E54+E59</f>
        <v>853189</v>
      </c>
      <c r="F64" s="102">
        <f>+F8+F16+F23+F30+F37+F48+F54+F59</f>
        <v>465029</v>
      </c>
    </row>
    <row r="65" spans="1:6" s="48" customFormat="1" ht="12" customHeight="1" thickBot="1">
      <c r="A65" s="257" t="s">
        <v>366</v>
      </c>
      <c r="B65" s="310" t="s">
        <v>232</v>
      </c>
      <c r="C65" s="96">
        <f>SUM(C66:C68)</f>
        <v>0</v>
      </c>
      <c r="D65" s="96"/>
      <c r="E65" s="96">
        <f>SUM(E66:E68)</f>
        <v>0</v>
      </c>
      <c r="F65" s="96">
        <f>SUM(F66:F68)</f>
        <v>0</v>
      </c>
    </row>
    <row r="66" spans="1:6" s="48" customFormat="1" ht="12" customHeight="1">
      <c r="A66" s="253" t="s">
        <v>233</v>
      </c>
      <c r="B66" s="309" t="s">
        <v>234</v>
      </c>
      <c r="C66" s="101"/>
      <c r="D66" s="101"/>
      <c r="E66" s="101"/>
      <c r="F66" s="101"/>
    </row>
    <row r="67" spans="1:6" s="48" customFormat="1" ht="12" customHeight="1">
      <c r="A67" s="254" t="s">
        <v>235</v>
      </c>
      <c r="B67" s="306" t="s">
        <v>236</v>
      </c>
      <c r="C67" s="101"/>
      <c r="D67" s="101"/>
      <c r="E67" s="101"/>
      <c r="F67" s="101"/>
    </row>
    <row r="68" spans="1:6" s="48" customFormat="1" ht="12" customHeight="1" thickBot="1">
      <c r="A68" s="255" t="s">
        <v>237</v>
      </c>
      <c r="B68" s="295" t="s">
        <v>238</v>
      </c>
      <c r="C68" s="101"/>
      <c r="D68" s="101"/>
      <c r="E68" s="101"/>
      <c r="F68" s="101"/>
    </row>
    <row r="69" spans="1:6" s="48" customFormat="1" ht="12" customHeight="1" thickBot="1">
      <c r="A69" s="257" t="s">
        <v>239</v>
      </c>
      <c r="B69" s="310" t="s">
        <v>240</v>
      </c>
      <c r="C69" s="96">
        <f>SUM(C70:C73)</f>
        <v>0</v>
      </c>
      <c r="D69" s="96"/>
      <c r="E69" s="96">
        <f>SUM(E70:E73)</f>
        <v>0</v>
      </c>
      <c r="F69" s="96">
        <f>SUM(F70:F73)</f>
        <v>0</v>
      </c>
    </row>
    <row r="70" spans="1:6" s="48" customFormat="1" ht="12" customHeight="1">
      <c r="A70" s="253" t="s">
        <v>88</v>
      </c>
      <c r="B70" s="309" t="s">
        <v>241</v>
      </c>
      <c r="C70" s="101"/>
      <c r="D70" s="101"/>
      <c r="E70" s="101"/>
      <c r="F70" s="101"/>
    </row>
    <row r="71" spans="1:6" s="48" customFormat="1" ht="12" customHeight="1">
      <c r="A71" s="254" t="s">
        <v>89</v>
      </c>
      <c r="B71" s="306" t="s">
        <v>242</v>
      </c>
      <c r="C71" s="101"/>
      <c r="D71" s="101"/>
      <c r="E71" s="101"/>
      <c r="F71" s="101"/>
    </row>
    <row r="72" spans="1:6" s="48" customFormat="1" ht="12" customHeight="1">
      <c r="A72" s="254" t="s">
        <v>243</v>
      </c>
      <c r="B72" s="306" t="s">
        <v>244</v>
      </c>
      <c r="C72" s="101"/>
      <c r="D72" s="101"/>
      <c r="E72" s="101"/>
      <c r="F72" s="101"/>
    </row>
    <row r="73" spans="1:6" s="48" customFormat="1" ht="12" customHeight="1" thickBot="1">
      <c r="A73" s="255" t="s">
        <v>245</v>
      </c>
      <c r="B73" s="305" t="s">
        <v>246</v>
      </c>
      <c r="C73" s="101"/>
      <c r="D73" s="101"/>
      <c r="E73" s="101"/>
      <c r="F73" s="101"/>
    </row>
    <row r="74" spans="1:6" s="48" customFormat="1" ht="12" customHeight="1" thickBot="1">
      <c r="A74" s="257" t="s">
        <v>247</v>
      </c>
      <c r="B74" s="310" t="s">
        <v>248</v>
      </c>
      <c r="C74" s="96">
        <f>SUM(C75:C76)</f>
        <v>378721</v>
      </c>
      <c r="D74" s="96">
        <f>SUM(D75:D76)</f>
        <v>-35</v>
      </c>
      <c r="E74" s="96">
        <f>SUM(E75:E76)</f>
        <v>378686</v>
      </c>
      <c r="F74" s="96">
        <f>SUM(F75:F76)</f>
        <v>378686</v>
      </c>
    </row>
    <row r="75" spans="1:6" s="48" customFormat="1" ht="12" customHeight="1">
      <c r="A75" s="253" t="s">
        <v>249</v>
      </c>
      <c r="B75" s="309" t="s">
        <v>430</v>
      </c>
      <c r="C75" s="101">
        <v>78033</v>
      </c>
      <c r="D75" s="101">
        <v>-35</v>
      </c>
      <c r="E75" s="101">
        <f>C75-35</f>
        <v>77998</v>
      </c>
      <c r="F75" s="101">
        <v>77998</v>
      </c>
    </row>
    <row r="76" spans="1:6" s="47" customFormat="1" ht="12" customHeight="1" thickBot="1">
      <c r="A76" s="255" t="s">
        <v>251</v>
      </c>
      <c r="B76" s="309" t="s">
        <v>431</v>
      </c>
      <c r="C76" s="101">
        <v>300688</v>
      </c>
      <c r="D76" s="101"/>
      <c r="E76" s="101">
        <v>300688</v>
      </c>
      <c r="F76" s="101">
        <v>300688</v>
      </c>
    </row>
    <row r="77" spans="1:6" s="48" customFormat="1" ht="12" customHeight="1" thickBot="1">
      <c r="A77" s="257" t="s">
        <v>253</v>
      </c>
      <c r="B77" s="310" t="s">
        <v>254</v>
      </c>
      <c r="C77" s="96">
        <f>SUM(C78:C80)</f>
        <v>0</v>
      </c>
      <c r="D77" s="96"/>
      <c r="E77" s="96">
        <f>SUM(E78:E80)</f>
        <v>0</v>
      </c>
      <c r="F77" s="96">
        <f>SUM(F78:F80)</f>
        <v>0</v>
      </c>
    </row>
    <row r="78" spans="1:6" s="48" customFormat="1" ht="12" customHeight="1">
      <c r="A78" s="253" t="s">
        <v>255</v>
      </c>
      <c r="B78" s="309" t="s">
        <v>256</v>
      </c>
      <c r="C78" s="101"/>
      <c r="D78" s="101"/>
      <c r="E78" s="101"/>
      <c r="F78" s="101"/>
    </row>
    <row r="79" spans="1:6" s="48" customFormat="1" ht="12" customHeight="1">
      <c r="A79" s="254" t="s">
        <v>257</v>
      </c>
      <c r="B79" s="306" t="s">
        <v>258</v>
      </c>
      <c r="C79" s="101"/>
      <c r="D79" s="101"/>
      <c r="E79" s="101"/>
      <c r="F79" s="101"/>
    </row>
    <row r="80" spans="1:6" s="48" customFormat="1" ht="12" customHeight="1" thickBot="1">
      <c r="A80" s="255" t="s">
        <v>259</v>
      </c>
      <c r="B80" s="305" t="s">
        <v>260</v>
      </c>
      <c r="C80" s="101"/>
      <c r="D80" s="101"/>
      <c r="E80" s="101"/>
      <c r="F80" s="101"/>
    </row>
    <row r="81" spans="1:6" s="48" customFormat="1" ht="12" customHeight="1" thickBot="1">
      <c r="A81" s="257" t="s">
        <v>261</v>
      </c>
      <c r="B81" s="310" t="s">
        <v>262</v>
      </c>
      <c r="C81" s="96">
        <f>SUM(C82:C85)</f>
        <v>0</v>
      </c>
      <c r="D81" s="96"/>
      <c r="E81" s="96">
        <f>SUM(E82:E85)</f>
        <v>0</v>
      </c>
      <c r="F81" s="96">
        <f>SUM(F82:F85)</f>
        <v>0</v>
      </c>
    </row>
    <row r="82" spans="1:6" s="48" customFormat="1" ht="12" customHeight="1">
      <c r="A82" s="258" t="s">
        <v>263</v>
      </c>
      <c r="B82" s="309" t="s">
        <v>264</v>
      </c>
      <c r="C82" s="101"/>
      <c r="D82" s="101"/>
      <c r="E82" s="101"/>
      <c r="F82" s="101"/>
    </row>
    <row r="83" spans="1:6" s="48" customFormat="1" ht="12" customHeight="1">
      <c r="A83" s="259" t="s">
        <v>265</v>
      </c>
      <c r="B83" s="306" t="s">
        <v>266</v>
      </c>
      <c r="C83" s="101"/>
      <c r="D83" s="101"/>
      <c r="E83" s="101"/>
      <c r="F83" s="101"/>
    </row>
    <row r="84" spans="1:6" s="47" customFormat="1" ht="12" customHeight="1">
      <c r="A84" s="259" t="s">
        <v>267</v>
      </c>
      <c r="B84" s="306" t="s">
        <v>268</v>
      </c>
      <c r="C84" s="101"/>
      <c r="D84" s="101"/>
      <c r="E84" s="101"/>
      <c r="F84" s="101"/>
    </row>
    <row r="85" spans="1:6" s="47" customFormat="1" ht="12" customHeight="1" thickBot="1">
      <c r="A85" s="260" t="s">
        <v>269</v>
      </c>
      <c r="B85" s="305" t="s">
        <v>270</v>
      </c>
      <c r="C85" s="101"/>
      <c r="D85" s="101"/>
      <c r="E85" s="101"/>
      <c r="F85" s="101"/>
    </row>
    <row r="86" spans="1:6" s="47" customFormat="1" ht="12" customHeight="1" thickBot="1">
      <c r="A86" s="257" t="s">
        <v>271</v>
      </c>
      <c r="B86" s="310" t="s">
        <v>272</v>
      </c>
      <c r="C86" s="261"/>
      <c r="D86" s="261"/>
      <c r="E86" s="261"/>
      <c r="F86" s="261"/>
    </row>
    <row r="87" spans="1:6" s="47" customFormat="1" ht="12" customHeight="1" thickBot="1">
      <c r="A87" s="257" t="s">
        <v>273</v>
      </c>
      <c r="B87" s="272" t="s">
        <v>274</v>
      </c>
      <c r="C87" s="102">
        <f>+C65+C69+C74+C77+C81+C86</f>
        <v>378721</v>
      </c>
      <c r="D87" s="102">
        <f>+D65+D69+D74+D77+D81+D86</f>
        <v>-35</v>
      </c>
      <c r="E87" s="102">
        <f>+E65+E69+E74+E77+E81+E86</f>
        <v>378686</v>
      </c>
      <c r="F87" s="102">
        <f>+F65+F69+F74+F77+F81+F86</f>
        <v>378686</v>
      </c>
    </row>
    <row r="88" spans="1:6" s="48" customFormat="1" ht="12" customHeight="1" thickBot="1">
      <c r="A88" s="262" t="s">
        <v>275</v>
      </c>
      <c r="B88" s="273" t="s">
        <v>367</v>
      </c>
      <c r="C88" s="102">
        <f>+C64+C87</f>
        <v>1068225</v>
      </c>
      <c r="D88" s="102">
        <f>+D64+D87</f>
        <v>163650</v>
      </c>
      <c r="E88" s="102">
        <f>+E64+E87</f>
        <v>1231875</v>
      </c>
      <c r="F88" s="102">
        <f>+F64+F87</f>
        <v>843715</v>
      </c>
    </row>
    <row r="89" spans="1:6" s="48" customFormat="1" ht="15" customHeight="1">
      <c r="A89" s="85"/>
      <c r="B89" s="86"/>
      <c r="C89" s="153"/>
      <c r="D89" s="153"/>
      <c r="E89" s="153"/>
      <c r="F89" s="153"/>
    </row>
    <row r="90" spans="1:6" ht="13.5" thickBot="1">
      <c r="A90" s="87"/>
      <c r="B90" s="88"/>
      <c r="C90" s="154"/>
      <c r="D90" s="154"/>
      <c r="E90" s="154"/>
      <c r="F90" s="154"/>
    </row>
    <row r="91" spans="1:6" s="43" customFormat="1" ht="16.5" customHeight="1" thickBot="1">
      <c r="A91" s="454" t="s">
        <v>42</v>
      </c>
      <c r="B91" s="455"/>
      <c r="C91" s="455"/>
      <c r="D91" s="455"/>
      <c r="E91" s="455"/>
      <c r="F91" s="456"/>
    </row>
    <row r="92" spans="1:6" s="49" customFormat="1" ht="12" customHeight="1" thickBot="1">
      <c r="A92" s="265" t="s">
        <v>5</v>
      </c>
      <c r="B92" s="23" t="s">
        <v>385</v>
      </c>
      <c r="C92" s="95">
        <f>SUM(C93:C97)</f>
        <v>353263</v>
      </c>
      <c r="D92" s="95">
        <f>SUM(D93:D97)</f>
        <v>50342</v>
      </c>
      <c r="E92" s="95">
        <f>SUM(E93:E97)</f>
        <v>403605</v>
      </c>
      <c r="F92" s="95">
        <f>SUM(F93:F97)</f>
        <v>181762</v>
      </c>
    </row>
    <row r="93" spans="1:6" ht="12" customHeight="1">
      <c r="A93" s="266" t="s">
        <v>67</v>
      </c>
      <c r="B93" s="298" t="s">
        <v>34</v>
      </c>
      <c r="C93" s="97">
        <v>134280</v>
      </c>
      <c r="D93" s="97">
        <f>1737+1363</f>
        <v>3100</v>
      </c>
      <c r="E93" s="97">
        <v>137380</v>
      </c>
      <c r="F93" s="97">
        <v>61277</v>
      </c>
    </row>
    <row r="94" spans="1:6" ht="12" customHeight="1">
      <c r="A94" s="254" t="s">
        <v>68</v>
      </c>
      <c r="B94" s="299" t="s">
        <v>111</v>
      </c>
      <c r="C94" s="98">
        <v>36210</v>
      </c>
      <c r="D94" s="98">
        <f>418+370</f>
        <v>788</v>
      </c>
      <c r="E94" s="98">
        <v>36998</v>
      </c>
      <c r="F94" s="98">
        <v>11950</v>
      </c>
    </row>
    <row r="95" spans="1:6" ht="12" customHeight="1">
      <c r="A95" s="254" t="s">
        <v>69</v>
      </c>
      <c r="B95" s="299" t="s">
        <v>86</v>
      </c>
      <c r="C95" s="100">
        <v>144203</v>
      </c>
      <c r="D95" s="100">
        <v>3710</v>
      </c>
      <c r="E95" s="100">
        <v>147913</v>
      </c>
      <c r="F95" s="100">
        <v>49722</v>
      </c>
    </row>
    <row r="96" spans="1:6" ht="12" customHeight="1">
      <c r="A96" s="254" t="s">
        <v>70</v>
      </c>
      <c r="B96" s="300" t="s">
        <v>112</v>
      </c>
      <c r="C96" s="100">
        <v>3380</v>
      </c>
      <c r="D96" s="100">
        <v>455</v>
      </c>
      <c r="E96" s="100">
        <v>3835</v>
      </c>
      <c r="F96" s="100">
        <v>1093</v>
      </c>
    </row>
    <row r="97" spans="1:6" ht="12" customHeight="1">
      <c r="A97" s="254" t="s">
        <v>78</v>
      </c>
      <c r="B97" s="301" t="s">
        <v>113</v>
      </c>
      <c r="C97" s="100">
        <v>35190</v>
      </c>
      <c r="D97" s="100">
        <f>41789+500</f>
        <v>42289</v>
      </c>
      <c r="E97" s="100">
        <f>72476+E104+E98+500</f>
        <v>77479</v>
      </c>
      <c r="F97" s="100">
        <f>F98+F102+F106</f>
        <v>57720</v>
      </c>
    </row>
    <row r="98" spans="1:6" ht="12" customHeight="1">
      <c r="A98" s="254" t="s">
        <v>71</v>
      </c>
      <c r="B98" s="299" t="s">
        <v>278</v>
      </c>
      <c r="C98" s="100"/>
      <c r="D98" s="100">
        <v>4503</v>
      </c>
      <c r="E98" s="100">
        <v>4503</v>
      </c>
      <c r="F98" s="100">
        <v>4502</v>
      </c>
    </row>
    <row r="99" spans="1:6" ht="12" customHeight="1">
      <c r="A99" s="254" t="s">
        <v>72</v>
      </c>
      <c r="B99" s="302" t="s">
        <v>279</v>
      </c>
      <c r="C99" s="100"/>
      <c r="D99" s="100"/>
      <c r="E99" s="100"/>
      <c r="F99" s="100"/>
    </row>
    <row r="100" spans="1:6" ht="12" customHeight="1">
      <c r="A100" s="254" t="s">
        <v>79</v>
      </c>
      <c r="B100" s="299" t="s">
        <v>280</v>
      </c>
      <c r="C100" s="100"/>
      <c r="D100" s="100"/>
      <c r="E100" s="100"/>
      <c r="F100" s="100"/>
    </row>
    <row r="101" spans="1:6" ht="12" customHeight="1">
      <c r="A101" s="254" t="s">
        <v>80</v>
      </c>
      <c r="B101" s="299" t="s">
        <v>281</v>
      </c>
      <c r="C101" s="100"/>
      <c r="D101" s="100"/>
      <c r="E101" s="100"/>
      <c r="F101" s="100"/>
    </row>
    <row r="102" spans="1:6" ht="12" customHeight="1">
      <c r="A102" s="254" t="s">
        <v>81</v>
      </c>
      <c r="B102" s="302" t="s">
        <v>282</v>
      </c>
      <c r="C102" s="100">
        <v>29190</v>
      </c>
      <c r="D102" s="100">
        <f>37286+500</f>
        <v>37786</v>
      </c>
      <c r="E102" s="100">
        <f>66476+500</f>
        <v>66976</v>
      </c>
      <c r="F102" s="100">
        <v>51718</v>
      </c>
    </row>
    <row r="103" spans="1:6" ht="12" customHeight="1">
      <c r="A103" s="254" t="s">
        <v>82</v>
      </c>
      <c r="B103" s="302" t="s">
        <v>283</v>
      </c>
      <c r="C103" s="100"/>
      <c r="D103" s="100"/>
      <c r="E103" s="100"/>
      <c r="F103" s="100"/>
    </row>
    <row r="104" spans="1:6" ht="12" customHeight="1">
      <c r="A104" s="254" t="s">
        <v>84</v>
      </c>
      <c r="B104" s="299" t="s">
        <v>284</v>
      </c>
      <c r="C104" s="100"/>
      <c r="D104" s="100"/>
      <c r="E104" s="100"/>
      <c r="F104" s="100"/>
    </row>
    <row r="105" spans="1:6" ht="12" customHeight="1">
      <c r="A105" s="267" t="s">
        <v>114</v>
      </c>
      <c r="B105" s="303" t="s">
        <v>285</v>
      </c>
      <c r="C105" s="100"/>
      <c r="D105" s="100"/>
      <c r="E105" s="100"/>
      <c r="F105" s="100"/>
    </row>
    <row r="106" spans="1:6" ht="12" customHeight="1">
      <c r="A106" s="254" t="s">
        <v>286</v>
      </c>
      <c r="B106" s="303" t="s">
        <v>432</v>
      </c>
      <c r="C106" s="100">
        <v>3000</v>
      </c>
      <c r="D106" s="100"/>
      <c r="E106" s="100">
        <v>3000</v>
      </c>
      <c r="F106" s="100">
        <v>1500</v>
      </c>
    </row>
    <row r="107" spans="1:6" ht="12" customHeight="1" thickBot="1">
      <c r="A107" s="268" t="s">
        <v>288</v>
      </c>
      <c r="B107" s="304" t="s">
        <v>289</v>
      </c>
      <c r="C107" s="103">
        <v>3000</v>
      </c>
      <c r="D107" s="103"/>
      <c r="E107" s="103">
        <v>3000</v>
      </c>
      <c r="F107" s="103"/>
    </row>
    <row r="108" spans="1:6" ht="12" customHeight="1" thickBot="1">
      <c r="A108" s="24" t="s">
        <v>6</v>
      </c>
      <c r="B108" s="22" t="s">
        <v>386</v>
      </c>
      <c r="C108" s="96">
        <f>+C109+C111+C113</f>
        <v>225081</v>
      </c>
      <c r="D108" s="96">
        <f>+D109+D111+D113</f>
        <v>27492</v>
      </c>
      <c r="E108" s="96">
        <f>+E109+E111+E113</f>
        <v>252573</v>
      </c>
      <c r="F108" s="96">
        <f>+F109+F111+F113</f>
        <v>132505</v>
      </c>
    </row>
    <row r="109" spans="1:6" ht="12" customHeight="1">
      <c r="A109" s="253" t="s">
        <v>73</v>
      </c>
      <c r="B109" s="299" t="s">
        <v>133</v>
      </c>
      <c r="C109" s="99">
        <v>37170</v>
      </c>
      <c r="D109" s="99">
        <v>15659</v>
      </c>
      <c r="E109" s="99">
        <v>52829</v>
      </c>
      <c r="F109" s="99">
        <v>14466</v>
      </c>
    </row>
    <row r="110" spans="1:6" ht="12" customHeight="1">
      <c r="A110" s="253" t="s">
        <v>74</v>
      </c>
      <c r="B110" s="303" t="s">
        <v>291</v>
      </c>
      <c r="C110" s="99">
        <v>36155</v>
      </c>
      <c r="D110" s="99"/>
      <c r="E110" s="99">
        <v>36155</v>
      </c>
      <c r="F110" s="99"/>
    </row>
    <row r="111" spans="1:6" ht="12" customHeight="1">
      <c r="A111" s="253" t="s">
        <v>75</v>
      </c>
      <c r="B111" s="303" t="s">
        <v>115</v>
      </c>
      <c r="C111" s="98">
        <v>186125</v>
      </c>
      <c r="D111" s="98">
        <v>11753</v>
      </c>
      <c r="E111" s="98">
        <v>197878</v>
      </c>
      <c r="F111" s="98">
        <v>117959</v>
      </c>
    </row>
    <row r="112" spans="1:6" ht="12" customHeight="1">
      <c r="A112" s="253" t="s">
        <v>76</v>
      </c>
      <c r="B112" s="303" t="s">
        <v>292</v>
      </c>
      <c r="C112" s="207">
        <v>25005</v>
      </c>
      <c r="D112" s="207">
        <v>11753</v>
      </c>
      <c r="E112" s="207">
        <v>36758</v>
      </c>
      <c r="F112" s="207"/>
    </row>
    <row r="113" spans="1:6" ht="12" customHeight="1">
      <c r="A113" s="253" t="s">
        <v>77</v>
      </c>
      <c r="B113" s="305" t="s">
        <v>136</v>
      </c>
      <c r="C113" s="207">
        <v>1786</v>
      </c>
      <c r="D113" s="207">
        <v>80</v>
      </c>
      <c r="E113" s="207">
        <f>1786+E119</f>
        <v>1866</v>
      </c>
      <c r="F113" s="207">
        <f>SUM(F114:F121)</f>
        <v>80</v>
      </c>
    </row>
    <row r="114" spans="1:6" ht="12" customHeight="1">
      <c r="A114" s="253" t="s">
        <v>83</v>
      </c>
      <c r="B114" s="306" t="s">
        <v>384</v>
      </c>
      <c r="C114" s="207"/>
      <c r="D114" s="207"/>
      <c r="E114" s="207"/>
      <c r="F114" s="207"/>
    </row>
    <row r="115" spans="1:6" ht="12" customHeight="1">
      <c r="A115" s="253" t="s">
        <v>85</v>
      </c>
      <c r="B115" s="296" t="s">
        <v>293</v>
      </c>
      <c r="C115" s="207"/>
      <c r="D115" s="207"/>
      <c r="E115" s="207"/>
      <c r="F115" s="207"/>
    </row>
    <row r="116" spans="1:6" ht="12" customHeight="1">
      <c r="A116" s="253" t="s">
        <v>116</v>
      </c>
      <c r="B116" s="299" t="s">
        <v>281</v>
      </c>
      <c r="C116" s="207"/>
      <c r="D116" s="207"/>
      <c r="E116" s="207"/>
      <c r="F116" s="207"/>
    </row>
    <row r="117" spans="1:6" ht="12" customHeight="1">
      <c r="A117" s="253" t="s">
        <v>117</v>
      </c>
      <c r="B117" s="299" t="s">
        <v>294</v>
      </c>
      <c r="C117" s="207"/>
      <c r="D117" s="207"/>
      <c r="E117" s="207"/>
      <c r="F117" s="207"/>
    </row>
    <row r="118" spans="1:6" ht="12" customHeight="1">
      <c r="A118" s="253" t="s">
        <v>118</v>
      </c>
      <c r="B118" s="299" t="s">
        <v>295</v>
      </c>
      <c r="C118" s="207"/>
      <c r="D118" s="207"/>
      <c r="E118" s="207"/>
      <c r="F118" s="207"/>
    </row>
    <row r="119" spans="1:6" ht="12" customHeight="1">
      <c r="A119" s="253" t="s">
        <v>296</v>
      </c>
      <c r="B119" s="299" t="s">
        <v>284</v>
      </c>
      <c r="C119" s="207"/>
      <c r="D119" s="207">
        <v>80</v>
      </c>
      <c r="E119" s="207">
        <v>80</v>
      </c>
      <c r="F119" s="207">
        <v>80</v>
      </c>
    </row>
    <row r="120" spans="1:6" ht="12" customHeight="1">
      <c r="A120" s="253" t="s">
        <v>297</v>
      </c>
      <c r="B120" s="299" t="s">
        <v>298</v>
      </c>
      <c r="C120" s="207"/>
      <c r="D120" s="207"/>
      <c r="E120" s="207"/>
      <c r="F120" s="207"/>
    </row>
    <row r="121" spans="1:6" ht="12" customHeight="1" thickBot="1">
      <c r="A121" s="267" t="s">
        <v>299</v>
      </c>
      <c r="B121" s="299" t="s">
        <v>300</v>
      </c>
      <c r="C121" s="211">
        <v>1786</v>
      </c>
      <c r="D121" s="211"/>
      <c r="E121" s="211">
        <v>1786</v>
      </c>
      <c r="F121" s="211"/>
    </row>
    <row r="122" spans="1:6" ht="12" customHeight="1" thickBot="1">
      <c r="A122" s="24" t="s">
        <v>7</v>
      </c>
      <c r="B122" s="55" t="s">
        <v>301</v>
      </c>
      <c r="C122" s="96">
        <f>+C123+C124</f>
        <v>173053</v>
      </c>
      <c r="D122" s="96">
        <f>+D123+D124</f>
        <v>84520</v>
      </c>
      <c r="E122" s="96">
        <f>+E123+E124</f>
        <v>257573</v>
      </c>
      <c r="F122" s="96">
        <f>+F123+F124</f>
        <v>0</v>
      </c>
    </row>
    <row r="123" spans="1:6" ht="12" customHeight="1">
      <c r="A123" s="253" t="s">
        <v>56</v>
      </c>
      <c r="B123" s="296" t="s">
        <v>43</v>
      </c>
      <c r="C123" s="99">
        <v>37221</v>
      </c>
      <c r="D123" s="99">
        <f>86753-1733-500</f>
        <v>84520</v>
      </c>
      <c r="E123" s="99">
        <f>122241-500</f>
        <v>121741</v>
      </c>
      <c r="F123" s="99"/>
    </row>
    <row r="124" spans="1:6" s="49" customFormat="1" ht="12" customHeight="1" thickBot="1">
      <c r="A124" s="255" t="s">
        <v>57</v>
      </c>
      <c r="B124" s="303" t="s">
        <v>433</v>
      </c>
      <c r="C124" s="100">
        <v>135832</v>
      </c>
      <c r="D124" s="100"/>
      <c r="E124" s="100">
        <v>135832</v>
      </c>
      <c r="F124" s="100"/>
    </row>
    <row r="125" spans="1:6" ht="12" customHeight="1" thickBot="1">
      <c r="A125" s="24" t="s">
        <v>8</v>
      </c>
      <c r="B125" s="55" t="s">
        <v>302</v>
      </c>
      <c r="C125" s="96">
        <f>+C92+C108+C122</f>
        <v>751397</v>
      </c>
      <c r="D125" s="96">
        <f>+D92+D108+D122</f>
        <v>162354</v>
      </c>
      <c r="E125" s="96">
        <f>+E92+E108+E122</f>
        <v>913751</v>
      </c>
      <c r="F125" s="96">
        <f>+F92+F108+F122</f>
        <v>314267</v>
      </c>
    </row>
    <row r="126" spans="1:6" ht="12" customHeight="1" thickBot="1">
      <c r="A126" s="24" t="s">
        <v>9</v>
      </c>
      <c r="B126" s="55" t="s">
        <v>303</v>
      </c>
      <c r="C126" s="96">
        <f>+C127+C128+C129</f>
        <v>0</v>
      </c>
      <c r="D126" s="96"/>
      <c r="E126" s="96">
        <f>+E127+E128+E129</f>
        <v>0</v>
      </c>
      <c r="F126" s="96">
        <f>+F127+F128+F129</f>
        <v>0</v>
      </c>
    </row>
    <row r="127" spans="1:6" ht="12" customHeight="1">
      <c r="A127" s="253" t="s">
        <v>60</v>
      </c>
      <c r="B127" s="296" t="s">
        <v>304</v>
      </c>
      <c r="C127" s="207"/>
      <c r="D127" s="207"/>
      <c r="E127" s="207"/>
      <c r="F127" s="207"/>
    </row>
    <row r="128" spans="1:6" ht="12" customHeight="1">
      <c r="A128" s="253" t="s">
        <v>61</v>
      </c>
      <c r="B128" s="296" t="s">
        <v>305</v>
      </c>
      <c r="C128" s="207"/>
      <c r="D128" s="207"/>
      <c r="E128" s="207"/>
      <c r="F128" s="207"/>
    </row>
    <row r="129" spans="1:6" ht="12" customHeight="1" thickBot="1">
      <c r="A129" s="267" t="s">
        <v>62</v>
      </c>
      <c r="B129" s="307" t="s">
        <v>306</v>
      </c>
      <c r="C129" s="207"/>
      <c r="D129" s="207"/>
      <c r="E129" s="207"/>
      <c r="F129" s="207"/>
    </row>
    <row r="130" spans="1:6" ht="12" customHeight="1" thickBot="1">
      <c r="A130" s="24" t="s">
        <v>10</v>
      </c>
      <c r="B130" s="55" t="s">
        <v>307</v>
      </c>
      <c r="C130" s="96">
        <f>+C131+C132+C133+C134</f>
        <v>0</v>
      </c>
      <c r="D130" s="96">
        <f>+D131+D132+D133+D134</f>
        <v>29</v>
      </c>
      <c r="E130" s="96">
        <f>+E131+E132+E133+E134</f>
        <v>29</v>
      </c>
      <c r="F130" s="96">
        <f>+F131+F132+F133+F134</f>
        <v>29</v>
      </c>
    </row>
    <row r="131" spans="1:6" s="49" customFormat="1" ht="12" customHeight="1">
      <c r="A131" s="253" t="s">
        <v>63</v>
      </c>
      <c r="B131" s="296" t="s">
        <v>374</v>
      </c>
      <c r="C131" s="207"/>
      <c r="D131" s="207"/>
      <c r="E131" s="207"/>
      <c r="F131" s="207"/>
    </row>
    <row r="132" spans="1:12" ht="23.25" customHeight="1">
      <c r="A132" s="253" t="s">
        <v>64</v>
      </c>
      <c r="B132" s="296" t="s">
        <v>375</v>
      </c>
      <c r="C132" s="207"/>
      <c r="D132" s="207"/>
      <c r="E132" s="207"/>
      <c r="F132" s="207"/>
      <c r="L132" s="90"/>
    </row>
    <row r="133" spans="1:6" ht="21" customHeight="1">
      <c r="A133" s="253" t="s">
        <v>211</v>
      </c>
      <c r="B133" s="296" t="s">
        <v>376</v>
      </c>
      <c r="C133" s="207"/>
      <c r="D133" s="207">
        <v>29</v>
      </c>
      <c r="E133" s="207">
        <v>29</v>
      </c>
      <c r="F133" s="207">
        <v>29</v>
      </c>
    </row>
    <row r="134" spans="1:6" ht="12" customHeight="1" thickBot="1">
      <c r="A134" s="267" t="s">
        <v>213</v>
      </c>
      <c r="B134" s="307" t="s">
        <v>377</v>
      </c>
      <c r="C134" s="207"/>
      <c r="D134" s="207"/>
      <c r="E134" s="207"/>
      <c r="F134" s="207"/>
    </row>
    <row r="135" spans="1:6" s="49" customFormat="1" ht="12" customHeight="1" thickBot="1">
      <c r="A135" s="24" t="s">
        <v>11</v>
      </c>
      <c r="B135" s="55" t="s">
        <v>312</v>
      </c>
      <c r="C135" s="102">
        <f>+C136+C137+C138+C139</f>
        <v>316828</v>
      </c>
      <c r="D135" s="102">
        <f>+D136+D137+D138+D139</f>
        <v>1267</v>
      </c>
      <c r="E135" s="102">
        <f>+E136+E137+E138+E139</f>
        <v>318095</v>
      </c>
      <c r="F135" s="102">
        <f>+F136+F137+F138+F139</f>
        <v>134150</v>
      </c>
    </row>
    <row r="136" spans="1:6" s="49" customFormat="1" ht="12" customHeight="1">
      <c r="A136" s="253" t="s">
        <v>65</v>
      </c>
      <c r="B136" s="296" t="s">
        <v>434</v>
      </c>
      <c r="C136" s="207">
        <v>316828</v>
      </c>
      <c r="D136" s="207">
        <v>1267</v>
      </c>
      <c r="E136" s="207">
        <v>318095</v>
      </c>
      <c r="F136" s="207">
        <v>134150</v>
      </c>
    </row>
    <row r="137" spans="1:6" s="49" customFormat="1" ht="12" customHeight="1">
      <c r="A137" s="253" t="s">
        <v>66</v>
      </c>
      <c r="B137" s="296" t="s">
        <v>314</v>
      </c>
      <c r="C137" s="207"/>
      <c r="D137" s="207"/>
      <c r="E137" s="207"/>
      <c r="F137" s="207"/>
    </row>
    <row r="138" spans="1:6" s="49" customFormat="1" ht="12" customHeight="1">
      <c r="A138" s="253" t="s">
        <v>220</v>
      </c>
      <c r="B138" s="296" t="s">
        <v>378</v>
      </c>
      <c r="C138" s="207"/>
      <c r="D138" s="207"/>
      <c r="E138" s="207"/>
      <c r="F138" s="207"/>
    </row>
    <row r="139" spans="1:6" s="49" customFormat="1" ht="12" customHeight="1" thickBot="1">
      <c r="A139" s="267" t="s">
        <v>222</v>
      </c>
      <c r="B139" s="307" t="s">
        <v>358</v>
      </c>
      <c r="C139" s="207"/>
      <c r="D139" s="207"/>
      <c r="E139" s="207"/>
      <c r="F139" s="207"/>
    </row>
    <row r="140" spans="1:6" s="49" customFormat="1" ht="12" customHeight="1" thickBot="1">
      <c r="A140" s="24" t="s">
        <v>12</v>
      </c>
      <c r="B140" s="55" t="s">
        <v>317</v>
      </c>
      <c r="C140" s="104">
        <f>+C141+C142+C143+C144</f>
        <v>0</v>
      </c>
      <c r="D140" s="104"/>
      <c r="E140" s="104">
        <f>+E141+E142+E143+E144</f>
        <v>0</v>
      </c>
      <c r="F140" s="104">
        <f>+F141+F142+F143+F144</f>
        <v>0</v>
      </c>
    </row>
    <row r="141" spans="1:6" ht="12.75" customHeight="1">
      <c r="A141" s="253" t="s">
        <v>109</v>
      </c>
      <c r="B141" s="296" t="s">
        <v>390</v>
      </c>
      <c r="C141" s="207"/>
      <c r="D141" s="207"/>
      <c r="E141" s="207"/>
      <c r="F141" s="207"/>
    </row>
    <row r="142" spans="1:6" ht="12" customHeight="1">
      <c r="A142" s="253" t="s">
        <v>110</v>
      </c>
      <c r="B142" s="296" t="s">
        <v>391</v>
      </c>
      <c r="C142" s="207"/>
      <c r="D142" s="207"/>
      <c r="E142" s="207"/>
      <c r="F142" s="207"/>
    </row>
    <row r="143" spans="1:6" ht="15" customHeight="1">
      <c r="A143" s="253" t="s">
        <v>135</v>
      </c>
      <c r="B143" s="296" t="s">
        <v>392</v>
      </c>
      <c r="C143" s="207"/>
      <c r="D143" s="215"/>
      <c r="E143" s="207"/>
      <c r="F143" s="207"/>
    </row>
    <row r="144" spans="1:6" ht="13.5" thickBot="1">
      <c r="A144" s="253" t="s">
        <v>228</v>
      </c>
      <c r="B144" s="296" t="s">
        <v>393</v>
      </c>
      <c r="C144" s="207"/>
      <c r="D144" s="207"/>
      <c r="E144" s="207"/>
      <c r="F144" s="207"/>
    </row>
    <row r="145" spans="1:6" ht="15" customHeight="1" thickBot="1">
      <c r="A145" s="24" t="s">
        <v>13</v>
      </c>
      <c r="B145" s="55" t="s">
        <v>322</v>
      </c>
      <c r="C145" s="235">
        <f>+C126+C130+C135+C140</f>
        <v>316828</v>
      </c>
      <c r="D145" s="235">
        <f>+D126+D130+D135+D140</f>
        <v>1296</v>
      </c>
      <c r="E145" s="235">
        <f>+E126+E130+E135+E140</f>
        <v>318124</v>
      </c>
      <c r="F145" s="235">
        <f>+F126+F130+F135+F140</f>
        <v>134179</v>
      </c>
    </row>
    <row r="146" spans="1:6" ht="14.25" customHeight="1" thickBot="1">
      <c r="A146" s="269" t="s">
        <v>14</v>
      </c>
      <c r="B146" s="297" t="s">
        <v>323</v>
      </c>
      <c r="C146" s="235">
        <f>+C125+C145</f>
        <v>1068225</v>
      </c>
      <c r="D146" s="235">
        <f>+D125+D145</f>
        <v>163650</v>
      </c>
      <c r="E146" s="235">
        <f>+E125+E145</f>
        <v>1231875</v>
      </c>
      <c r="F146" s="235">
        <f>+F125+F145</f>
        <v>448446</v>
      </c>
    </row>
    <row r="148" spans="3:4" ht="12.75">
      <c r="C148" s="347" t="s">
        <v>435</v>
      </c>
      <c r="D148" s="347"/>
    </row>
    <row r="149" spans="2:4" ht="12.75">
      <c r="B149" s="348" t="s">
        <v>437</v>
      </c>
      <c r="C149" s="347" t="s">
        <v>436</v>
      </c>
      <c r="D149" s="347"/>
    </row>
  </sheetData>
  <sheetProtection formatCells="0"/>
  <mergeCells count="4">
    <mergeCell ref="A7:F7"/>
    <mergeCell ref="A91:F91"/>
    <mergeCell ref="B2:E2"/>
    <mergeCell ref="B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headerFooter alignWithMargins="0">
    <oddHeader xml:space="preserve">&amp;C9.1 melléklet az 1/2014.(II.7.) önkormáyzati rendelethez </oddHeader>
  </headerFooter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User002</cp:lastModifiedBy>
  <cp:lastPrinted>2014-09-09T07:55:52Z</cp:lastPrinted>
  <dcterms:created xsi:type="dcterms:W3CDTF">1999-10-30T10:30:45Z</dcterms:created>
  <dcterms:modified xsi:type="dcterms:W3CDTF">2014-09-15T09:14:46Z</dcterms:modified>
  <cp:category/>
  <cp:version/>
  <cp:contentType/>
  <cp:contentStatus/>
</cp:coreProperties>
</file>