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95" windowWidth="12120" windowHeight="2040" tabRatio="803" activeTab="5"/>
  </bookViews>
  <sheets>
    <sheet name="önként2017." sheetId="1" r:id="rId1"/>
    <sheet name="kötelező2017." sheetId="2" r:id="rId2"/>
    <sheet name="önként2017.felh." sheetId="3" r:id="rId3"/>
    <sheet name="kötelező2017.felh." sheetId="4" r:id="rId4"/>
    <sheet name="önkét2017.finansz." sheetId="5" r:id="rId5"/>
    <sheet name="kötelező2017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'kötelező2017.'!$A$1:$M$45</definedName>
    <definedName name="_xlnm.Print_Area" localSheetId="3">'kötelező2017.felh.'!$A$1:$M$30</definedName>
    <definedName name="_xlnm.Print_Area" localSheetId="5">'kötelező2017.finansz.'!$A$1:$M$17</definedName>
    <definedName name="_xlnm.Print_Area" localSheetId="0">'önként2017.'!$A$1:$L$35</definedName>
    <definedName name="_xlnm.Print_Area" localSheetId="2">'önként2017.felh.'!$A$1:$L$37</definedName>
    <definedName name="_xlnm.Print_Area" localSheetId="4">'önkét2017.finansz.'!$A$1:$L$30</definedName>
  </definedNames>
  <calcPr fullCalcOnLoad="1"/>
</workbook>
</file>

<file path=xl/sharedStrings.xml><?xml version="1.0" encoding="utf-8"?>
<sst xmlns="http://schemas.openxmlformats.org/spreadsheetml/2006/main" count="224" uniqueCount="114">
  <si>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</si>
  <si>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</si>
  <si>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</si>
  <si>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</si>
  <si>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</si>
  <si>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</si>
  <si>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</si>
  <si>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</si>
  <si>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</si>
  <si>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</si>
  <si>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</si>
  <si>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</si>
  <si>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</si>
  <si>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</si>
  <si>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</si>
  <si>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</si>
  <si>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</si>
  <si>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</si>
  <si>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</si>
  <si>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</si>
  <si>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</si>
  <si>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</si>
  <si>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</si>
  <si>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</si>
  <si>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</si>
  <si>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</si>
  <si>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</si>
  <si>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</si>
  <si>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</si>
  <si>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</si>
  <si>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</si>
  <si>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</si>
  <si>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</si>
  <si>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</si>
  <si>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</si>
  <si>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</si>
  <si>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</si>
  <si>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</si>
  <si>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</si>
  <si>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</si>
  <si>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</si>
  <si>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</si>
  <si>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</si>
  <si>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</si>
  <si>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</si>
  <si>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</si>
  <si>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</si>
  <si>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</si>
  <si>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</si>
  <si>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</si>
  <si>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</si>
  <si>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</si>
  <si>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</si>
  <si>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</si>
  <si>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</si>
  <si>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</si>
  <si>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</si>
  <si>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</si>
  <si>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</si>
  <si>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</si>
  <si>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</si>
  <si>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</si>
  <si>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</si>
  <si>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Egészségügyi és Szoc. Biz. Kiad.</t>
  </si>
  <si>
    <t>Kulturális és tanácsnoki keret kiad.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</si>
  <si>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</si>
  <si>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</si>
  <si>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</si>
  <si>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</si>
  <si>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</si>
  <si>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</si>
  <si>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</si>
  <si>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</si>
  <si>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</si>
  <si>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</si>
  <si>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</si>
  <si>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</si>
  <si>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</si>
  <si>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</si>
  <si>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</si>
  <si>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</si>
  <si>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</si>
  <si>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</si>
  <si>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2017. Működési költségvetés -  Önként vállalt feladatkörök</t>
  </si>
  <si>
    <t>2017. Működési költségvetés  -  Kötelezően előírt feladatkörök</t>
  </si>
  <si>
    <t>2017. Felhalmozási költségvetés -  Önként vállalt feladatkörök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</si>
  <si>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</si>
  <si>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</si>
  <si>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</si>
  <si>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</si>
  <si>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</si>
  <si>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</si>
  <si>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</si>
  <si>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</si>
  <si>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</si>
  <si>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2017. Felhalmozási költségvetés  -  Kötelezően előírt feladatkörök</t>
  </si>
  <si>
    <t>Közbiztonság kiadásai</t>
  </si>
  <si>
    <t>Oktatási Bizottság kiadásai</t>
  </si>
  <si>
    <t>Emberi jogi,Nemz.és Egyházügyi Biz.kiad.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</si>
  <si>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</si>
  <si>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</si>
  <si>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</si>
  <si>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</si>
  <si>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</si>
  <si>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</si>
  <si>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2017. Finanszírozási kiadások -  Önként vállalt feladatkörök</t>
  </si>
  <si>
    <t>Belföldi értékpapírok kiadásai</t>
  </si>
  <si>
    <t>2017. Finanszírozási kiadások  -  Kötelezően előírt feladatkörök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</si>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</sst>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2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3" fontId="10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 shrinkToFit="1"/>
    </xf>
    <xf numFmtId="2" fontId="12" fillId="0" borderId="27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0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3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72" fontId="10" fillId="0" borderId="11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172" fontId="1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0" fillId="0" borderId="2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2" xfId="0" applyFont="1" applyFill="1" applyBorder="1" applyAlignment="1">
      <alignment shrinkToFit="1"/>
    </xf>
    <xf numFmtId="2" fontId="9" fillId="0" borderId="35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172" fontId="10" fillId="0" borderId="23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172" fontId="9" fillId="0" borderId="33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0" fontId="12" fillId="0" borderId="18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172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172" fontId="9" fillId="0" borderId="23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0" fontId="3" fillId="0" borderId="36" xfId="0" applyFont="1" applyFill="1" applyBorder="1" applyAlignment="1">
      <alignment shrinkToFit="1"/>
    </xf>
    <xf numFmtId="0" fontId="12" fillId="0" borderId="36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172" fontId="10" fillId="0" borderId="17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shrinkToFit="1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shrinkToFit="1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67" t="s">
        <v>34</v>
      </c>
      <c r="L1" s="167"/>
    </row>
    <row r="2" spans="1:12" ht="12.75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75</v>
      </c>
      <c r="C5" s="61" t="s">
        <v>69</v>
      </c>
      <c r="D5" s="62" t="s">
        <v>76</v>
      </c>
      <c r="E5" s="61" t="s">
        <v>65</v>
      </c>
      <c r="F5" s="62" t="s">
        <v>77</v>
      </c>
      <c r="G5" s="61" t="s">
        <v>78</v>
      </c>
      <c r="H5" s="62" t="s">
        <v>79</v>
      </c>
      <c r="I5" s="62" t="s">
        <v>82</v>
      </c>
      <c r="J5" s="62" t="s">
        <v>51</v>
      </c>
      <c r="K5" s="63" t="s">
        <v>80</v>
      </c>
      <c r="L5" s="71" t="s">
        <v>81</v>
      </c>
    </row>
    <row r="6" spans="1:12" ht="12.75">
      <c r="A6" s="14" t="s">
        <v>21</v>
      </c>
      <c r="B6" s="15">
        <f>934340-265000-406581+43130+700+2444+1320+93853+560+1210+400</f>
        <v>406376</v>
      </c>
      <c r="C6" s="15"/>
      <c r="D6" s="114">
        <f>SUM(C6/B6)*100</f>
        <v>0</v>
      </c>
      <c r="E6" s="16"/>
      <c r="F6" s="17">
        <f aca="true" t="shared" si="0" ref="F6:F20">SUM(E6/B6)*100</f>
        <v>0</v>
      </c>
      <c r="G6" s="16"/>
      <c r="H6" s="17">
        <f>SUM(G6/B6*100)</f>
        <v>0</v>
      </c>
      <c r="I6" s="16">
        <f>1202+300+314+970</f>
        <v>2786</v>
      </c>
      <c r="J6" s="17">
        <f>SUM(I6/B6*100)</f>
        <v>0.6855719825973975</v>
      </c>
      <c r="K6" s="21">
        <f>SUM(B6-C6-E6-G6-I6)</f>
        <v>403590</v>
      </c>
      <c r="L6" s="18">
        <f>SUM(K6/B6)*100</f>
        <v>99.3144280174026</v>
      </c>
    </row>
    <row r="7" spans="1:12" ht="12.75">
      <c r="A7" s="14" t="s">
        <v>22</v>
      </c>
      <c r="B7" s="20">
        <f>1557911-57619+4384</f>
        <v>1504676</v>
      </c>
      <c r="C7" s="20">
        <f>5034752-22224-310180-1584926-3000000-60000+2000+98+333+7000+3000</f>
        <v>69853</v>
      </c>
      <c r="D7" s="115">
        <f>SUM(C7/B7)*100</f>
        <v>4.642394774689036</v>
      </c>
      <c r="E7" s="21"/>
      <c r="F7" s="22">
        <f t="shared" si="0"/>
        <v>0</v>
      </c>
      <c r="G7" s="21"/>
      <c r="H7" s="22">
        <f>SUM(G7/B7*100)</f>
        <v>0</v>
      </c>
      <c r="I7" s="21">
        <f>33405+16044-9000</f>
        <v>40449</v>
      </c>
      <c r="J7" s="17">
        <f aca="true" t="shared" si="1" ref="J7:J32">SUM(I7/B7*100)</f>
        <v>2.688219922428483</v>
      </c>
      <c r="K7" s="21">
        <f aca="true" t="shared" si="2" ref="K7:K20">SUM(B7-C7-E7-G7-I7)</f>
        <v>1394374</v>
      </c>
      <c r="L7" s="23">
        <f>SUM(K7/B7)*100</f>
        <v>92.66938530288247</v>
      </c>
    </row>
    <row r="8" spans="1:12" ht="12.75">
      <c r="A8" s="14" t="s">
        <v>1</v>
      </c>
      <c r="B8" s="20">
        <f>100000-69376</f>
        <v>30624</v>
      </c>
      <c r="C8" s="20"/>
      <c r="D8" s="115">
        <f>SUM(C8/B8)*100</f>
        <v>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30624</v>
      </c>
      <c r="L8" s="23">
        <f>SUM(K8/B8)*100</f>
        <v>100</v>
      </c>
    </row>
    <row r="9" spans="1:12" ht="12.75">
      <c r="A9" s="19" t="s">
        <v>26</v>
      </c>
      <c r="B9" s="20">
        <f>716338-245804-155000+17892</f>
        <v>333426</v>
      </c>
      <c r="C9" s="20">
        <v>66615</v>
      </c>
      <c r="D9" s="115">
        <f aca="true" t="shared" si="3" ref="D9:D21">SUM(C9/B9)*100</f>
        <v>19.978945853052853</v>
      </c>
      <c r="E9" s="21"/>
      <c r="F9" s="22">
        <f t="shared" si="0"/>
        <v>0</v>
      </c>
      <c r="G9" s="21">
        <v>500</v>
      </c>
      <c r="H9" s="22">
        <f aca="true" t="shared" si="4" ref="H9:H21">SUM(G9/B9*100)</f>
        <v>0.14995831158937817</v>
      </c>
      <c r="I9" s="21"/>
      <c r="J9" s="17">
        <f t="shared" si="1"/>
        <v>0</v>
      </c>
      <c r="K9" s="21">
        <f t="shared" si="2"/>
        <v>266311</v>
      </c>
      <c r="L9" s="23">
        <f aca="true" t="shared" si="5" ref="L9:L21">SUM(K9/B9)*100</f>
        <v>79.87109583535778</v>
      </c>
    </row>
    <row r="10" spans="1:12" ht="12.75">
      <c r="A10" s="19" t="s">
        <v>61</v>
      </c>
      <c r="B10" s="20">
        <f>627995-'kötelező2017.'!C12-B35</f>
        <v>172394</v>
      </c>
      <c r="C10" s="20">
        <f>70000+18303+1842</f>
        <v>90145</v>
      </c>
      <c r="D10" s="115">
        <f t="shared" si="3"/>
        <v>52.29010290381336</v>
      </c>
      <c r="E10" s="21"/>
      <c r="F10" s="22">
        <f t="shared" si="0"/>
        <v>0</v>
      </c>
      <c r="G10" s="21"/>
      <c r="H10" s="22">
        <f t="shared" si="4"/>
        <v>0</v>
      </c>
      <c r="I10" s="21">
        <f>482+10728+9105</f>
        <v>20315</v>
      </c>
      <c r="J10" s="17">
        <f t="shared" si="1"/>
        <v>11.784052809262503</v>
      </c>
      <c r="K10" s="21">
        <f t="shared" si="2"/>
        <v>61934</v>
      </c>
      <c r="L10" s="23">
        <f t="shared" si="5"/>
        <v>35.92584428692414</v>
      </c>
    </row>
    <row r="11" spans="1:12" ht="12.75">
      <c r="A11" s="19" t="s">
        <v>63</v>
      </c>
      <c r="B11" s="20">
        <f>900+1762+800+2520+1110</f>
        <v>7092</v>
      </c>
      <c r="C11" s="20"/>
      <c r="D11" s="115">
        <f aca="true" t="shared" si="6" ref="D11:D17">SUM(C11/B11)*100</f>
        <v>0</v>
      </c>
      <c r="E11" s="21"/>
      <c r="F11" s="22">
        <f aca="true" t="shared" si="7" ref="F11:F17">SUM(E11/B11)*100</f>
        <v>0</v>
      </c>
      <c r="G11" s="21"/>
      <c r="H11" s="22">
        <f aca="true" t="shared" si="8" ref="H11:H17">SUM(G11/B11*100)</f>
        <v>0</v>
      </c>
      <c r="I11" s="21">
        <v>300</v>
      </c>
      <c r="J11" s="17">
        <f aca="true" t="shared" si="9" ref="J11:J17">SUM(I11/B11*100)</f>
        <v>4.230118443316413</v>
      </c>
      <c r="K11" s="21">
        <f aca="true" t="shared" si="10" ref="K11:K17">SUM(B11-C11-E11-G11-I11)</f>
        <v>6792</v>
      </c>
      <c r="L11" s="23">
        <f aca="true" t="shared" si="11" ref="L11:L17">SUM(K11/B11)*100</f>
        <v>95.76988155668359</v>
      </c>
    </row>
    <row r="12" spans="1:12" ht="12.75">
      <c r="A12" s="19" t="s">
        <v>96</v>
      </c>
      <c r="B12" s="20">
        <f>42651+8500+24000</f>
        <v>75151</v>
      </c>
      <c r="C12" s="20"/>
      <c r="D12" s="115">
        <f t="shared" si="6"/>
        <v>0</v>
      </c>
      <c r="E12" s="21"/>
      <c r="F12" s="22">
        <f t="shared" si="7"/>
        <v>0</v>
      </c>
      <c r="G12" s="21"/>
      <c r="H12" s="22">
        <f t="shared" si="8"/>
        <v>0</v>
      </c>
      <c r="I12" s="21">
        <v>133</v>
      </c>
      <c r="J12" s="17">
        <f t="shared" si="9"/>
        <v>0.1769770196005376</v>
      </c>
      <c r="K12" s="21">
        <f t="shared" si="10"/>
        <v>75018</v>
      </c>
      <c r="L12" s="23">
        <f t="shared" si="11"/>
        <v>99.82302298039947</v>
      </c>
    </row>
    <row r="13" spans="1:12" ht="12.75">
      <c r="A13" s="19" t="s">
        <v>17</v>
      </c>
      <c r="B13" s="20">
        <v>85000</v>
      </c>
      <c r="C13" s="20"/>
      <c r="D13" s="115">
        <f t="shared" si="6"/>
        <v>0</v>
      </c>
      <c r="E13" s="21"/>
      <c r="F13" s="22">
        <f t="shared" si="7"/>
        <v>0</v>
      </c>
      <c r="G13" s="21"/>
      <c r="H13" s="22">
        <f t="shared" si="8"/>
        <v>0</v>
      </c>
      <c r="I13" s="21"/>
      <c r="J13" s="17">
        <f t="shared" si="9"/>
        <v>0</v>
      </c>
      <c r="K13" s="21">
        <f t="shared" si="10"/>
        <v>85000</v>
      </c>
      <c r="L13" s="23">
        <f t="shared" si="11"/>
        <v>100</v>
      </c>
    </row>
    <row r="14" spans="1:12" ht="12.75">
      <c r="A14" s="19" t="s">
        <v>18</v>
      </c>
      <c r="B14" s="20">
        <v>72099</v>
      </c>
      <c r="C14" s="20"/>
      <c r="D14" s="115">
        <f t="shared" si="6"/>
        <v>0</v>
      </c>
      <c r="E14" s="21"/>
      <c r="F14" s="22">
        <f t="shared" si="7"/>
        <v>0</v>
      </c>
      <c r="G14" s="21"/>
      <c r="H14" s="22">
        <f t="shared" si="8"/>
        <v>0</v>
      </c>
      <c r="I14" s="21"/>
      <c r="J14" s="17">
        <f t="shared" si="9"/>
        <v>0</v>
      </c>
      <c r="K14" s="21">
        <f t="shared" si="10"/>
        <v>72099</v>
      </c>
      <c r="L14" s="23">
        <f t="shared" si="11"/>
        <v>100</v>
      </c>
    </row>
    <row r="15" spans="1:12" ht="12.75">
      <c r="A15" s="19" t="s">
        <v>97</v>
      </c>
      <c r="B15" s="20">
        <f>215+9390+2200+1239</f>
        <v>13044</v>
      </c>
      <c r="C15" s="20"/>
      <c r="D15" s="115">
        <f t="shared" si="6"/>
        <v>0</v>
      </c>
      <c r="E15" s="21"/>
      <c r="F15" s="22">
        <f t="shared" si="7"/>
        <v>0</v>
      </c>
      <c r="G15" s="21"/>
      <c r="H15" s="22">
        <f t="shared" si="8"/>
        <v>0</v>
      </c>
      <c r="I15" s="21"/>
      <c r="J15" s="17">
        <f t="shared" si="9"/>
        <v>0</v>
      </c>
      <c r="K15" s="21">
        <f t="shared" si="10"/>
        <v>13044</v>
      </c>
      <c r="L15" s="23">
        <f t="shared" si="11"/>
        <v>100</v>
      </c>
    </row>
    <row r="16" spans="1:12" ht="12.75">
      <c r="A16" s="19" t="s">
        <v>98</v>
      </c>
      <c r="B16" s="20">
        <f>109+1993+835</f>
        <v>2937</v>
      </c>
      <c r="C16" s="20"/>
      <c r="D16" s="115">
        <f t="shared" si="6"/>
        <v>0</v>
      </c>
      <c r="E16" s="21"/>
      <c r="F16" s="22">
        <f t="shared" si="7"/>
        <v>0</v>
      </c>
      <c r="G16" s="21"/>
      <c r="H16" s="22">
        <f t="shared" si="8"/>
        <v>0</v>
      </c>
      <c r="I16" s="21">
        <v>1183</v>
      </c>
      <c r="J16" s="17">
        <f t="shared" si="9"/>
        <v>40.27919645897174</v>
      </c>
      <c r="K16" s="21">
        <f t="shared" si="10"/>
        <v>1754</v>
      </c>
      <c r="L16" s="23">
        <f t="shared" si="11"/>
        <v>59.72080354102825</v>
      </c>
    </row>
    <row r="17" spans="1:12" ht="12.75">
      <c r="A17" s="19" t="s">
        <v>64</v>
      </c>
      <c r="B17" s="20">
        <f>2433+2122+11801+3054+25328</f>
        <v>44738</v>
      </c>
      <c r="C17" s="20"/>
      <c r="D17" s="115">
        <f t="shared" si="6"/>
        <v>0</v>
      </c>
      <c r="E17" s="21"/>
      <c r="F17" s="22">
        <f t="shared" si="7"/>
        <v>0</v>
      </c>
      <c r="G17" s="21"/>
      <c r="H17" s="22">
        <f t="shared" si="8"/>
        <v>0</v>
      </c>
      <c r="I17" s="21">
        <f>2433+50+5039</f>
        <v>7522</v>
      </c>
      <c r="J17" s="17">
        <f t="shared" si="9"/>
        <v>16.81344718136707</v>
      </c>
      <c r="K17" s="21">
        <f t="shared" si="10"/>
        <v>37216</v>
      </c>
      <c r="L17" s="23">
        <f t="shared" si="11"/>
        <v>83.18655281863293</v>
      </c>
    </row>
    <row r="18" spans="1:12" ht="12.75">
      <c r="A18" s="19" t="s">
        <v>2</v>
      </c>
      <c r="B18" s="20">
        <f>15000+170</f>
        <v>15170</v>
      </c>
      <c r="C18" s="20"/>
      <c r="D18" s="115">
        <f t="shared" si="3"/>
        <v>0</v>
      </c>
      <c r="E18" s="21"/>
      <c r="F18" s="22">
        <f t="shared" si="0"/>
        <v>0</v>
      </c>
      <c r="G18" s="21"/>
      <c r="H18" s="22">
        <f t="shared" si="4"/>
        <v>0</v>
      </c>
      <c r="I18" s="21"/>
      <c r="J18" s="17">
        <f t="shared" si="1"/>
        <v>0</v>
      </c>
      <c r="K18" s="21">
        <f t="shared" si="2"/>
        <v>15170</v>
      </c>
      <c r="L18" s="23">
        <f t="shared" si="5"/>
        <v>100</v>
      </c>
    </row>
    <row r="19" spans="1:12" ht="12.75">
      <c r="A19" s="19" t="s">
        <v>27</v>
      </c>
      <c r="B19" s="20">
        <v>66180</v>
      </c>
      <c r="C19" s="20"/>
      <c r="D19" s="115">
        <f t="shared" si="3"/>
        <v>0</v>
      </c>
      <c r="E19" s="21"/>
      <c r="F19" s="22">
        <f t="shared" si="0"/>
        <v>0</v>
      </c>
      <c r="G19" s="21"/>
      <c r="H19" s="22">
        <f t="shared" si="4"/>
        <v>0</v>
      </c>
      <c r="I19" s="21"/>
      <c r="J19" s="17">
        <f t="shared" si="1"/>
        <v>0</v>
      </c>
      <c r="K19" s="21">
        <f t="shared" si="2"/>
        <v>66180</v>
      </c>
      <c r="L19" s="23">
        <f t="shared" si="5"/>
        <v>100</v>
      </c>
    </row>
    <row r="20" spans="1:12" ht="13.5" thickBot="1">
      <c r="A20" s="19" t="s">
        <v>28</v>
      </c>
      <c r="B20" s="20">
        <f>628331-'kötelező2017.'!C6</f>
        <v>548828</v>
      </c>
      <c r="C20" s="20"/>
      <c r="D20" s="115">
        <f t="shared" si="3"/>
        <v>0</v>
      </c>
      <c r="E20" s="21"/>
      <c r="F20" s="22">
        <f t="shared" si="0"/>
        <v>0</v>
      </c>
      <c r="G20" s="21"/>
      <c r="H20" s="22">
        <f t="shared" si="4"/>
        <v>0</v>
      </c>
      <c r="I20" s="21">
        <f>79815-33405-32300+16986</f>
        <v>31096</v>
      </c>
      <c r="J20" s="17">
        <f t="shared" si="1"/>
        <v>5.665891681911273</v>
      </c>
      <c r="K20" s="21">
        <f t="shared" si="2"/>
        <v>517732</v>
      </c>
      <c r="L20" s="23">
        <f t="shared" si="5"/>
        <v>94.33410831808872</v>
      </c>
    </row>
    <row r="21" spans="1:12" s="37" customFormat="1" ht="13.5" thickBot="1">
      <c r="A21" s="32" t="s">
        <v>42</v>
      </c>
      <c r="B21" s="29">
        <f>SUM(B6:B20)</f>
        <v>3377735</v>
      </c>
      <c r="C21" s="29">
        <f>SUM(C6:C20)</f>
        <v>226613</v>
      </c>
      <c r="D21" s="116">
        <f t="shared" si="3"/>
        <v>6.709022466238471</v>
      </c>
      <c r="E21" s="29">
        <f>SUM(E6:E20)</f>
        <v>0</v>
      </c>
      <c r="F21" s="73">
        <f>SUM(E21/B21*100)</f>
        <v>0</v>
      </c>
      <c r="G21" s="29">
        <f>SUM(G6:G20)</f>
        <v>500</v>
      </c>
      <c r="H21" s="33">
        <f t="shared" si="4"/>
        <v>0.014802819048859666</v>
      </c>
      <c r="I21" s="29">
        <f>SUM(I6:I20)</f>
        <v>103784</v>
      </c>
      <c r="J21" s="33">
        <f t="shared" si="1"/>
        <v>3.072591544333703</v>
      </c>
      <c r="K21" s="29">
        <f>SUM(K6:K20)</f>
        <v>3046838</v>
      </c>
      <c r="L21" s="53">
        <f t="shared" si="5"/>
        <v>90.20358317037896</v>
      </c>
    </row>
    <row r="22" spans="1:12" ht="12.75">
      <c r="A22" s="155" t="s">
        <v>23</v>
      </c>
      <c r="B22" s="15">
        <v>102102</v>
      </c>
      <c r="C22" s="15"/>
      <c r="D22" s="114">
        <f aca="true" t="shared" si="12" ref="D22:D32">SUM(C22/B22)*100</f>
        <v>0</v>
      </c>
      <c r="E22" s="101">
        <v>401</v>
      </c>
      <c r="F22" s="17">
        <f aca="true" t="shared" si="13" ref="F22:F32">SUM(E22/B22)*100</f>
        <v>0.3927445103915692</v>
      </c>
      <c r="G22" s="101">
        <v>88217</v>
      </c>
      <c r="H22" s="17">
        <f aca="true" t="shared" si="14" ref="H22:H28">SUM(G22/B22*100)</f>
        <v>86.40085404791287</v>
      </c>
      <c r="I22" s="16">
        <v>3598</v>
      </c>
      <c r="J22" s="17">
        <f t="shared" si="1"/>
        <v>3.523927053338818</v>
      </c>
      <c r="K22" s="16">
        <f aca="true" t="shared" si="15" ref="K22:K27">SUM(B22-C22-E22-G22-I22)</f>
        <v>9886</v>
      </c>
      <c r="L22" s="18">
        <f aca="true" t="shared" si="16" ref="L22:L30">SUM(K22/B22)*100</f>
        <v>9.682474388356741</v>
      </c>
    </row>
    <row r="23" spans="1:12" ht="12.75">
      <c r="A23" s="156" t="s">
        <v>36</v>
      </c>
      <c r="B23" s="20">
        <f>821797+3585</f>
        <v>825382</v>
      </c>
      <c r="C23" s="20">
        <v>61832</v>
      </c>
      <c r="D23" s="115">
        <f t="shared" si="12"/>
        <v>7.491319171002033</v>
      </c>
      <c r="E23" s="98">
        <f>2337+3585</f>
        <v>5922</v>
      </c>
      <c r="F23" s="22">
        <f t="shared" si="13"/>
        <v>0.7174859640748162</v>
      </c>
      <c r="G23" s="98">
        <v>575313</v>
      </c>
      <c r="H23" s="22">
        <f t="shared" si="14"/>
        <v>69.70263465886099</v>
      </c>
      <c r="I23" s="16">
        <f>51656-15453</f>
        <v>36203</v>
      </c>
      <c r="J23" s="17">
        <f t="shared" si="1"/>
        <v>4.386211475413808</v>
      </c>
      <c r="K23" s="16">
        <f t="shared" si="15"/>
        <v>146112</v>
      </c>
      <c r="L23" s="23">
        <f t="shared" si="16"/>
        <v>17.702348730648353</v>
      </c>
    </row>
    <row r="24" spans="1:12" ht="12.75">
      <c r="A24" s="156" t="s">
        <v>24</v>
      </c>
      <c r="B24" s="20">
        <v>107823</v>
      </c>
      <c r="C24" s="20">
        <v>8727</v>
      </c>
      <c r="D24" s="115">
        <f t="shared" si="12"/>
        <v>8.093820427923541</v>
      </c>
      <c r="E24" s="98">
        <f>268</f>
        <v>268</v>
      </c>
      <c r="F24" s="22">
        <f t="shared" si="13"/>
        <v>0.2485555030002875</v>
      </c>
      <c r="G24" s="98">
        <v>57484</v>
      </c>
      <c r="H24" s="22">
        <f t="shared" si="14"/>
        <v>53.31330050174824</v>
      </c>
      <c r="I24" s="16">
        <v>2399</v>
      </c>
      <c r="J24" s="17">
        <f t="shared" si="1"/>
        <v>2.2249427302152602</v>
      </c>
      <c r="K24" s="16">
        <f t="shared" si="15"/>
        <v>38945</v>
      </c>
      <c r="L24" s="23">
        <f t="shared" si="16"/>
        <v>36.11938083711267</v>
      </c>
    </row>
    <row r="25" spans="1:12" ht="12.75">
      <c r="A25" s="156" t="s">
        <v>25</v>
      </c>
      <c r="B25" s="20">
        <v>63982</v>
      </c>
      <c r="C25" s="20">
        <v>8552</v>
      </c>
      <c r="D25" s="115">
        <f t="shared" si="12"/>
        <v>13.366259260416994</v>
      </c>
      <c r="E25" s="98">
        <v>268</v>
      </c>
      <c r="F25" s="22">
        <f t="shared" si="13"/>
        <v>0.418867806570598</v>
      </c>
      <c r="G25" s="98">
        <v>55920</v>
      </c>
      <c r="H25" s="22">
        <f t="shared" si="14"/>
        <v>87.39958113219343</v>
      </c>
      <c r="I25" s="16">
        <v>192</v>
      </c>
      <c r="J25" s="17">
        <f t="shared" si="1"/>
        <v>0.3000843987371448</v>
      </c>
      <c r="K25" s="16">
        <f t="shared" si="15"/>
        <v>-950</v>
      </c>
      <c r="L25" s="23">
        <f t="shared" si="16"/>
        <v>-1.4847925979181644</v>
      </c>
    </row>
    <row r="26" spans="1:12" ht="12.75">
      <c r="A26" s="156" t="s">
        <v>37</v>
      </c>
      <c r="B26" s="20">
        <v>37638</v>
      </c>
      <c r="C26" s="20">
        <v>38614</v>
      </c>
      <c r="D26" s="115">
        <f t="shared" si="12"/>
        <v>102.5931239704554</v>
      </c>
      <c r="E26" s="98"/>
      <c r="F26" s="22">
        <f t="shared" si="13"/>
        <v>0</v>
      </c>
      <c r="G26" s="98"/>
      <c r="H26" s="22">
        <f t="shared" si="14"/>
        <v>0</v>
      </c>
      <c r="I26" s="16"/>
      <c r="J26" s="17">
        <f t="shared" si="1"/>
        <v>0</v>
      </c>
      <c r="K26" s="16">
        <f t="shared" si="15"/>
        <v>-976</v>
      </c>
      <c r="L26" s="23">
        <f t="shared" si="16"/>
        <v>-2.5931239704553906</v>
      </c>
    </row>
    <row r="27" spans="1:12" ht="13.5" thickBot="1">
      <c r="A27" s="157" t="s">
        <v>38</v>
      </c>
      <c r="B27" s="25">
        <v>78860</v>
      </c>
      <c r="C27" s="25">
        <v>98</v>
      </c>
      <c r="D27" s="158">
        <f t="shared" si="12"/>
        <v>0.12427085975145828</v>
      </c>
      <c r="E27" s="104">
        <v>70</v>
      </c>
      <c r="F27" s="27">
        <f t="shared" si="13"/>
        <v>0.0887648998224702</v>
      </c>
      <c r="G27" s="104">
        <v>9581</v>
      </c>
      <c r="H27" s="27">
        <f t="shared" si="14"/>
        <v>12.149378645701242</v>
      </c>
      <c r="I27" s="40">
        <v>600</v>
      </c>
      <c r="J27" s="17">
        <f t="shared" si="1"/>
        <v>0.760841998478316</v>
      </c>
      <c r="K27" s="16">
        <f t="shared" si="15"/>
        <v>68511</v>
      </c>
      <c r="L27" s="96">
        <f t="shared" si="16"/>
        <v>86.87674359624651</v>
      </c>
    </row>
    <row r="28" spans="1:12" s="37" customFormat="1" ht="13.5" thickBot="1">
      <c r="A28" s="28" t="s">
        <v>46</v>
      </c>
      <c r="B28" s="29">
        <f>SUM(B22:B27)</f>
        <v>1215787</v>
      </c>
      <c r="C28" s="29">
        <f aca="true" t="shared" si="17" ref="C28:K28">SUM(C22:C27)</f>
        <v>117823</v>
      </c>
      <c r="D28" s="92">
        <f t="shared" si="12"/>
        <v>9.691088981869358</v>
      </c>
      <c r="E28" s="29">
        <f t="shared" si="17"/>
        <v>6929</v>
      </c>
      <c r="F28" s="33">
        <f t="shared" si="13"/>
        <v>0.5699189084930173</v>
      </c>
      <c r="G28" s="29">
        <f t="shared" si="17"/>
        <v>786515</v>
      </c>
      <c r="H28" s="33">
        <f t="shared" si="14"/>
        <v>64.69184158080321</v>
      </c>
      <c r="I28" s="29">
        <f>SUM(I22:I27)</f>
        <v>42992</v>
      </c>
      <c r="J28" s="33">
        <f t="shared" si="1"/>
        <v>3.536145722893895</v>
      </c>
      <c r="K28" s="29">
        <f t="shared" si="17"/>
        <v>261528</v>
      </c>
      <c r="L28" s="53">
        <f t="shared" si="16"/>
        <v>21.511004805940516</v>
      </c>
    </row>
    <row r="29" spans="1:12" s="118" customFormat="1" ht="12.75">
      <c r="A29" s="159" t="s">
        <v>58</v>
      </c>
      <c r="B29" s="39">
        <f>43000+128820+19273+833+19400+300-1004</f>
        <v>210622</v>
      </c>
      <c r="C29" s="39"/>
      <c r="D29" s="117">
        <f t="shared" si="12"/>
        <v>0</v>
      </c>
      <c r="E29" s="39"/>
      <c r="F29" s="41">
        <f t="shared" si="13"/>
        <v>0</v>
      </c>
      <c r="G29" s="39"/>
      <c r="H29" s="41">
        <f>SUM(G29/B29*100)</f>
        <v>0</v>
      </c>
      <c r="I29" s="39">
        <v>28503</v>
      </c>
      <c r="J29" s="41">
        <f t="shared" si="1"/>
        <v>13.532774354056082</v>
      </c>
      <c r="K29" s="40">
        <f>SUM(B29-C29-E29-G29-I29)</f>
        <v>182119</v>
      </c>
      <c r="L29" s="42">
        <f t="shared" si="16"/>
        <v>86.46722564594393</v>
      </c>
    </row>
    <row r="30" spans="1:13" ht="13.5" thickBot="1">
      <c r="A30" s="50" t="s">
        <v>39</v>
      </c>
      <c r="B30" s="30">
        <v>2550</v>
      </c>
      <c r="C30" s="30"/>
      <c r="D30" s="119">
        <f t="shared" si="12"/>
        <v>0</v>
      </c>
      <c r="E30" s="31"/>
      <c r="F30" s="51">
        <f t="shared" si="13"/>
        <v>0</v>
      </c>
      <c r="G30" s="31"/>
      <c r="H30" s="51">
        <f>SUM(G30/B30*100)</f>
        <v>0</v>
      </c>
      <c r="I30" s="31"/>
      <c r="J30" s="51">
        <f t="shared" si="1"/>
        <v>0</v>
      </c>
      <c r="K30" s="31">
        <f>SUM(B30-C30-E30-G30-I30)</f>
        <v>2550</v>
      </c>
      <c r="L30" s="52">
        <f t="shared" si="16"/>
        <v>100</v>
      </c>
      <c r="M30" s="3"/>
    </row>
    <row r="31" spans="1:13" s="37" customFormat="1" ht="13.5" thickBot="1">
      <c r="A31" s="32" t="s">
        <v>43</v>
      </c>
      <c r="B31" s="29">
        <f>SUM(B29:B30)</f>
        <v>213172</v>
      </c>
      <c r="C31" s="29">
        <f>SUM(C29:C30)</f>
        <v>0</v>
      </c>
      <c r="D31" s="92">
        <f t="shared" si="12"/>
        <v>0</v>
      </c>
      <c r="E31" s="29">
        <f>SUM(E30)</f>
        <v>0</v>
      </c>
      <c r="F31" s="33">
        <f t="shared" si="13"/>
        <v>0</v>
      </c>
      <c r="G31" s="29">
        <f>SUM(G29:G30)</f>
        <v>0</v>
      </c>
      <c r="H31" s="33">
        <f>SUM(H30)</f>
        <v>0</v>
      </c>
      <c r="I31" s="29">
        <f>SUM(I29:I30)</f>
        <v>28503</v>
      </c>
      <c r="J31" s="33">
        <f t="shared" si="1"/>
        <v>13.370892987822042</v>
      </c>
      <c r="K31" s="29">
        <f>SUM(K29:K30)</f>
        <v>184669</v>
      </c>
      <c r="L31" s="53">
        <f>SUM(L30)</f>
        <v>100</v>
      </c>
      <c r="M31" s="44"/>
    </row>
    <row r="32" spans="1:12" s="37" customFormat="1" ht="13.5" thickBot="1">
      <c r="A32" s="28" t="s">
        <v>20</v>
      </c>
      <c r="B32" s="29">
        <f>SUM(B31,B28,B21)</f>
        <v>4806694</v>
      </c>
      <c r="C32" s="29">
        <f>SUM(C31,C28,C21)</f>
        <v>344436</v>
      </c>
      <c r="D32" s="92">
        <f t="shared" si="12"/>
        <v>7.165756755058675</v>
      </c>
      <c r="E32" s="29">
        <f>SUM(E31,E28,E21)</f>
        <v>6929</v>
      </c>
      <c r="F32" s="33">
        <f t="shared" si="13"/>
        <v>0.14415313310978398</v>
      </c>
      <c r="G32" s="29">
        <f>SUM(G31,G28,G21)</f>
        <v>787015</v>
      </c>
      <c r="H32" s="33">
        <f>SUM(G32/B32*100)</f>
        <v>16.373311885466393</v>
      </c>
      <c r="I32" s="29">
        <f>SUM(I31,I28,I21)</f>
        <v>175279</v>
      </c>
      <c r="J32" s="33">
        <f t="shared" si="1"/>
        <v>3.6465604009741415</v>
      </c>
      <c r="K32" s="29">
        <f>SUM(K31,K28,K21)</f>
        <v>3493035</v>
      </c>
      <c r="L32" s="53">
        <f>SUM(K32/B32)*100</f>
        <v>72.670217825391</v>
      </c>
    </row>
    <row r="33" spans="3:11" ht="12.75">
      <c r="C33" s="6"/>
      <c r="D33" s="93"/>
      <c r="E33" s="3"/>
      <c r="F33" s="2"/>
      <c r="G33" s="3"/>
      <c r="H33" s="2"/>
      <c r="I33" s="2"/>
      <c r="J33" s="2"/>
      <c r="K33" s="6"/>
    </row>
    <row r="34" spans="1:7" s="3" customFormat="1" ht="13.5" thickBot="1">
      <c r="A34" s="78" t="s">
        <v>59</v>
      </c>
      <c r="D34" s="94"/>
      <c r="G34" s="64"/>
    </row>
    <row r="35" spans="1:12" s="3" customFormat="1" ht="13.5" thickBot="1">
      <c r="A35" s="160" t="s">
        <v>60</v>
      </c>
      <c r="B35" s="161">
        <v>36000</v>
      </c>
      <c r="C35" s="161">
        <v>60000</v>
      </c>
      <c r="D35" s="162">
        <f>SUM(C35/B35)*100</f>
        <v>166.66666666666669</v>
      </c>
      <c r="E35" s="161"/>
      <c r="F35" s="161">
        <f>SUM(E35/B35)*100</f>
        <v>0</v>
      </c>
      <c r="G35" s="163"/>
      <c r="H35" s="161">
        <f>SUM(G35/B35*100)</f>
        <v>0</v>
      </c>
      <c r="I35" s="161"/>
      <c r="J35" s="161">
        <f>SUM(I35/B35*100)</f>
        <v>0</v>
      </c>
      <c r="K35" s="161">
        <f>SUM(B35-C35-E35-G35-I35)</f>
        <v>-24000</v>
      </c>
      <c r="L35" s="164">
        <f>SUM(K35/B35)*100</f>
        <v>-66.66666666666666</v>
      </c>
    </row>
    <row r="36" spans="4:7" s="3" customFormat="1" ht="12.75">
      <c r="D36" s="94"/>
      <c r="G36" s="64"/>
    </row>
    <row r="37" s="3" customFormat="1" ht="12.75"/>
    <row r="38" s="3" customFormat="1" ht="12.75"/>
    <row r="39" s="3" customFormat="1" ht="12.75"/>
    <row r="40" s="3" customFormat="1" ht="12.75"/>
    <row r="41" s="3" customFormat="1" ht="12.75">
      <c r="D41" s="94"/>
    </row>
    <row r="42" s="3" customFormat="1" ht="12.75">
      <c r="D42" s="94"/>
    </row>
    <row r="43" s="3" customFormat="1" ht="12.75">
      <c r="D43" s="94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5"/>
  <sheetViews>
    <sheetView zoomScalePageLayoutView="0" workbookViewId="0" topLeftCell="B1">
      <selection activeCell="B6" sqref="B6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70" t="s">
        <v>33</v>
      </c>
      <c r="M1" s="170"/>
    </row>
    <row r="2" spans="2:13" ht="14.25" customHeight="1">
      <c r="B2" s="169" t="s">
        <v>84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41.25" customHeight="1" thickBot="1">
      <c r="B4" s="49" t="s">
        <v>3</v>
      </c>
      <c r="C4" s="61" t="s">
        <v>70</v>
      </c>
      <c r="D4" s="61" t="s">
        <v>69</v>
      </c>
      <c r="E4" s="62" t="s">
        <v>68</v>
      </c>
      <c r="F4" s="61" t="s">
        <v>67</v>
      </c>
      <c r="G4" s="70" t="s">
        <v>66</v>
      </c>
      <c r="H4" s="61" t="s">
        <v>71</v>
      </c>
      <c r="I4" s="70" t="s">
        <v>72</v>
      </c>
      <c r="J4" s="62" t="s">
        <v>62</v>
      </c>
      <c r="K4" s="62" t="s">
        <v>51</v>
      </c>
      <c r="L4" s="63" t="s">
        <v>73</v>
      </c>
      <c r="M4" s="71" t="s">
        <v>74</v>
      </c>
    </row>
    <row r="5" spans="2:13" ht="12" customHeight="1">
      <c r="B5" s="19" t="s">
        <v>40</v>
      </c>
      <c r="C5" s="20">
        <f>27292+21264+2500</f>
        <v>51056</v>
      </c>
      <c r="D5" s="21"/>
      <c r="E5" s="22">
        <f>SUM(D5/C5)*100</f>
        <v>0</v>
      </c>
      <c r="F5" s="21"/>
      <c r="G5" s="17">
        <f>SUM(F5/C5)*100</f>
        <v>0</v>
      </c>
      <c r="H5" s="21"/>
      <c r="I5" s="81">
        <f aca="true" t="shared" si="0" ref="I5:I20">SUM(H5/C5)*100</f>
        <v>0</v>
      </c>
      <c r="J5" s="16">
        <v>2292</v>
      </c>
      <c r="K5" s="17">
        <f aca="true" t="shared" si="1" ref="K5:K20">SUM(J5/C5)*100</f>
        <v>4.489188342212472</v>
      </c>
      <c r="L5" s="16">
        <f aca="true" t="shared" si="2" ref="L5:L14">SUM(C5-D5-F5-H5-J5)</f>
        <v>48764</v>
      </c>
      <c r="M5" s="23">
        <f>SUM(L5/C5)*100</f>
        <v>95.51081165778753</v>
      </c>
    </row>
    <row r="6" spans="2:13" ht="12" customHeight="1">
      <c r="B6" s="19" t="s">
        <v>5</v>
      </c>
      <c r="C6" s="20">
        <f>79438+38+27</f>
        <v>79503</v>
      </c>
      <c r="D6" s="21"/>
      <c r="E6" s="22">
        <f>SUM(D6/C6)*100</f>
        <v>0</v>
      </c>
      <c r="F6" s="21">
        <v>208</v>
      </c>
      <c r="G6" s="17">
        <f>SUM(F6/C6)*100</f>
        <v>0.2616253474711646</v>
      </c>
      <c r="H6" s="21">
        <f>38+27</f>
        <v>65</v>
      </c>
      <c r="I6" s="81">
        <f t="shared" si="0"/>
        <v>0.08175792108473894</v>
      </c>
      <c r="J6" s="16"/>
      <c r="K6" s="17">
        <f t="shared" si="1"/>
        <v>0</v>
      </c>
      <c r="L6" s="16">
        <f t="shared" si="2"/>
        <v>79230</v>
      </c>
      <c r="M6" s="23">
        <f>SUM(L6/C6)*100</f>
        <v>99.65661673144409</v>
      </c>
    </row>
    <row r="7" spans="2:13" ht="12" customHeight="1">
      <c r="B7" s="19" t="s">
        <v>6</v>
      </c>
      <c r="C7" s="20">
        <v>265000</v>
      </c>
      <c r="D7" s="21"/>
      <c r="E7" s="22">
        <f>SUM(D7/C7)*100</f>
        <v>0</v>
      </c>
      <c r="F7" s="21">
        <v>10466</v>
      </c>
      <c r="G7" s="17">
        <f>SUM(F7/C7)*100</f>
        <v>3.949433962264151</v>
      </c>
      <c r="H7" s="21"/>
      <c r="I7" s="81">
        <f t="shared" si="0"/>
        <v>0</v>
      </c>
      <c r="J7" s="16"/>
      <c r="K7" s="17">
        <f t="shared" si="1"/>
        <v>0</v>
      </c>
      <c r="L7" s="16">
        <f t="shared" si="2"/>
        <v>254534</v>
      </c>
      <c r="M7" s="23">
        <f>SUM(L7/C7)*100</f>
        <v>96.05056603773585</v>
      </c>
    </row>
    <row r="8" spans="2:13" ht="12" customHeight="1">
      <c r="B8" s="19" t="s">
        <v>16</v>
      </c>
      <c r="C8" s="20">
        <v>214279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81">
        <f t="shared" si="0"/>
        <v>0</v>
      </c>
      <c r="J8" s="16"/>
      <c r="K8" s="17">
        <f t="shared" si="1"/>
        <v>0</v>
      </c>
      <c r="L8" s="16">
        <f t="shared" si="2"/>
        <v>214279</v>
      </c>
      <c r="M8" s="23">
        <f aca="true" t="shared" si="5" ref="M8:M15">SUM(L8/C8)*100</f>
        <v>100</v>
      </c>
    </row>
    <row r="9" spans="2:13" ht="12" customHeight="1">
      <c r="B9" s="19" t="s">
        <v>17</v>
      </c>
      <c r="C9" s="20">
        <f>867187-'önként2017.'!B13</f>
        <v>782187</v>
      </c>
      <c r="D9" s="21"/>
      <c r="E9" s="22">
        <f t="shared" si="3"/>
        <v>0</v>
      </c>
      <c r="F9" s="21"/>
      <c r="G9" s="22">
        <f t="shared" si="4"/>
        <v>0</v>
      </c>
      <c r="H9" s="21"/>
      <c r="I9" s="81">
        <f t="shared" si="0"/>
        <v>0</v>
      </c>
      <c r="J9" s="16">
        <v>71809</v>
      </c>
      <c r="K9" s="17">
        <f t="shared" si="1"/>
        <v>9.180541226075094</v>
      </c>
      <c r="L9" s="16">
        <f t="shared" si="2"/>
        <v>710378</v>
      </c>
      <c r="M9" s="23">
        <f t="shared" si="5"/>
        <v>90.81945877392491</v>
      </c>
    </row>
    <row r="10" spans="2:13" ht="12" customHeight="1">
      <c r="B10" s="19" t="s">
        <v>18</v>
      </c>
      <c r="C10" s="20">
        <f>518759-'önként2017.'!B14</f>
        <v>446660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81">
        <f t="shared" si="0"/>
        <v>0</v>
      </c>
      <c r="J10" s="16"/>
      <c r="K10" s="17">
        <f t="shared" si="1"/>
        <v>0</v>
      </c>
      <c r="L10" s="16">
        <f t="shared" si="2"/>
        <v>446660</v>
      </c>
      <c r="M10" s="23">
        <f t="shared" si="5"/>
        <v>100</v>
      </c>
    </row>
    <row r="11" spans="2:13" ht="12" customHeight="1">
      <c r="B11" s="19" t="s">
        <v>19</v>
      </c>
      <c r="C11" s="20">
        <f>3274558-'önként2017.'!B7</f>
        <v>1769882</v>
      </c>
      <c r="D11" s="21">
        <f>310180+1584926+22224</f>
        <v>1917330</v>
      </c>
      <c r="E11" s="22">
        <f t="shared" si="3"/>
        <v>108.33095087695112</v>
      </c>
      <c r="F11" s="21"/>
      <c r="G11" s="22">
        <f t="shared" si="4"/>
        <v>0</v>
      </c>
      <c r="H11" s="21"/>
      <c r="I11" s="81">
        <f t="shared" si="0"/>
        <v>0</v>
      </c>
      <c r="J11" s="16">
        <v>41300</v>
      </c>
      <c r="K11" s="17">
        <f t="shared" si="1"/>
        <v>2.333488899259951</v>
      </c>
      <c r="L11" s="16">
        <f>SUM(C11-D11-F11-H11-J11)</f>
        <v>-188748</v>
      </c>
      <c r="M11" s="23">
        <f t="shared" si="5"/>
        <v>-10.66443977621107</v>
      </c>
    </row>
    <row r="12" spans="2:15" ht="12" customHeight="1">
      <c r="B12" s="19" t="s">
        <v>61</v>
      </c>
      <c r="C12" s="25">
        <f>205292+214309</f>
        <v>419601</v>
      </c>
      <c r="D12" s="26">
        <v>20000</v>
      </c>
      <c r="E12" s="22">
        <f t="shared" si="3"/>
        <v>4.76643287313424</v>
      </c>
      <c r="F12" s="26"/>
      <c r="G12" s="22">
        <f t="shared" si="4"/>
        <v>0</v>
      </c>
      <c r="H12" s="26"/>
      <c r="I12" s="81">
        <f t="shared" si="0"/>
        <v>0</v>
      </c>
      <c r="J12" s="21">
        <v>16383</v>
      </c>
      <c r="K12" s="17">
        <f t="shared" si="1"/>
        <v>3.9044234880279123</v>
      </c>
      <c r="L12" s="16">
        <f>SUM(C12-D12-F12-H12-J12)</f>
        <v>383218</v>
      </c>
      <c r="M12" s="23">
        <f t="shared" si="5"/>
        <v>91.32914363883785</v>
      </c>
      <c r="O12" s="3"/>
    </row>
    <row r="13" spans="2:13" ht="12" customHeight="1">
      <c r="B13" s="24" t="s">
        <v>56</v>
      </c>
      <c r="C13" s="25">
        <f>1094963+406581</f>
        <v>1501544</v>
      </c>
      <c r="D13" s="26">
        <v>3000000</v>
      </c>
      <c r="E13" s="27">
        <f t="shared" si="3"/>
        <v>199.79434502085854</v>
      </c>
      <c r="F13" s="26"/>
      <c r="G13" s="27">
        <f t="shared" si="4"/>
        <v>0</v>
      </c>
      <c r="H13" s="26"/>
      <c r="I13" s="81">
        <f t="shared" si="0"/>
        <v>0</v>
      </c>
      <c r="J13" s="40"/>
      <c r="K13" s="17">
        <f t="shared" si="1"/>
        <v>0</v>
      </c>
      <c r="L13" s="16">
        <f t="shared" si="2"/>
        <v>-1498456</v>
      </c>
      <c r="M13" s="96">
        <f t="shared" si="5"/>
        <v>-99.79434502085853</v>
      </c>
    </row>
    <row r="14" spans="2:13" ht="12" customHeight="1" thickBot="1">
      <c r="B14" s="24" t="s">
        <v>32</v>
      </c>
      <c r="C14" s="25">
        <f>127000+56810-690</f>
        <v>183120</v>
      </c>
      <c r="D14" s="26">
        <v>64564</v>
      </c>
      <c r="E14" s="27">
        <f t="shared" si="3"/>
        <v>35.257754477937965</v>
      </c>
      <c r="F14" s="26"/>
      <c r="G14" s="27">
        <f t="shared" si="4"/>
        <v>0</v>
      </c>
      <c r="H14" s="26"/>
      <c r="I14" s="82">
        <f t="shared" si="0"/>
        <v>0</v>
      </c>
      <c r="J14" s="26">
        <v>18</v>
      </c>
      <c r="K14" s="41">
        <f t="shared" si="1"/>
        <v>0.009829619921363041</v>
      </c>
      <c r="L14" s="40">
        <f t="shared" si="2"/>
        <v>118538</v>
      </c>
      <c r="M14" s="96">
        <f t="shared" si="5"/>
        <v>64.73241590214067</v>
      </c>
    </row>
    <row r="15" spans="2:13" s="37" customFormat="1" ht="12" customHeight="1" thickBot="1">
      <c r="B15" s="32" t="s">
        <v>42</v>
      </c>
      <c r="C15" s="29">
        <f>SUM(C5:C14)</f>
        <v>5712832</v>
      </c>
      <c r="D15" s="29">
        <f>SUM(D5:D14)</f>
        <v>5001894</v>
      </c>
      <c r="E15" s="73">
        <f t="shared" si="3"/>
        <v>87.55541909861869</v>
      </c>
      <c r="F15" s="29">
        <f>SUM(F5:F14)</f>
        <v>10674</v>
      </c>
      <c r="G15" s="73">
        <f t="shared" si="4"/>
        <v>0.18684253274032914</v>
      </c>
      <c r="H15" s="29">
        <f>SUM(H5:H14)</f>
        <v>65</v>
      </c>
      <c r="I15" s="73">
        <f t="shared" si="0"/>
        <v>0.0011377894536370053</v>
      </c>
      <c r="J15" s="29">
        <f>SUM(J5:J14)</f>
        <v>131802</v>
      </c>
      <c r="K15" s="33">
        <f t="shared" si="1"/>
        <v>2.307121931819455</v>
      </c>
      <c r="L15" s="29">
        <f>SUM(L5:L14)</f>
        <v>568397</v>
      </c>
      <c r="M15" s="97">
        <f t="shared" si="5"/>
        <v>9.94947864736789</v>
      </c>
    </row>
    <row r="16" spans="2:13" s="103" customFormat="1" ht="12" customHeight="1">
      <c r="B16" s="156" t="s">
        <v>15</v>
      </c>
      <c r="C16" s="20">
        <v>26788</v>
      </c>
      <c r="D16" s="98">
        <v>5286</v>
      </c>
      <c r="E16" s="22">
        <f aca="true" t="shared" si="6" ref="E16:E24">SUM(D16/C16)*100</f>
        <v>19.73271614155592</v>
      </c>
      <c r="F16" s="98"/>
      <c r="G16" s="99">
        <f aca="true" t="shared" si="7" ref="G16:G23">SUM(F16/C16)*100</f>
        <v>0</v>
      </c>
      <c r="H16" s="98"/>
      <c r="I16" s="100">
        <f t="shared" si="0"/>
        <v>0</v>
      </c>
      <c r="J16" s="101"/>
      <c r="K16" s="102">
        <f t="shared" si="1"/>
        <v>0</v>
      </c>
      <c r="L16" s="16">
        <f>SUM(C16-D16-F16-H16-J16)</f>
        <v>21502</v>
      </c>
      <c r="M16" s="23">
        <f aca="true" t="shared" si="8" ref="M16:M24">SUM(L16/C16)*100</f>
        <v>80.26728385844409</v>
      </c>
    </row>
    <row r="17" spans="2:13" s="103" customFormat="1" ht="12" customHeight="1">
      <c r="B17" s="156" t="s">
        <v>29</v>
      </c>
      <c r="C17" s="20">
        <v>82994</v>
      </c>
      <c r="D17" s="98">
        <v>21798</v>
      </c>
      <c r="E17" s="22">
        <f t="shared" si="6"/>
        <v>26.2645492445237</v>
      </c>
      <c r="F17" s="98">
        <v>854</v>
      </c>
      <c r="G17" s="99">
        <f t="shared" si="7"/>
        <v>1.0289900474733114</v>
      </c>
      <c r="H17" s="98">
        <v>31226</v>
      </c>
      <c r="I17" s="100">
        <f t="shared" si="0"/>
        <v>37.624406583608454</v>
      </c>
      <c r="J17" s="101"/>
      <c r="K17" s="102">
        <f t="shared" si="1"/>
        <v>0</v>
      </c>
      <c r="L17" s="16">
        <f>SUM(C17-D17-F17-H17-J17)</f>
        <v>29116</v>
      </c>
      <c r="M17" s="23">
        <f t="shared" si="8"/>
        <v>35.08205412439453</v>
      </c>
    </row>
    <row r="18" spans="2:13" s="103" customFormat="1" ht="12" customHeight="1">
      <c r="B18" s="156" t="s">
        <v>35</v>
      </c>
      <c r="C18" s="20">
        <v>70752</v>
      </c>
      <c r="D18" s="98">
        <v>2</v>
      </c>
      <c r="E18" s="22">
        <f t="shared" si="6"/>
        <v>0.0028267752148349165</v>
      </c>
      <c r="F18" s="98">
        <v>325</v>
      </c>
      <c r="G18" s="99">
        <f t="shared" si="7"/>
        <v>0.4593509724106739</v>
      </c>
      <c r="H18" s="98">
        <v>47062</v>
      </c>
      <c r="I18" s="100">
        <f t="shared" si="0"/>
        <v>66.51684758028041</v>
      </c>
      <c r="J18" s="101"/>
      <c r="K18" s="102">
        <f t="shared" si="1"/>
        <v>0</v>
      </c>
      <c r="L18" s="16">
        <f>SUM(C18-D18-F18-H18-J18)</f>
        <v>23363</v>
      </c>
      <c r="M18" s="23">
        <f t="shared" si="8"/>
        <v>33.02097467209408</v>
      </c>
    </row>
    <row r="19" spans="2:13" s="103" customFormat="1" ht="12" customHeight="1">
      <c r="B19" s="156" t="s">
        <v>31</v>
      </c>
      <c r="C19" s="20">
        <v>20559</v>
      </c>
      <c r="D19" s="98">
        <v>1100</v>
      </c>
      <c r="E19" s="22">
        <f t="shared" si="6"/>
        <v>5.350454788657036</v>
      </c>
      <c r="F19" s="98">
        <v>58</v>
      </c>
      <c r="G19" s="99">
        <f t="shared" si="7"/>
        <v>0.2821148888564619</v>
      </c>
      <c r="H19" s="98">
        <v>15769</v>
      </c>
      <c r="I19" s="100">
        <f t="shared" si="0"/>
        <v>76.70120142030254</v>
      </c>
      <c r="J19" s="101"/>
      <c r="K19" s="102">
        <f t="shared" si="1"/>
        <v>0</v>
      </c>
      <c r="L19" s="16">
        <f>SUM(C19-D19-F19-H19-J19)</f>
        <v>3632</v>
      </c>
      <c r="M19" s="23">
        <f t="shared" si="8"/>
        <v>17.66622890218396</v>
      </c>
    </row>
    <row r="20" spans="2:13" s="103" customFormat="1" ht="12" customHeight="1" thickBot="1">
      <c r="B20" s="157" t="s">
        <v>30</v>
      </c>
      <c r="C20" s="25">
        <v>32735</v>
      </c>
      <c r="D20" s="104">
        <v>2362</v>
      </c>
      <c r="E20" s="27">
        <f t="shared" si="6"/>
        <v>7.215518558118222</v>
      </c>
      <c r="F20" s="104"/>
      <c r="G20" s="105">
        <f t="shared" si="7"/>
        <v>0</v>
      </c>
      <c r="H20" s="104">
        <v>21828</v>
      </c>
      <c r="I20" s="100">
        <f t="shared" si="0"/>
        <v>66.68092255995113</v>
      </c>
      <c r="J20" s="106"/>
      <c r="K20" s="102">
        <f t="shared" si="1"/>
        <v>0</v>
      </c>
      <c r="L20" s="16">
        <f>SUM(C20-D20-F20-H20-J20)</f>
        <v>8545</v>
      </c>
      <c r="M20" s="96">
        <f t="shared" si="8"/>
        <v>26.103558881930656</v>
      </c>
    </row>
    <row r="21" spans="2:13" s="37" customFormat="1" ht="12" customHeight="1" thickBot="1">
      <c r="B21" s="32" t="s">
        <v>41</v>
      </c>
      <c r="C21" s="29">
        <f>SUM(C16:C20)</f>
        <v>233828</v>
      </c>
      <c r="D21" s="29">
        <f aca="true" t="shared" si="9" ref="D21:L21">SUM(D16:D20)</f>
        <v>30548</v>
      </c>
      <c r="E21" s="33">
        <f t="shared" si="6"/>
        <v>13.064303676206443</v>
      </c>
      <c r="F21" s="29">
        <f t="shared" si="9"/>
        <v>1237</v>
      </c>
      <c r="G21" s="33">
        <f t="shared" si="7"/>
        <v>0.5290213319191885</v>
      </c>
      <c r="H21" s="29">
        <f t="shared" si="9"/>
        <v>115885</v>
      </c>
      <c r="I21" s="73">
        <f aca="true" t="shared" si="10" ref="I21:I39">SUM(H21/C21)*100</f>
        <v>49.55993294216262</v>
      </c>
      <c r="J21" s="29">
        <f>SUM(J16:J20)</f>
        <v>0</v>
      </c>
      <c r="K21" s="33">
        <f aca="true" t="shared" si="11" ref="K21:K39">SUM(J21/C21)*100</f>
        <v>0</v>
      </c>
      <c r="L21" s="29">
        <f t="shared" si="9"/>
        <v>86158</v>
      </c>
      <c r="M21" s="53">
        <f t="shared" si="8"/>
        <v>36.84674204971176</v>
      </c>
    </row>
    <row r="22" spans="2:13" ht="12" customHeight="1">
      <c r="B22" s="107" t="s">
        <v>53</v>
      </c>
      <c r="C22" s="108">
        <f>539894+35247+6877</f>
        <v>582018</v>
      </c>
      <c r="D22" s="109">
        <v>105000</v>
      </c>
      <c r="E22" s="110">
        <f t="shared" si="6"/>
        <v>18.040679154252963</v>
      </c>
      <c r="F22" s="109">
        <f>55+178+179</f>
        <v>412</v>
      </c>
      <c r="G22" s="110">
        <f t="shared" si="7"/>
        <v>0.0707881886814497</v>
      </c>
      <c r="H22" s="109"/>
      <c r="I22" s="111">
        <f>SUM(H22/C22)*100</f>
        <v>0</v>
      </c>
      <c r="J22" s="109">
        <v>35014</v>
      </c>
      <c r="K22" s="110">
        <f>SUM(J22/C22)*100</f>
        <v>6.015965141971554</v>
      </c>
      <c r="L22" s="109">
        <f>SUM(C22-D22-F22-H22-J22)</f>
        <v>441592</v>
      </c>
      <c r="M22" s="112">
        <f t="shared" si="8"/>
        <v>75.87256751509403</v>
      </c>
    </row>
    <row r="23" spans="2:13" ht="12" customHeight="1" thickBot="1">
      <c r="B23" s="50" t="s">
        <v>54</v>
      </c>
      <c r="C23" s="30">
        <f>782000+10062</f>
        <v>792062</v>
      </c>
      <c r="D23" s="31">
        <v>480000</v>
      </c>
      <c r="E23" s="51">
        <f t="shared" si="6"/>
        <v>60.601316563602346</v>
      </c>
      <c r="F23" s="31"/>
      <c r="G23" s="51">
        <f t="shared" si="7"/>
        <v>0</v>
      </c>
      <c r="H23" s="31"/>
      <c r="I23" s="83">
        <f>SUM(H23/C23)*100</f>
        <v>0</v>
      </c>
      <c r="J23" s="31"/>
      <c r="K23" s="51">
        <f>SUM(J23/C23)*100</f>
        <v>0</v>
      </c>
      <c r="L23" s="31">
        <f>SUM(C23-D23-F23-H23-J23)</f>
        <v>312062</v>
      </c>
      <c r="M23" s="52">
        <f t="shared" si="8"/>
        <v>39.39868343639766</v>
      </c>
    </row>
    <row r="24" spans="2:13" ht="12" customHeight="1" thickBot="1">
      <c r="B24" s="32" t="s">
        <v>55</v>
      </c>
      <c r="C24" s="29">
        <f>SUM(C22:C23)</f>
        <v>1374080</v>
      </c>
      <c r="D24" s="29">
        <f>SUM(D22:D23)</f>
        <v>585000</v>
      </c>
      <c r="E24" s="73">
        <f t="shared" si="6"/>
        <v>42.573940381928274</v>
      </c>
      <c r="F24" s="29">
        <f aca="true" t="shared" si="12" ref="F24:L24">SUM(F22:F23)</f>
        <v>412</v>
      </c>
      <c r="G24" s="73">
        <f t="shared" si="12"/>
        <v>0.0707881886814497</v>
      </c>
      <c r="H24" s="29">
        <f t="shared" si="12"/>
        <v>0</v>
      </c>
      <c r="I24" s="73">
        <f t="shared" si="12"/>
        <v>0</v>
      </c>
      <c r="J24" s="29">
        <f t="shared" si="12"/>
        <v>35014</v>
      </c>
      <c r="K24" s="33">
        <f t="shared" si="12"/>
        <v>6.015965141971554</v>
      </c>
      <c r="L24" s="29">
        <f t="shared" si="12"/>
        <v>753654</v>
      </c>
      <c r="M24" s="97">
        <f t="shared" si="8"/>
        <v>54.8478982300885</v>
      </c>
    </row>
    <row r="25" spans="2:13" ht="12" customHeight="1">
      <c r="B25" s="38" t="s">
        <v>4</v>
      </c>
      <c r="C25" s="39">
        <f>2468444-'önként2017.'!B29-C26</f>
        <v>2256822</v>
      </c>
      <c r="D25" s="40">
        <v>91820</v>
      </c>
      <c r="E25" s="41">
        <f aca="true" t="shared" si="13" ref="E25:E45">SUM(D25/C25)*100</f>
        <v>4.068553036083484</v>
      </c>
      <c r="F25" s="40">
        <f>318219+172+469</f>
        <v>318860</v>
      </c>
      <c r="G25" s="41">
        <f aca="true" t="shared" si="14" ref="G25:G45">SUM(F25/C25)*100</f>
        <v>14.128717284748198</v>
      </c>
      <c r="H25" s="40"/>
      <c r="I25" s="82">
        <f t="shared" si="10"/>
        <v>0</v>
      </c>
      <c r="J25" s="40"/>
      <c r="K25" s="41">
        <f t="shared" si="11"/>
        <v>0</v>
      </c>
      <c r="L25" s="40">
        <f>SUM(C25-D25-F25-H25-J25)</f>
        <v>1846142</v>
      </c>
      <c r="M25" s="42">
        <f aca="true" t="shared" si="15" ref="M25:M45">SUM(L25/C25)*100</f>
        <v>81.80272967916832</v>
      </c>
    </row>
    <row r="26" spans="2:13" ht="12" customHeight="1" thickBot="1">
      <c r="B26" s="19" t="s">
        <v>52</v>
      </c>
      <c r="C26" s="20">
        <v>1000</v>
      </c>
      <c r="D26" s="21"/>
      <c r="E26" s="22">
        <f t="shared" si="13"/>
        <v>0</v>
      </c>
      <c r="F26" s="21"/>
      <c r="G26" s="22">
        <f t="shared" si="14"/>
        <v>0</v>
      </c>
      <c r="H26" s="21"/>
      <c r="I26" s="165">
        <f t="shared" si="10"/>
        <v>0</v>
      </c>
      <c r="J26" s="21"/>
      <c r="K26" s="22">
        <f t="shared" si="11"/>
        <v>0</v>
      </c>
      <c r="L26" s="21">
        <f>SUM(C26-D26-F26-H26-J26)</f>
        <v>1000</v>
      </c>
      <c r="M26" s="23">
        <f t="shared" si="15"/>
        <v>100</v>
      </c>
    </row>
    <row r="27" spans="2:13" ht="12" customHeight="1" thickBot="1">
      <c r="B27" s="32" t="s">
        <v>43</v>
      </c>
      <c r="C27" s="29">
        <f>SUM(C25:C26)</f>
        <v>2257822</v>
      </c>
      <c r="D27" s="29">
        <f>SUM(D25:D26)</f>
        <v>91820</v>
      </c>
      <c r="E27" s="33">
        <f t="shared" si="13"/>
        <v>4.066751054777569</v>
      </c>
      <c r="F27" s="29">
        <f>SUM(F25:F26)</f>
        <v>318860</v>
      </c>
      <c r="G27" s="33">
        <f t="shared" si="14"/>
        <v>14.122459609304897</v>
      </c>
      <c r="H27" s="29">
        <f>SUM(H25:H26)</f>
        <v>0</v>
      </c>
      <c r="I27" s="73">
        <f t="shared" si="10"/>
        <v>0</v>
      </c>
      <c r="J27" s="29">
        <f>SUM(J25)</f>
        <v>0</v>
      </c>
      <c r="K27" s="33">
        <f t="shared" si="11"/>
        <v>0</v>
      </c>
      <c r="L27" s="29">
        <f>SUM(L25:L26)</f>
        <v>1847142</v>
      </c>
      <c r="M27" s="53">
        <f t="shared" si="15"/>
        <v>81.81078933591753</v>
      </c>
    </row>
    <row r="28" spans="2:13" ht="12" customHeight="1" thickBot="1">
      <c r="B28" s="38" t="s">
        <v>7</v>
      </c>
      <c r="C28" s="39">
        <f>200138+17102+6537</f>
        <v>223777</v>
      </c>
      <c r="D28" s="40">
        <v>4200</v>
      </c>
      <c r="E28" s="41">
        <f t="shared" si="13"/>
        <v>1.8768684896124266</v>
      </c>
      <c r="F28" s="40">
        <f>46939+9053+291+867+2041+4845+817+876+4785</f>
        <v>70514</v>
      </c>
      <c r="G28" s="41">
        <f t="shared" si="14"/>
        <v>31.510834446793012</v>
      </c>
      <c r="H28" s="40"/>
      <c r="I28" s="82">
        <f t="shared" si="10"/>
        <v>0</v>
      </c>
      <c r="J28" s="40">
        <v>11109</v>
      </c>
      <c r="K28" s="41">
        <f t="shared" si="11"/>
        <v>4.964317155024869</v>
      </c>
      <c r="L28" s="40">
        <f>SUM(C28-D28-F28-H28-J28)</f>
        <v>137954</v>
      </c>
      <c r="M28" s="42">
        <f t="shared" si="15"/>
        <v>61.647979908569695</v>
      </c>
    </row>
    <row r="29" spans="2:13" ht="12" customHeight="1" thickBot="1">
      <c r="B29" s="32" t="s">
        <v>44</v>
      </c>
      <c r="C29" s="29">
        <f>SUM(C28)</f>
        <v>223777</v>
      </c>
      <c r="D29" s="34">
        <f>SUM(D28)</f>
        <v>4200</v>
      </c>
      <c r="E29" s="35">
        <f t="shared" si="13"/>
        <v>1.8768684896124266</v>
      </c>
      <c r="F29" s="34">
        <f>SUM(F28)</f>
        <v>70514</v>
      </c>
      <c r="G29" s="35">
        <f t="shared" si="14"/>
        <v>31.510834446793012</v>
      </c>
      <c r="H29" s="34">
        <f>SUM(H28)</f>
        <v>0</v>
      </c>
      <c r="I29" s="84">
        <f t="shared" si="10"/>
        <v>0</v>
      </c>
      <c r="J29" s="34">
        <f>SUM(J28)</f>
        <v>11109</v>
      </c>
      <c r="K29" s="35">
        <f t="shared" si="11"/>
        <v>4.964317155024869</v>
      </c>
      <c r="L29" s="34">
        <f>SUM(L28)</f>
        <v>137954</v>
      </c>
      <c r="M29" s="36">
        <f t="shared" si="15"/>
        <v>61.647979908569695</v>
      </c>
    </row>
    <row r="30" spans="2:13" ht="12" customHeight="1">
      <c r="B30" s="14" t="s">
        <v>8</v>
      </c>
      <c r="C30" s="15">
        <v>274713</v>
      </c>
      <c r="D30" s="16">
        <v>11495</v>
      </c>
      <c r="E30" s="17">
        <f t="shared" si="13"/>
        <v>4.184366957515662</v>
      </c>
      <c r="F30" s="16">
        <f>34880+4198+51+33+3202</f>
        <v>42364</v>
      </c>
      <c r="G30" s="17">
        <f t="shared" si="14"/>
        <v>15.421185018546629</v>
      </c>
      <c r="H30" s="16"/>
      <c r="I30" s="81">
        <f t="shared" si="10"/>
        <v>0</v>
      </c>
      <c r="J30" s="16">
        <f>1978+2468</f>
        <v>4446</v>
      </c>
      <c r="K30" s="17">
        <f t="shared" si="11"/>
        <v>1.6184163108407683</v>
      </c>
      <c r="L30" s="16">
        <f>SUM(C30-D30-F30-H30-J30)</f>
        <v>216408</v>
      </c>
      <c r="M30" s="18">
        <f t="shared" si="15"/>
        <v>78.77603171309694</v>
      </c>
    </row>
    <row r="31" spans="2:13" ht="12" customHeight="1">
      <c r="B31" s="19" t="s">
        <v>9</v>
      </c>
      <c r="C31" s="20">
        <v>181347</v>
      </c>
      <c r="D31" s="21">
        <v>13514</v>
      </c>
      <c r="E31" s="22">
        <f t="shared" si="13"/>
        <v>7.452011888809851</v>
      </c>
      <c r="F31" s="21">
        <f>13960+4183+186+71+3424</f>
        <v>21824</v>
      </c>
      <c r="G31" s="22">
        <f t="shared" si="14"/>
        <v>12.034387114206465</v>
      </c>
      <c r="H31" s="21"/>
      <c r="I31" s="81">
        <f t="shared" si="10"/>
        <v>0</v>
      </c>
      <c r="J31" s="16">
        <v>1543</v>
      </c>
      <c r="K31" s="17">
        <f t="shared" si="11"/>
        <v>0.8508549907084209</v>
      </c>
      <c r="L31" s="16">
        <f aca="true" t="shared" si="16" ref="L31:L39">SUM(C31-D31-F31-H31-J31)</f>
        <v>144466</v>
      </c>
      <c r="M31" s="23">
        <f t="shared" si="15"/>
        <v>79.66274600627527</v>
      </c>
    </row>
    <row r="32" spans="2:13" ht="12" customHeight="1">
      <c r="B32" s="19" t="s">
        <v>10</v>
      </c>
      <c r="C32" s="20">
        <v>59079</v>
      </c>
      <c r="D32" s="21">
        <v>11069</v>
      </c>
      <c r="E32" s="22">
        <f t="shared" si="13"/>
        <v>18.735929856632644</v>
      </c>
      <c r="F32" s="21">
        <f>10424+7575+1033+52+4+840</f>
        <v>19928</v>
      </c>
      <c r="G32" s="22">
        <f t="shared" si="14"/>
        <v>33.73110580747812</v>
      </c>
      <c r="H32" s="21"/>
      <c r="I32" s="81">
        <f t="shared" si="10"/>
        <v>0</v>
      </c>
      <c r="J32" s="16">
        <v>412</v>
      </c>
      <c r="K32" s="17">
        <f t="shared" si="11"/>
        <v>0.6973713163729921</v>
      </c>
      <c r="L32" s="16">
        <f t="shared" si="16"/>
        <v>27670</v>
      </c>
      <c r="M32" s="23">
        <f t="shared" si="15"/>
        <v>46.83559301951624</v>
      </c>
    </row>
    <row r="33" spans="2:13" ht="12" customHeight="1">
      <c r="B33" s="19" t="s">
        <v>11</v>
      </c>
      <c r="C33" s="20">
        <v>60264</v>
      </c>
      <c r="D33" s="21">
        <v>20070</v>
      </c>
      <c r="E33" s="22">
        <f t="shared" si="13"/>
        <v>33.30346475507766</v>
      </c>
      <c r="F33" s="21">
        <f>24912+608+543</f>
        <v>26063</v>
      </c>
      <c r="G33" s="22">
        <f t="shared" si="14"/>
        <v>43.24804194875879</v>
      </c>
      <c r="H33" s="21"/>
      <c r="I33" s="81">
        <f t="shared" si="10"/>
        <v>0</v>
      </c>
      <c r="J33" s="16">
        <v>83</v>
      </c>
      <c r="K33" s="17">
        <f t="shared" si="11"/>
        <v>0.13772733306783486</v>
      </c>
      <c r="L33" s="16">
        <f t="shared" si="16"/>
        <v>14048</v>
      </c>
      <c r="M33" s="23">
        <f t="shared" si="15"/>
        <v>23.31076596309571</v>
      </c>
    </row>
    <row r="34" spans="2:13" ht="12" customHeight="1">
      <c r="B34" s="19" t="s">
        <v>12</v>
      </c>
      <c r="C34" s="20">
        <v>20134</v>
      </c>
      <c r="D34" s="21"/>
      <c r="E34" s="22">
        <f t="shared" si="13"/>
        <v>0</v>
      </c>
      <c r="F34" s="21"/>
      <c r="G34" s="22">
        <f t="shared" si="14"/>
        <v>0</v>
      </c>
      <c r="H34" s="21">
        <v>4083</v>
      </c>
      <c r="I34" s="81">
        <f t="shared" si="10"/>
        <v>20.279129830138075</v>
      </c>
      <c r="J34" s="16"/>
      <c r="K34" s="17">
        <f t="shared" si="11"/>
        <v>0</v>
      </c>
      <c r="L34" s="16">
        <f t="shared" si="16"/>
        <v>16051</v>
      </c>
      <c r="M34" s="23">
        <f t="shared" si="15"/>
        <v>79.72087016986193</v>
      </c>
    </row>
    <row r="35" spans="2:13" ht="12" customHeight="1">
      <c r="B35" s="19" t="s">
        <v>112</v>
      </c>
      <c r="C35" s="20">
        <v>49613</v>
      </c>
      <c r="D35" s="21"/>
      <c r="E35" s="22">
        <f t="shared" si="13"/>
        <v>0</v>
      </c>
      <c r="F35" s="21">
        <f>6600+6807+1177</f>
        <v>14584</v>
      </c>
      <c r="G35" s="22">
        <f t="shared" si="14"/>
        <v>29.395521335133935</v>
      </c>
      <c r="H35" s="21"/>
      <c r="I35" s="81"/>
      <c r="J35" s="16"/>
      <c r="K35" s="17">
        <f t="shared" si="11"/>
        <v>0</v>
      </c>
      <c r="L35" s="16"/>
      <c r="M35" s="23"/>
    </row>
    <row r="36" spans="2:13" ht="12" customHeight="1">
      <c r="B36" s="19" t="s">
        <v>13</v>
      </c>
      <c r="C36" s="20">
        <v>84955</v>
      </c>
      <c r="D36" s="21">
        <v>152</v>
      </c>
      <c r="E36" s="22">
        <f t="shared" si="13"/>
        <v>0.1789182508386793</v>
      </c>
      <c r="F36" s="21">
        <f>6600+58540+7837+11+20</f>
        <v>73008</v>
      </c>
      <c r="G36" s="22">
        <f t="shared" si="14"/>
        <v>85.93726090283091</v>
      </c>
      <c r="H36" s="21"/>
      <c r="I36" s="81">
        <f t="shared" si="10"/>
        <v>0</v>
      </c>
      <c r="J36" s="16">
        <v>2056</v>
      </c>
      <c r="K36" s="17">
        <f t="shared" si="11"/>
        <v>2.4201047613442412</v>
      </c>
      <c r="L36" s="16">
        <f t="shared" si="16"/>
        <v>9739</v>
      </c>
      <c r="M36" s="23">
        <f t="shared" si="15"/>
        <v>11.463716084986169</v>
      </c>
    </row>
    <row r="37" spans="2:13" ht="12" customHeight="1">
      <c r="B37" s="24" t="s">
        <v>113</v>
      </c>
      <c r="C37" s="25">
        <v>44300</v>
      </c>
      <c r="D37" s="26"/>
      <c r="E37" s="27"/>
      <c r="F37" s="26"/>
      <c r="G37" s="22"/>
      <c r="H37" s="26"/>
      <c r="I37" s="82">
        <f t="shared" si="10"/>
        <v>0</v>
      </c>
      <c r="J37" s="40"/>
      <c r="K37" s="41"/>
      <c r="L37" s="16"/>
      <c r="M37" s="23"/>
    </row>
    <row r="38" spans="2:13" ht="12" customHeight="1">
      <c r="B38" s="24" t="s">
        <v>57</v>
      </c>
      <c r="C38" s="25">
        <v>10292</v>
      </c>
      <c r="D38" s="26"/>
      <c r="E38" s="27">
        <f t="shared" si="13"/>
        <v>0</v>
      </c>
      <c r="F38" s="26">
        <f>364+3+352</f>
        <v>719</v>
      </c>
      <c r="G38" s="22">
        <f t="shared" si="14"/>
        <v>6.986008550330354</v>
      </c>
      <c r="H38" s="26"/>
      <c r="I38" s="165">
        <f t="shared" si="10"/>
        <v>0</v>
      </c>
      <c r="J38" s="21">
        <v>74</v>
      </c>
      <c r="K38" s="22">
        <f t="shared" si="11"/>
        <v>0.7190050524679362</v>
      </c>
      <c r="L38" s="16">
        <f t="shared" si="16"/>
        <v>9499</v>
      </c>
      <c r="M38" s="23">
        <f t="shared" si="15"/>
        <v>92.29498639720171</v>
      </c>
    </row>
    <row r="39" spans="2:13" ht="12" customHeight="1" thickBot="1">
      <c r="B39" s="50" t="s">
        <v>14</v>
      </c>
      <c r="C39" s="30">
        <v>26522</v>
      </c>
      <c r="D39" s="31"/>
      <c r="E39" s="51">
        <f t="shared" si="13"/>
        <v>0</v>
      </c>
      <c r="F39" s="31">
        <f>8150+1631+10+1416</f>
        <v>11207</v>
      </c>
      <c r="G39" s="51">
        <f t="shared" si="14"/>
        <v>42.255486011613</v>
      </c>
      <c r="H39" s="31"/>
      <c r="I39" s="83">
        <f t="shared" si="10"/>
        <v>0</v>
      </c>
      <c r="J39" s="31">
        <v>285</v>
      </c>
      <c r="K39" s="51">
        <f t="shared" si="11"/>
        <v>1.0745795942990723</v>
      </c>
      <c r="L39" s="31">
        <f t="shared" si="16"/>
        <v>15030</v>
      </c>
      <c r="M39" s="52">
        <f t="shared" si="15"/>
        <v>56.66993439408793</v>
      </c>
    </row>
    <row r="40" spans="2:13" s="37" customFormat="1" ht="12" customHeight="1" thickBot="1">
      <c r="B40" s="166" t="s">
        <v>45</v>
      </c>
      <c r="C40" s="29">
        <f>SUM(C30:C39)</f>
        <v>811219</v>
      </c>
      <c r="D40" s="34">
        <f>SUM(D30:D39)</f>
        <v>56300</v>
      </c>
      <c r="E40" s="35">
        <f t="shared" si="13"/>
        <v>6.940172752364035</v>
      </c>
      <c r="F40" s="34">
        <f>SUM(F30:F39)</f>
        <v>209697</v>
      </c>
      <c r="G40" s="35">
        <f t="shared" si="14"/>
        <v>25.8496164414295</v>
      </c>
      <c r="H40" s="34">
        <f>SUM(H30:H39)</f>
        <v>4083</v>
      </c>
      <c r="I40" s="84">
        <f aca="true" t="shared" si="17" ref="I40:I45">SUM(H40/C40)*100</f>
        <v>0.5033166136394734</v>
      </c>
      <c r="J40" s="34">
        <f>SUM(J30:J39)</f>
        <v>8899</v>
      </c>
      <c r="K40" s="35">
        <f aca="true" t="shared" si="18" ref="K40:K45">SUM(J40/C40)*100</f>
        <v>1.0969910714615905</v>
      </c>
      <c r="L40" s="34">
        <f>SUM(L30:L39)</f>
        <v>452911</v>
      </c>
      <c r="M40" s="36">
        <f t="shared" si="15"/>
        <v>55.8309161890932</v>
      </c>
    </row>
    <row r="41" spans="2:13" s="37" customFormat="1" ht="12" customHeight="1" thickBot="1">
      <c r="B41" s="54" t="s">
        <v>47</v>
      </c>
      <c r="C41" s="43">
        <f>180609+887</f>
        <v>181496</v>
      </c>
      <c r="D41" s="45">
        <v>5020</v>
      </c>
      <c r="E41" s="46">
        <f t="shared" si="13"/>
        <v>2.7659011768854413</v>
      </c>
      <c r="F41" s="45">
        <f>85413+22+7874</f>
        <v>93309</v>
      </c>
      <c r="G41" s="46">
        <f t="shared" si="14"/>
        <v>51.41105038127562</v>
      </c>
      <c r="H41" s="45"/>
      <c r="I41" s="85">
        <f t="shared" si="17"/>
        <v>0</v>
      </c>
      <c r="J41" s="45">
        <v>5354</v>
      </c>
      <c r="K41" s="35">
        <f t="shared" si="18"/>
        <v>2.9499272711244324</v>
      </c>
      <c r="L41" s="45">
        <f>SUM(C41-D41-F41-H41-J41)</f>
        <v>77813</v>
      </c>
      <c r="M41" s="47">
        <f t="shared" si="15"/>
        <v>42.873121170714505</v>
      </c>
    </row>
    <row r="42" spans="2:13" s="37" customFormat="1" ht="12" customHeight="1" thickBot="1">
      <c r="B42" s="32" t="s">
        <v>48</v>
      </c>
      <c r="C42" s="29">
        <f>114322+665</f>
        <v>114987</v>
      </c>
      <c r="D42" s="34">
        <v>3000</v>
      </c>
      <c r="E42" s="35">
        <f t="shared" si="13"/>
        <v>2.608990581544001</v>
      </c>
      <c r="F42" s="34">
        <f>51030+81+232+228+4533</f>
        <v>56104</v>
      </c>
      <c r="G42" s="35">
        <f t="shared" si="14"/>
        <v>48.791602528981535</v>
      </c>
      <c r="H42" s="34"/>
      <c r="I42" s="84">
        <f t="shared" si="17"/>
        <v>0</v>
      </c>
      <c r="J42" s="34">
        <v>9323</v>
      </c>
      <c r="K42" s="55">
        <f t="shared" si="18"/>
        <v>8.107873063911573</v>
      </c>
      <c r="L42" s="57">
        <f>SUM(C42-D42-F42-H42-J42)</f>
        <v>46560</v>
      </c>
      <c r="M42" s="56">
        <f t="shared" si="15"/>
        <v>40.49153382556289</v>
      </c>
    </row>
    <row r="43" spans="2:13" s="37" customFormat="1" ht="12" customHeight="1" thickBot="1">
      <c r="B43" s="32" t="s">
        <v>49</v>
      </c>
      <c r="C43" s="29">
        <f>182308+450</f>
        <v>182758</v>
      </c>
      <c r="D43" s="34">
        <v>22500</v>
      </c>
      <c r="E43" s="35">
        <f t="shared" si="13"/>
        <v>12.311362566891738</v>
      </c>
      <c r="F43" s="34">
        <f>86126+97+92+67</f>
        <v>86382</v>
      </c>
      <c r="G43" s="35">
        <f t="shared" si="14"/>
        <v>47.265783166810756</v>
      </c>
      <c r="H43" s="34"/>
      <c r="I43" s="84">
        <f t="shared" si="17"/>
        <v>0</v>
      </c>
      <c r="J43" s="34">
        <v>5056</v>
      </c>
      <c r="K43" s="55">
        <f t="shared" si="18"/>
        <v>2.766499961697983</v>
      </c>
      <c r="L43" s="57">
        <f>SUM(C43-D43-F43-H43-J43)</f>
        <v>68820</v>
      </c>
      <c r="M43" s="56">
        <f t="shared" si="15"/>
        <v>37.656354304599525</v>
      </c>
    </row>
    <row r="44" spans="2:13" s="37" customFormat="1" ht="12" customHeight="1" thickBot="1">
      <c r="B44" s="54" t="s">
        <v>50</v>
      </c>
      <c r="C44" s="43">
        <f>158782+229</f>
        <v>159011</v>
      </c>
      <c r="D44" s="45">
        <v>2350</v>
      </c>
      <c r="E44" s="46">
        <f t="shared" si="13"/>
        <v>1.477885177754998</v>
      </c>
      <c r="F44" s="45">
        <f>64411+13+31+30</f>
        <v>64485</v>
      </c>
      <c r="G44" s="46">
        <f t="shared" si="14"/>
        <v>40.55379816490683</v>
      </c>
      <c r="H44" s="45"/>
      <c r="I44" s="85">
        <f t="shared" si="17"/>
        <v>0</v>
      </c>
      <c r="J44" s="45">
        <v>25588</v>
      </c>
      <c r="K44" s="35">
        <f t="shared" si="18"/>
        <v>16.09196848016804</v>
      </c>
      <c r="L44" s="45">
        <f>SUM(C44-D44-F44-H44-J44)</f>
        <v>66588</v>
      </c>
      <c r="M44" s="47">
        <f t="shared" si="15"/>
        <v>41.87634817717013</v>
      </c>
    </row>
    <row r="45" spans="2:16" s="4" customFormat="1" ht="12" customHeight="1" thickBot="1">
      <c r="B45" s="28" t="s">
        <v>20</v>
      </c>
      <c r="C45" s="29">
        <f>SUM(C40,C29,C27,C21,C15,C41,C42,C43,C44,C24)</f>
        <v>11251810</v>
      </c>
      <c r="D45" s="29">
        <f>SUM(D40,D29,D27,D21,D15,D41,D42,D43,D44,D24)</f>
        <v>5802632</v>
      </c>
      <c r="E45" s="33">
        <f t="shared" si="13"/>
        <v>51.57065396589526</v>
      </c>
      <c r="F45" s="29">
        <f>SUM(F40,F29,F27,F21,F15,F41,F42,F43,F44,F24)</f>
        <v>911674</v>
      </c>
      <c r="G45" s="33">
        <f t="shared" si="14"/>
        <v>8.102465292250757</v>
      </c>
      <c r="H45" s="29">
        <f>SUM(H40,H29,H27,H21,H15,H41,H42,H43,H44)</f>
        <v>120033</v>
      </c>
      <c r="I45" s="73">
        <f t="shared" si="17"/>
        <v>1.0667883656051782</v>
      </c>
      <c r="J45" s="29">
        <f>SUM(J40,J29,J27,J21,J15,J41,J42,J43,J44,J24)</f>
        <v>232145</v>
      </c>
      <c r="K45" s="35">
        <f t="shared" si="18"/>
        <v>2.0631791685071112</v>
      </c>
      <c r="L45" s="29">
        <f>SUM(L40,L29,L27,L21,L15,L41,L42,L43,L44,L24)</f>
        <v>4105997</v>
      </c>
      <c r="M45" s="53">
        <f t="shared" si="15"/>
        <v>36.49187997308878</v>
      </c>
      <c r="O45" s="113"/>
      <c r="P45" s="113"/>
    </row>
  </sheetData>
  <sheetProtection/>
  <mergeCells count="2">
    <mergeCell ref="B2:M2"/>
    <mergeCell ref="L1:M1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4">
      <selection activeCell="B6" sqref="B6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67" t="s">
        <v>34</v>
      </c>
      <c r="L1" s="167"/>
    </row>
    <row r="2" spans="1:12" ht="12.75">
      <c r="A2" s="168" t="s">
        <v>85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3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75</v>
      </c>
      <c r="C5" s="61" t="s">
        <v>89</v>
      </c>
      <c r="D5" s="62" t="s">
        <v>76</v>
      </c>
      <c r="E5" s="61" t="s">
        <v>65</v>
      </c>
      <c r="F5" s="62" t="s">
        <v>77</v>
      </c>
      <c r="G5" s="61" t="s">
        <v>90</v>
      </c>
      <c r="H5" s="62" t="s">
        <v>79</v>
      </c>
      <c r="I5" s="62" t="s">
        <v>82</v>
      </c>
      <c r="J5" s="62" t="s">
        <v>51</v>
      </c>
      <c r="K5" s="63" t="s">
        <v>80</v>
      </c>
      <c r="L5" s="71" t="s">
        <v>81</v>
      </c>
    </row>
    <row r="6" spans="1:12" ht="12.75">
      <c r="A6" s="120" t="s">
        <v>86</v>
      </c>
      <c r="B6" s="15"/>
      <c r="C6" s="15"/>
      <c r="D6" s="124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87</v>
      </c>
      <c r="B7" s="20">
        <f>19549+17316</f>
        <v>36865</v>
      </c>
      <c r="C7" s="20"/>
      <c r="D7" s="125">
        <f>SUM(C7/B7)*100</f>
        <v>0</v>
      </c>
      <c r="E7" s="21"/>
      <c r="F7" s="22">
        <f aca="true" t="shared" si="0" ref="F7:F18">SUM(E7/B7)*100</f>
        <v>0</v>
      </c>
      <c r="G7" s="21"/>
      <c r="H7" s="22">
        <f>SUM(G7/B7*100)</f>
        <v>0</v>
      </c>
      <c r="I7" s="21">
        <v>36865</v>
      </c>
      <c r="J7" s="17">
        <f>SUM(I7/B7*100)</f>
        <v>100</v>
      </c>
      <c r="K7" s="21">
        <f aca="true" t="shared" si="1" ref="K7:K18">SUM(B7-C7-E7-G7-I7)</f>
        <v>0</v>
      </c>
      <c r="L7" s="23">
        <f>SUM(K7/B7)*100</f>
        <v>0</v>
      </c>
    </row>
    <row r="8" spans="1:12" ht="12.75">
      <c r="A8" s="14" t="s">
        <v>88</v>
      </c>
      <c r="B8" s="20">
        <f>5000+15113+32021+2972+115253+15000+100+33984</f>
        <v>219443</v>
      </c>
      <c r="C8" s="20">
        <v>20113</v>
      </c>
      <c r="D8" s="125">
        <f>SUM(C8/B8)*100</f>
        <v>9.165478051247932</v>
      </c>
      <c r="E8" s="21"/>
      <c r="F8" s="22">
        <f t="shared" si="0"/>
        <v>0</v>
      </c>
      <c r="G8" s="21"/>
      <c r="H8" s="22">
        <f>SUM(G8/B8*100)</f>
        <v>0</v>
      </c>
      <c r="I8" s="21">
        <f>32021+2972+130253</f>
        <v>165246</v>
      </c>
      <c r="J8" s="17">
        <f>SUM(I8/B8*100)</f>
        <v>75.30247034537443</v>
      </c>
      <c r="K8" s="21">
        <f t="shared" si="1"/>
        <v>34084</v>
      </c>
      <c r="L8" s="23">
        <f>SUM(K8/B8)*100</f>
        <v>15.532051603377642</v>
      </c>
    </row>
    <row r="9" spans="1:12" ht="12.75">
      <c r="A9" s="121" t="s">
        <v>91</v>
      </c>
      <c r="B9" s="20"/>
      <c r="C9" s="20"/>
      <c r="D9" s="125"/>
      <c r="E9" s="21"/>
      <c r="F9" s="22"/>
      <c r="G9" s="21"/>
      <c r="H9" s="22"/>
      <c r="I9" s="21"/>
      <c r="J9" s="17"/>
      <c r="K9" s="21"/>
      <c r="L9" s="23"/>
    </row>
    <row r="10" spans="1:12" ht="12.75">
      <c r="A10" s="14" t="s">
        <v>87</v>
      </c>
      <c r="B10" s="20">
        <f>826292-'kötelező2017.felh.'!C9-12932-3480</f>
        <v>792496</v>
      </c>
      <c r="C10" s="20"/>
      <c r="D10" s="125">
        <f aca="true" t="shared" si="2" ref="D10:D36">SUM(C10/B10)*100</f>
        <v>0</v>
      </c>
      <c r="E10" s="21"/>
      <c r="F10" s="22">
        <f t="shared" si="0"/>
        <v>0</v>
      </c>
      <c r="G10" s="21"/>
      <c r="H10" s="22">
        <f aca="true" t="shared" si="3" ref="H10:H19">SUM(G10/B10*100)</f>
        <v>0</v>
      </c>
      <c r="I10" s="21">
        <v>792496</v>
      </c>
      <c r="J10" s="17">
        <f>SUM(I10/B10*100)</f>
        <v>100</v>
      </c>
      <c r="K10" s="21">
        <f t="shared" si="1"/>
        <v>0</v>
      </c>
      <c r="L10" s="23">
        <f aca="true" t="shared" si="4" ref="L10:L22">SUM(K10/B10)*100</f>
        <v>0</v>
      </c>
    </row>
    <row r="11" spans="1:12" ht="12.75">
      <c r="A11" s="14" t="s">
        <v>88</v>
      </c>
      <c r="B11" s="20">
        <f>535060-100000-10000-51955-20000+1418831+10673-1000+3999+13105+8353+43665+106045+134247+138166+2485+4572+11490+3197+70+5817235-845000</f>
        <v>7223238</v>
      </c>
      <c r="C11" s="20">
        <f>108748-94182-14566</f>
        <v>0</v>
      </c>
      <c r="D11" s="125">
        <f>SUM(C11/B11)*100</f>
        <v>0</v>
      </c>
      <c r="E11" s="21"/>
      <c r="F11" s="22">
        <f>SUM(E11/B11)*100</f>
        <v>0</v>
      </c>
      <c r="G11" s="21">
        <f>1572104</f>
        <v>1572104</v>
      </c>
      <c r="H11" s="22">
        <f>SUM(G11/B11*100)</f>
        <v>21.764532748332535</v>
      </c>
      <c r="I11" s="21">
        <f>353105-1000+3999+13105+8353+134247+138166+28793+39154+5074499-15742-9858-130253+31491-16925</f>
        <v>5651134</v>
      </c>
      <c r="J11" s="17">
        <f>SUM(I11/B11*100)</f>
        <v>78.23546725166747</v>
      </c>
      <c r="K11" s="21">
        <f>SUM(B11-C11-E11-G11-I11)</f>
        <v>0</v>
      </c>
      <c r="L11" s="23">
        <f>SUM(K11/B11)*100</f>
        <v>0</v>
      </c>
    </row>
    <row r="12" spans="1:12" ht="12.75">
      <c r="A12" s="121" t="s">
        <v>92</v>
      </c>
      <c r="B12" s="20"/>
      <c r="C12" s="20"/>
      <c r="D12" s="125"/>
      <c r="E12" s="21"/>
      <c r="F12" s="22"/>
      <c r="G12" s="21"/>
      <c r="H12" s="22"/>
      <c r="I12" s="21"/>
      <c r="J12" s="17"/>
      <c r="K12" s="21"/>
      <c r="L12" s="23"/>
    </row>
    <row r="13" spans="1:12" ht="12.75">
      <c r="A13" s="14" t="s">
        <v>87</v>
      </c>
      <c r="B13" s="20">
        <v>541155</v>
      </c>
      <c r="C13" s="20"/>
      <c r="D13" s="125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v>541155</v>
      </c>
      <c r="J13" s="17">
        <f>SUM(I13/B13*100)</f>
        <v>100</v>
      </c>
      <c r="K13" s="21">
        <f>SUM(B13-C13-E13-G13-I13)</f>
        <v>0</v>
      </c>
      <c r="L13" s="23">
        <f>SUM(K13/B13)*100</f>
        <v>0</v>
      </c>
    </row>
    <row r="14" spans="1:12" ht="12.75">
      <c r="A14" s="14" t="s">
        <v>88</v>
      </c>
      <c r="B14" s="20">
        <f>347750-18308-1209+1870+79502+15694+44845+30126</f>
        <v>500270</v>
      </c>
      <c r="C14" s="20">
        <f>227208-769+1300-16925</f>
        <v>210814</v>
      </c>
      <c r="D14" s="125">
        <f>SUM(C14/B14)*100</f>
        <v>42.14004437603694</v>
      </c>
      <c r="E14" s="21"/>
      <c r="F14" s="22">
        <f>SUM(E14/B14)*100</f>
        <v>0</v>
      </c>
      <c r="G14" s="21"/>
      <c r="H14" s="22">
        <f>SUM(G14/B14*100)</f>
        <v>0</v>
      </c>
      <c r="I14" s="21">
        <f>130542-18308-1209+79502-630+7663+16925</f>
        <v>214485</v>
      </c>
      <c r="J14" s="17">
        <f>SUM(I14/B14*100)</f>
        <v>42.87384812201411</v>
      </c>
      <c r="K14" s="21">
        <f>SUM(B14-C14-E14-G14-I14)</f>
        <v>74971</v>
      </c>
      <c r="L14" s="23">
        <f>SUM(K14/B14)*100</f>
        <v>14.986107501948947</v>
      </c>
    </row>
    <row r="15" spans="1:12" ht="12.75">
      <c r="A15" s="121" t="s">
        <v>93</v>
      </c>
      <c r="B15" s="20"/>
      <c r="C15" s="20"/>
      <c r="D15" s="125"/>
      <c r="E15" s="21"/>
      <c r="F15" s="22"/>
      <c r="G15" s="21"/>
      <c r="H15" s="22"/>
      <c r="I15" s="21"/>
      <c r="J15" s="17"/>
      <c r="K15" s="21"/>
      <c r="L15" s="23"/>
    </row>
    <row r="16" spans="1:12" ht="12.75">
      <c r="A16" s="14" t="s">
        <v>87</v>
      </c>
      <c r="B16" s="20">
        <v>5000</v>
      </c>
      <c r="C16" s="20"/>
      <c r="D16" s="125">
        <f t="shared" si="2"/>
        <v>0</v>
      </c>
      <c r="E16" s="21"/>
      <c r="F16" s="22">
        <f t="shared" si="0"/>
        <v>0</v>
      </c>
      <c r="G16" s="21"/>
      <c r="H16" s="22">
        <f t="shared" si="3"/>
        <v>0</v>
      </c>
      <c r="I16" s="21">
        <v>5000</v>
      </c>
      <c r="J16" s="17">
        <f>SUM(I16/B16*100)</f>
        <v>100</v>
      </c>
      <c r="K16" s="21">
        <f t="shared" si="1"/>
        <v>0</v>
      </c>
      <c r="L16" s="23">
        <f t="shared" si="4"/>
        <v>0</v>
      </c>
    </row>
    <row r="17" spans="1:12" ht="12.75">
      <c r="A17" s="14" t="s">
        <v>88</v>
      </c>
      <c r="B17" s="20">
        <f>10000+7000</f>
        <v>17000</v>
      </c>
      <c r="C17" s="20">
        <f>21962-4962</f>
        <v>17000</v>
      </c>
      <c r="D17" s="125">
        <f t="shared" si="2"/>
        <v>100</v>
      </c>
      <c r="E17" s="21"/>
      <c r="F17" s="22">
        <f t="shared" si="0"/>
        <v>0</v>
      </c>
      <c r="G17" s="21"/>
      <c r="H17" s="22">
        <f t="shared" si="3"/>
        <v>0</v>
      </c>
      <c r="I17" s="21"/>
      <c r="J17" s="17">
        <f>SUM(I17/B17*100)</f>
        <v>0</v>
      </c>
      <c r="K17" s="21">
        <f t="shared" si="1"/>
        <v>0</v>
      </c>
      <c r="L17" s="23">
        <f t="shared" si="4"/>
        <v>0</v>
      </c>
    </row>
    <row r="18" spans="1:12" ht="13.5" thickBot="1">
      <c r="A18" s="122" t="s">
        <v>94</v>
      </c>
      <c r="B18" s="39">
        <f>94500+845000-9000+114080</f>
        <v>1044580</v>
      </c>
      <c r="C18" s="39"/>
      <c r="D18" s="126">
        <f t="shared" si="2"/>
        <v>0</v>
      </c>
      <c r="E18" s="40"/>
      <c r="F18" s="41">
        <f t="shared" si="0"/>
        <v>0</v>
      </c>
      <c r="G18" s="40">
        <v>39154</v>
      </c>
      <c r="H18" s="41">
        <f t="shared" si="3"/>
        <v>3.748300752455532</v>
      </c>
      <c r="I18" s="40">
        <f>4423583+2001278-134247-138166-79502-28793-39154-5074499-7663-31491</f>
        <v>891346</v>
      </c>
      <c r="J18" s="41">
        <f>SUM(I18/B18*100)</f>
        <v>85.33056348005897</v>
      </c>
      <c r="K18" s="40">
        <f t="shared" si="1"/>
        <v>114080</v>
      </c>
      <c r="L18" s="42">
        <f t="shared" si="4"/>
        <v>10.921135767485497</v>
      </c>
    </row>
    <row r="19" spans="1:12" s="37" customFormat="1" ht="13.5" thickBot="1">
      <c r="A19" s="32" t="s">
        <v>42</v>
      </c>
      <c r="B19" s="29">
        <f>SUM(B6:B18)</f>
        <v>10380047</v>
      </c>
      <c r="C19" s="29">
        <f>SUM(C6:C17)</f>
        <v>247927</v>
      </c>
      <c r="D19" s="127">
        <f t="shared" si="2"/>
        <v>2.3884959287756597</v>
      </c>
      <c r="E19" s="29">
        <f>SUM(E6:E17)</f>
        <v>0</v>
      </c>
      <c r="F19" s="73">
        <f>SUM(E19/B19*100)</f>
        <v>0</v>
      </c>
      <c r="G19" s="29">
        <f>SUM(G6:G18)</f>
        <v>1611258</v>
      </c>
      <c r="H19" s="33">
        <f t="shared" si="3"/>
        <v>15.52264647741961</v>
      </c>
      <c r="I19" s="29">
        <f>SUM(I6:I18)</f>
        <v>8297727</v>
      </c>
      <c r="J19" s="33">
        <f>SUM(I19/B19*100)</f>
        <v>79.93920451419922</v>
      </c>
      <c r="K19" s="29">
        <f>SUM(K6:K18)</f>
        <v>223135</v>
      </c>
      <c r="L19" s="53">
        <f t="shared" si="4"/>
        <v>2.149653079605516</v>
      </c>
    </row>
    <row r="20" spans="1:12" s="118" customFormat="1" ht="12.75">
      <c r="A20" s="121" t="s">
        <v>91</v>
      </c>
      <c r="B20" s="39"/>
      <c r="C20" s="39"/>
      <c r="D20" s="126"/>
      <c r="E20" s="39"/>
      <c r="F20" s="41"/>
      <c r="G20" s="39"/>
      <c r="H20" s="41"/>
      <c r="I20" s="39"/>
      <c r="J20" s="41"/>
      <c r="K20" s="40"/>
      <c r="L20" s="42"/>
    </row>
    <row r="21" spans="1:12" s="118" customFormat="1" ht="12.75">
      <c r="A21" s="14" t="s">
        <v>87</v>
      </c>
      <c r="B21" s="20">
        <f>3480-3328</f>
        <v>152</v>
      </c>
      <c r="C21" s="20"/>
      <c r="D21" s="125"/>
      <c r="E21" s="20"/>
      <c r="F21" s="22"/>
      <c r="G21" s="20"/>
      <c r="H21" s="22"/>
      <c r="I21" s="20">
        <f>3480-3328</f>
        <v>152</v>
      </c>
      <c r="J21" s="22"/>
      <c r="K21" s="21"/>
      <c r="L21" s="23"/>
    </row>
    <row r="22" spans="1:13" ht="13.5" thickBot="1">
      <c r="A22" s="14" t="s">
        <v>88</v>
      </c>
      <c r="B22" s="30">
        <v>10000</v>
      </c>
      <c r="C22" s="30"/>
      <c r="D22" s="128">
        <f t="shared" si="2"/>
        <v>0</v>
      </c>
      <c r="E22" s="31"/>
      <c r="F22" s="51">
        <f>SUM(E22/B22)*100</f>
        <v>0</v>
      </c>
      <c r="G22" s="31"/>
      <c r="H22" s="51">
        <f>SUM(G22/B22*100)</f>
        <v>0</v>
      </c>
      <c r="I22" s="31"/>
      <c r="J22" s="51">
        <f>SUM(I22/B22*100)</f>
        <v>0</v>
      </c>
      <c r="K22" s="31">
        <f>SUM(B22-C22-E22-G22-I22)</f>
        <v>10000</v>
      </c>
      <c r="L22" s="52">
        <f t="shared" si="4"/>
        <v>100</v>
      </c>
      <c r="M22" s="3"/>
    </row>
    <row r="23" spans="1:13" s="37" customFormat="1" ht="13.5" thickBot="1">
      <c r="A23" s="32" t="s">
        <v>43</v>
      </c>
      <c r="B23" s="29">
        <f>SUM(B20:B22)</f>
        <v>10152</v>
      </c>
      <c r="C23" s="29">
        <f>SUM(C20:C22)</f>
        <v>0</v>
      </c>
      <c r="D23" s="129">
        <f t="shared" si="2"/>
        <v>0</v>
      </c>
      <c r="E23" s="29">
        <f>SUM(E22)</f>
        <v>0</v>
      </c>
      <c r="F23" s="33">
        <f>SUM(E23/B23)*100</f>
        <v>0</v>
      </c>
      <c r="G23" s="29">
        <f>SUM(G20:G22)</f>
        <v>0</v>
      </c>
      <c r="H23" s="33">
        <f>SUM(H22)</f>
        <v>0</v>
      </c>
      <c r="I23" s="29">
        <f>SUM(I20:I22)</f>
        <v>152</v>
      </c>
      <c r="J23" s="33">
        <f>SUM(I23/B23*100)</f>
        <v>1.4972419227738378</v>
      </c>
      <c r="K23" s="29">
        <f>SUM(K20:K22)</f>
        <v>10000</v>
      </c>
      <c r="L23" s="53">
        <f>SUM(L22)</f>
        <v>100</v>
      </c>
      <c r="M23" s="44"/>
    </row>
    <row r="24" spans="1:13" s="37" customFormat="1" ht="12.75">
      <c r="A24" s="121" t="s">
        <v>91</v>
      </c>
      <c r="B24" s="130"/>
      <c r="C24" s="130"/>
      <c r="D24" s="131"/>
      <c r="E24" s="130"/>
      <c r="F24" s="132"/>
      <c r="G24" s="130"/>
      <c r="H24" s="132"/>
      <c r="I24" s="130"/>
      <c r="J24" s="132"/>
      <c r="K24" s="130"/>
      <c r="L24" s="133"/>
      <c r="M24" s="44"/>
    </row>
    <row r="25" spans="1:13" s="37" customFormat="1" ht="13.5" thickBot="1">
      <c r="A25" s="38" t="s">
        <v>88</v>
      </c>
      <c r="B25" s="139">
        <v>724</v>
      </c>
      <c r="C25" s="135">
        <v>724</v>
      </c>
      <c r="D25" s="136">
        <f t="shared" si="2"/>
        <v>100</v>
      </c>
      <c r="E25" s="135"/>
      <c r="F25" s="137">
        <f>SUM(E25/B25)*100</f>
        <v>0</v>
      </c>
      <c r="G25" s="135"/>
      <c r="H25" s="137"/>
      <c r="I25" s="135"/>
      <c r="J25" s="137"/>
      <c r="K25" s="135"/>
      <c r="L25" s="138"/>
      <c r="M25" s="44"/>
    </row>
    <row r="26" spans="1:13" s="37" customFormat="1" ht="13.5" thickBot="1">
      <c r="A26" s="134" t="s">
        <v>41</v>
      </c>
      <c r="B26" s="29">
        <f>SUM(B25)</f>
        <v>724</v>
      </c>
      <c r="C26" s="29">
        <f>SUM(C25)</f>
        <v>724</v>
      </c>
      <c r="D26" s="129"/>
      <c r="E26" s="29"/>
      <c r="F26" s="33"/>
      <c r="G26" s="29"/>
      <c r="H26" s="33"/>
      <c r="I26" s="29"/>
      <c r="J26" s="33"/>
      <c r="K26" s="29"/>
      <c r="L26" s="53"/>
      <c r="M26" s="44"/>
    </row>
    <row r="27" spans="1:13" s="37" customFormat="1" ht="12.75">
      <c r="A27" s="120" t="s">
        <v>91</v>
      </c>
      <c r="B27" s="43"/>
      <c r="C27" s="43"/>
      <c r="D27" s="140"/>
      <c r="E27" s="43"/>
      <c r="F27" s="141"/>
      <c r="G27" s="43"/>
      <c r="H27" s="141"/>
      <c r="I27" s="43"/>
      <c r="J27" s="141"/>
      <c r="K27" s="43"/>
      <c r="L27" s="142"/>
      <c r="M27" s="44"/>
    </row>
    <row r="28" spans="1:13" s="37" customFormat="1" ht="13.5" thickBot="1">
      <c r="A28" s="38" t="s">
        <v>88</v>
      </c>
      <c r="B28" s="139">
        <v>1988</v>
      </c>
      <c r="C28" s="135"/>
      <c r="D28" s="136">
        <f t="shared" si="2"/>
        <v>0</v>
      </c>
      <c r="E28" s="135"/>
      <c r="F28" s="137">
        <f>SUM(E28/B28)*100</f>
        <v>0</v>
      </c>
      <c r="G28" s="135"/>
      <c r="H28" s="137"/>
      <c r="I28" s="135"/>
      <c r="J28" s="137"/>
      <c r="K28" s="135"/>
      <c r="L28" s="138"/>
      <c r="M28" s="44"/>
    </row>
    <row r="29" spans="1:13" s="37" customFormat="1" ht="13.5" thickBot="1">
      <c r="A29" s="143" t="s">
        <v>99</v>
      </c>
      <c r="B29" s="29">
        <f>SUM(B28)</f>
        <v>1988</v>
      </c>
      <c r="C29" s="29"/>
      <c r="D29" s="129">
        <f t="shared" si="2"/>
        <v>0</v>
      </c>
      <c r="E29" s="29"/>
      <c r="F29" s="33"/>
      <c r="G29" s="29"/>
      <c r="H29" s="33"/>
      <c r="I29" s="29"/>
      <c r="J29" s="33"/>
      <c r="K29" s="29"/>
      <c r="L29" s="53"/>
      <c r="M29" s="44"/>
    </row>
    <row r="30" spans="1:13" s="37" customFormat="1" ht="12.75">
      <c r="A30" s="120" t="s">
        <v>91</v>
      </c>
      <c r="B30" s="130"/>
      <c r="C30" s="130"/>
      <c r="D30" s="131"/>
      <c r="E30" s="130"/>
      <c r="F30" s="132"/>
      <c r="G30" s="130"/>
      <c r="H30" s="132"/>
      <c r="I30" s="130"/>
      <c r="J30" s="132"/>
      <c r="K30" s="130"/>
      <c r="L30" s="133"/>
      <c r="M30" s="44"/>
    </row>
    <row r="31" spans="1:13" s="37" customFormat="1" ht="13.5" thickBot="1">
      <c r="A31" s="38" t="s">
        <v>88</v>
      </c>
      <c r="B31" s="139">
        <f>100+70</f>
        <v>170</v>
      </c>
      <c r="C31" s="135"/>
      <c r="D31" s="136">
        <f t="shared" si="2"/>
        <v>0</v>
      </c>
      <c r="E31" s="135"/>
      <c r="F31" s="137">
        <f>SUM(E31/B31)*100</f>
        <v>0</v>
      </c>
      <c r="G31" s="135"/>
      <c r="H31" s="137"/>
      <c r="I31" s="135"/>
      <c r="J31" s="137"/>
      <c r="K31" s="135"/>
      <c r="L31" s="138"/>
      <c r="M31" s="44"/>
    </row>
    <row r="32" spans="1:13" s="37" customFormat="1" ht="13.5" thickBot="1">
      <c r="A32" s="144" t="s">
        <v>100</v>
      </c>
      <c r="B32" s="29">
        <f>SUM(B31)</f>
        <v>170</v>
      </c>
      <c r="C32" s="29"/>
      <c r="D32" s="129">
        <f t="shared" si="2"/>
        <v>0</v>
      </c>
      <c r="E32" s="29"/>
      <c r="F32" s="33"/>
      <c r="G32" s="29"/>
      <c r="H32" s="33"/>
      <c r="I32" s="29"/>
      <c r="J32" s="33"/>
      <c r="K32" s="29"/>
      <c r="L32" s="53"/>
      <c r="M32" s="44"/>
    </row>
    <row r="33" spans="1:13" s="37" customFormat="1" ht="12.75">
      <c r="A33" s="120" t="s">
        <v>91</v>
      </c>
      <c r="B33" s="130"/>
      <c r="C33" s="130"/>
      <c r="D33" s="131"/>
      <c r="E33" s="130"/>
      <c r="F33" s="132"/>
      <c r="G33" s="130"/>
      <c r="H33" s="132"/>
      <c r="I33" s="130"/>
      <c r="J33" s="132"/>
      <c r="K33" s="130"/>
      <c r="L33" s="133"/>
      <c r="M33" s="44"/>
    </row>
    <row r="34" spans="1:13" s="37" customFormat="1" ht="13.5" thickBot="1">
      <c r="A34" s="38" t="s">
        <v>88</v>
      </c>
      <c r="B34" s="149">
        <f>80+282</f>
        <v>362</v>
      </c>
      <c r="C34" s="145"/>
      <c r="D34" s="146">
        <f t="shared" si="2"/>
        <v>0</v>
      </c>
      <c r="E34" s="145"/>
      <c r="F34" s="147">
        <f>SUM(E34/B34)*100</f>
        <v>0</v>
      </c>
      <c r="G34" s="145"/>
      <c r="H34" s="147"/>
      <c r="I34" s="145"/>
      <c r="J34" s="147"/>
      <c r="K34" s="145"/>
      <c r="L34" s="148"/>
      <c r="M34" s="44"/>
    </row>
    <row r="35" spans="1:13" s="37" customFormat="1" ht="13.5" thickBot="1">
      <c r="A35" s="32" t="s">
        <v>101</v>
      </c>
      <c r="B35" s="29">
        <f>SUM(B34)</f>
        <v>362</v>
      </c>
      <c r="C35" s="29"/>
      <c r="D35" s="129">
        <f t="shared" si="2"/>
        <v>0</v>
      </c>
      <c r="E35" s="29"/>
      <c r="F35" s="33"/>
      <c r="G35" s="29"/>
      <c r="H35" s="33"/>
      <c r="I35" s="29"/>
      <c r="J35" s="33"/>
      <c r="K35" s="29"/>
      <c r="L35" s="53"/>
      <c r="M35" s="44"/>
    </row>
    <row r="36" spans="1:12" s="37" customFormat="1" ht="13.5" thickBot="1">
      <c r="A36" s="28" t="s">
        <v>20</v>
      </c>
      <c r="B36" s="29">
        <f>SUM(B23,B19,B26,B29,B32,B35)</f>
        <v>10393443</v>
      </c>
      <c r="C36" s="29">
        <f>SUM(C23,C19,C26,C29,C32,C35)</f>
        <v>248651</v>
      </c>
      <c r="D36" s="129">
        <f t="shared" si="2"/>
        <v>2.392383351695872</v>
      </c>
      <c r="E36" s="29">
        <f aca="true" t="shared" si="5" ref="E36:K36">SUM(E23,E19)</f>
        <v>0</v>
      </c>
      <c r="F36" s="33">
        <f>SUM(E36/B36)*100</f>
        <v>0</v>
      </c>
      <c r="G36" s="29">
        <f t="shared" si="5"/>
        <v>1611258</v>
      </c>
      <c r="H36" s="33">
        <f>SUM(H23)</f>
        <v>0</v>
      </c>
      <c r="I36" s="29">
        <f t="shared" si="5"/>
        <v>8297879</v>
      </c>
      <c r="J36" s="33">
        <f>SUM(I36/B36*100)</f>
        <v>79.8376341699281</v>
      </c>
      <c r="K36" s="29">
        <f t="shared" si="5"/>
        <v>233135</v>
      </c>
      <c r="L36" s="53">
        <f>SUM(L23)</f>
        <v>100</v>
      </c>
    </row>
    <row r="37" spans="3:11" ht="12.75">
      <c r="C37" s="6"/>
      <c r="D37" s="93"/>
      <c r="E37" s="3"/>
      <c r="F37" s="2"/>
      <c r="G37" s="3"/>
      <c r="H37" s="2"/>
      <c r="I37" s="2"/>
      <c r="J37" s="2"/>
      <c r="K37" s="6"/>
    </row>
    <row r="38" ht="12.75">
      <c r="B38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4"/>
  <sheetViews>
    <sheetView zoomScalePageLayoutView="0" workbookViewId="0" topLeftCell="B1">
      <selection activeCell="B6" sqref="B6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70" t="s">
        <v>33</v>
      </c>
      <c r="M1" s="170"/>
    </row>
    <row r="2" spans="2:13" ht="18" customHeight="1">
      <c r="B2" s="169" t="s">
        <v>95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70</v>
      </c>
      <c r="D4" s="61" t="s">
        <v>89</v>
      </c>
      <c r="E4" s="62" t="s">
        <v>76</v>
      </c>
      <c r="F4" s="61" t="s">
        <v>65</v>
      </c>
      <c r="G4" s="62" t="s">
        <v>77</v>
      </c>
      <c r="H4" s="61" t="s">
        <v>90</v>
      </c>
      <c r="I4" s="62" t="s">
        <v>79</v>
      </c>
      <c r="J4" s="62" t="s">
        <v>82</v>
      </c>
      <c r="K4" s="62" t="s">
        <v>51</v>
      </c>
      <c r="L4" s="63" t="s">
        <v>80</v>
      </c>
      <c r="M4" s="71" t="s">
        <v>81</v>
      </c>
    </row>
    <row r="5" spans="2:13" ht="12" customHeight="1">
      <c r="B5" s="120" t="s">
        <v>86</v>
      </c>
      <c r="C5" s="20"/>
      <c r="D5" s="21"/>
      <c r="E5" s="22"/>
      <c r="F5" s="21"/>
      <c r="G5" s="17"/>
      <c r="H5" s="21"/>
      <c r="I5" s="81"/>
      <c r="J5" s="16"/>
      <c r="K5" s="17"/>
      <c r="L5" s="16">
        <f aca="true" t="shared" si="0" ref="L5:L10">SUM(C5-D5-F5-H5-J5)</f>
        <v>0</v>
      </c>
      <c r="M5" s="23"/>
    </row>
    <row r="6" spans="2:13" ht="12" customHeight="1">
      <c r="B6" s="14" t="s">
        <v>87</v>
      </c>
      <c r="C6" s="20">
        <f>103955-'önként2017.felh.'!B7</f>
        <v>67090</v>
      </c>
      <c r="D6" s="21"/>
      <c r="E6" s="22">
        <f>SUM(D6/C6)*100</f>
        <v>0</v>
      </c>
      <c r="F6" s="21"/>
      <c r="G6" s="17">
        <f>SUM(F6/C6)*100</f>
        <v>0</v>
      </c>
      <c r="H6" s="21"/>
      <c r="I6" s="81">
        <f aca="true" t="shared" si="1" ref="I6:I17">SUM(H6/C6)*100</f>
        <v>0</v>
      </c>
      <c r="J6" s="16">
        <v>67090</v>
      </c>
      <c r="K6" s="17">
        <f aca="true" t="shared" si="2" ref="K6:K17">SUM(J6/C6)*100</f>
        <v>100</v>
      </c>
      <c r="L6" s="16">
        <f t="shared" si="0"/>
        <v>0</v>
      </c>
      <c r="M6" s="23">
        <f>SUM(L6/C6)*100</f>
        <v>0</v>
      </c>
    </row>
    <row r="7" spans="2:13" ht="12" customHeight="1">
      <c r="B7" s="14" t="s">
        <v>88</v>
      </c>
      <c r="C7" s="20">
        <f>40000+65081-4709+15000+3322+7898+4595+6741+2247+8182+3328+697+4165+57513</f>
        <v>214060</v>
      </c>
      <c r="D7" s="21">
        <v>105081</v>
      </c>
      <c r="E7" s="22">
        <f>SUM(D7/C7)*100</f>
        <v>49.08950761468747</v>
      </c>
      <c r="F7" s="21"/>
      <c r="G7" s="17">
        <f>SUM(F7/C7)*100</f>
        <v>0</v>
      </c>
      <c r="H7" s="21"/>
      <c r="I7" s="81">
        <f t="shared" si="1"/>
        <v>0</v>
      </c>
      <c r="J7" s="16">
        <f>-4079+15000+3322+7898+4595+6741+2247+15742</f>
        <v>51466</v>
      </c>
      <c r="K7" s="17">
        <f t="shared" si="2"/>
        <v>24.04279174063347</v>
      </c>
      <c r="L7" s="16">
        <f t="shared" si="0"/>
        <v>57513</v>
      </c>
      <c r="M7" s="23">
        <f>SUM(L7/C7)*100</f>
        <v>26.86770064467906</v>
      </c>
    </row>
    <row r="8" spans="2:13" ht="12" customHeight="1">
      <c r="B8" s="121" t="s">
        <v>91</v>
      </c>
      <c r="C8" s="20"/>
      <c r="D8" s="21"/>
      <c r="E8" s="22"/>
      <c r="F8" s="21"/>
      <c r="G8" s="22"/>
      <c r="H8" s="21"/>
      <c r="I8" s="81"/>
      <c r="J8" s="16"/>
      <c r="K8" s="17"/>
      <c r="L8" s="16"/>
      <c r="M8" s="23"/>
    </row>
    <row r="9" spans="2:13" ht="12" customHeight="1">
      <c r="B9" s="14" t="s">
        <v>87</v>
      </c>
      <c r="C9" s="20">
        <f>9405+3912+784+3283</f>
        <v>17384</v>
      </c>
      <c r="D9" s="21"/>
      <c r="E9" s="22">
        <f>SUM(D9/C9)*100</f>
        <v>0</v>
      </c>
      <c r="F9" s="21"/>
      <c r="G9" s="22">
        <f aca="true" t="shared" si="3" ref="G9:G19">SUM(F9/C9)*100</f>
        <v>0</v>
      </c>
      <c r="H9" s="21"/>
      <c r="I9" s="81">
        <f t="shared" si="1"/>
        <v>0</v>
      </c>
      <c r="J9" s="16">
        <v>17384</v>
      </c>
      <c r="K9" s="17">
        <f t="shared" si="2"/>
        <v>100</v>
      </c>
      <c r="L9" s="16">
        <f t="shared" si="0"/>
        <v>0</v>
      </c>
      <c r="M9" s="23">
        <f>SUM(L9/C9)*100</f>
        <v>0</v>
      </c>
    </row>
    <row r="10" spans="2:13" ht="12" customHeight="1" thickBot="1">
      <c r="B10" s="14" t="s">
        <v>88</v>
      </c>
      <c r="C10" s="20">
        <f>100000+16559+2019+650+9208</f>
        <v>128436</v>
      </c>
      <c r="D10" s="21">
        <v>100000</v>
      </c>
      <c r="E10" s="22">
        <f>SUM(D10/C10)*100</f>
        <v>77.85979009000592</v>
      </c>
      <c r="F10" s="21"/>
      <c r="G10" s="22">
        <f t="shared" si="3"/>
        <v>0</v>
      </c>
      <c r="H10" s="21"/>
      <c r="I10" s="81">
        <f t="shared" si="1"/>
        <v>0</v>
      </c>
      <c r="J10" s="16">
        <f>16559+2019+9858</f>
        <v>28436</v>
      </c>
      <c r="K10" s="17">
        <f t="shared" si="2"/>
        <v>22.140209909994084</v>
      </c>
      <c r="L10" s="16">
        <f t="shared" si="0"/>
        <v>0</v>
      </c>
      <c r="M10" s="23">
        <f>SUM(L10/C10)*100</f>
        <v>0</v>
      </c>
    </row>
    <row r="11" spans="2:13" s="37" customFormat="1" ht="12" customHeight="1" thickBot="1">
      <c r="B11" s="32" t="s">
        <v>42</v>
      </c>
      <c r="C11" s="29">
        <f>SUM(C5:C10)</f>
        <v>426970</v>
      </c>
      <c r="D11" s="29">
        <f>SUM(D5:D10)</f>
        <v>205081</v>
      </c>
      <c r="E11" s="73">
        <f>SUM(D11/C11)*100</f>
        <v>48.03171182987095</v>
      </c>
      <c r="F11" s="29">
        <f>SUM(F5:F10)</f>
        <v>0</v>
      </c>
      <c r="G11" s="73">
        <f t="shared" si="3"/>
        <v>0</v>
      </c>
      <c r="H11" s="29">
        <f>SUM(H5:H10)</f>
        <v>0</v>
      </c>
      <c r="I11" s="73">
        <f t="shared" si="1"/>
        <v>0</v>
      </c>
      <c r="J11" s="29">
        <f>SUM(J5:J10)</f>
        <v>164376</v>
      </c>
      <c r="K11" s="33">
        <f t="shared" si="2"/>
        <v>38.49825514673162</v>
      </c>
      <c r="L11" s="29">
        <f>SUM(L5:L10)</f>
        <v>57513</v>
      </c>
      <c r="M11" s="97">
        <f>SUM(L11/C11)*100</f>
        <v>13.470033023397429</v>
      </c>
    </row>
    <row r="12" spans="2:13" s="103" customFormat="1" ht="12" customHeight="1">
      <c r="B12" s="120" t="s">
        <v>86</v>
      </c>
      <c r="C12" s="20"/>
      <c r="D12" s="98"/>
      <c r="E12" s="22"/>
      <c r="F12" s="98"/>
      <c r="G12" s="99"/>
      <c r="H12" s="98"/>
      <c r="I12" s="100"/>
      <c r="J12" s="101"/>
      <c r="K12" s="102"/>
      <c r="L12" s="16"/>
      <c r="M12" s="23"/>
    </row>
    <row r="13" spans="2:13" s="103" customFormat="1" ht="12" customHeight="1">
      <c r="B13" s="14" t="s">
        <v>88</v>
      </c>
      <c r="C13" s="20">
        <v>49286</v>
      </c>
      <c r="D13" s="98"/>
      <c r="E13" s="22">
        <f>SUM(D13/C13)*100</f>
        <v>0</v>
      </c>
      <c r="F13" s="98"/>
      <c r="G13" s="99">
        <f t="shared" si="3"/>
        <v>0</v>
      </c>
      <c r="H13" s="98"/>
      <c r="I13" s="100">
        <f t="shared" si="1"/>
        <v>0</v>
      </c>
      <c r="J13" s="101"/>
      <c r="K13" s="102">
        <f t="shared" si="2"/>
        <v>0</v>
      </c>
      <c r="L13" s="16">
        <f>SUM(C13-D13-F13-H13-J13)</f>
        <v>49286</v>
      </c>
      <c r="M13" s="23">
        <f>SUM(L13/C13)*100</f>
        <v>100</v>
      </c>
    </row>
    <row r="14" spans="2:13" s="103" customFormat="1" ht="12" customHeight="1">
      <c r="B14" s="121" t="s">
        <v>91</v>
      </c>
      <c r="C14" s="20"/>
      <c r="D14" s="98"/>
      <c r="E14" s="22"/>
      <c r="F14" s="98"/>
      <c r="G14" s="99"/>
      <c r="H14" s="98"/>
      <c r="I14" s="100"/>
      <c r="J14" s="101"/>
      <c r="K14" s="102"/>
      <c r="L14" s="16"/>
      <c r="M14" s="23"/>
    </row>
    <row r="15" spans="2:13" s="103" customFormat="1" ht="12" customHeight="1">
      <c r="B15" s="14" t="s">
        <v>87</v>
      </c>
      <c r="C15" s="20">
        <f>12932-1125</f>
        <v>11807</v>
      </c>
      <c r="D15" s="98"/>
      <c r="E15" s="22">
        <f>SUM(D15/C15)*100</f>
        <v>0</v>
      </c>
      <c r="F15" s="98"/>
      <c r="G15" s="99">
        <f t="shared" si="3"/>
        <v>0</v>
      </c>
      <c r="H15" s="98"/>
      <c r="I15" s="100">
        <f t="shared" si="1"/>
        <v>0</v>
      </c>
      <c r="J15" s="101">
        <v>11807</v>
      </c>
      <c r="K15" s="102">
        <f t="shared" si="2"/>
        <v>100</v>
      </c>
      <c r="L15" s="16">
        <f>SUM(C15-D15-F15-H15-J15)</f>
        <v>0</v>
      </c>
      <c r="M15" s="23">
        <f>SUM(L15/C15)*100</f>
        <v>0</v>
      </c>
    </row>
    <row r="16" spans="2:13" s="103" customFormat="1" ht="12" customHeight="1" thickBot="1">
      <c r="B16" s="14" t="s">
        <v>88</v>
      </c>
      <c r="C16" s="25">
        <f>51955+688</f>
        <v>52643</v>
      </c>
      <c r="D16" s="104"/>
      <c r="E16" s="27">
        <f>SUM(D16/C16)*100</f>
        <v>0</v>
      </c>
      <c r="F16" s="104"/>
      <c r="G16" s="105">
        <f t="shared" si="3"/>
        <v>0</v>
      </c>
      <c r="H16" s="104"/>
      <c r="I16" s="100">
        <f t="shared" si="1"/>
        <v>0</v>
      </c>
      <c r="J16" s="106"/>
      <c r="K16" s="102">
        <f t="shared" si="2"/>
        <v>0</v>
      </c>
      <c r="L16" s="16">
        <f>SUM(C16-D16-F16-H16-J16)</f>
        <v>52643</v>
      </c>
      <c r="M16" s="96">
        <f>SUM(L16/C16)*100</f>
        <v>100</v>
      </c>
    </row>
    <row r="17" spans="2:13" s="37" customFormat="1" ht="12" customHeight="1" thickBot="1">
      <c r="B17" s="32" t="s">
        <v>41</v>
      </c>
      <c r="C17" s="29">
        <f>SUM(C12:C16)</f>
        <v>113736</v>
      </c>
      <c r="D17" s="29">
        <f aca="true" t="shared" si="4" ref="D17:L17">SUM(D12:D16)</f>
        <v>0</v>
      </c>
      <c r="E17" s="33">
        <f>SUM(D17/C17)*100</f>
        <v>0</v>
      </c>
      <c r="F17" s="29">
        <f t="shared" si="4"/>
        <v>0</v>
      </c>
      <c r="G17" s="33">
        <f t="shared" si="3"/>
        <v>0</v>
      </c>
      <c r="H17" s="29">
        <f t="shared" si="4"/>
        <v>0</v>
      </c>
      <c r="I17" s="73">
        <f t="shared" si="1"/>
        <v>0</v>
      </c>
      <c r="J17" s="29">
        <f>SUM(J12:J16)</f>
        <v>11807</v>
      </c>
      <c r="K17" s="33">
        <f t="shared" si="2"/>
        <v>10.381057888443411</v>
      </c>
      <c r="L17" s="29">
        <f t="shared" si="4"/>
        <v>101929</v>
      </c>
      <c r="M17" s="53">
        <f>SUM(L17/C17)*100</f>
        <v>89.61894211155659</v>
      </c>
    </row>
    <row r="18" spans="2:13" ht="12" customHeight="1">
      <c r="B18" s="121" t="s">
        <v>91</v>
      </c>
      <c r="C18" s="108"/>
      <c r="D18" s="109"/>
      <c r="E18" s="110"/>
      <c r="F18" s="109"/>
      <c r="G18" s="110"/>
      <c r="H18" s="109"/>
      <c r="I18" s="111"/>
      <c r="J18" s="109"/>
      <c r="K18" s="110"/>
      <c r="L18" s="109"/>
      <c r="M18" s="112"/>
    </row>
    <row r="19" spans="2:13" ht="12" customHeight="1" thickBot="1">
      <c r="B19" s="14" t="s">
        <v>88</v>
      </c>
      <c r="C19" s="30">
        <v>20000</v>
      </c>
      <c r="D19" s="31"/>
      <c r="E19" s="51">
        <f>SUM(D19/C19)*100</f>
        <v>0</v>
      </c>
      <c r="F19" s="31"/>
      <c r="G19" s="51">
        <f t="shared" si="3"/>
        <v>0</v>
      </c>
      <c r="H19" s="31"/>
      <c r="I19" s="83">
        <f>SUM(H19/C19)*100</f>
        <v>0</v>
      </c>
      <c r="J19" s="31"/>
      <c r="K19" s="51">
        <f>SUM(J19/C19)*100</f>
        <v>0</v>
      </c>
      <c r="L19" s="31">
        <f>SUM(C19-D19-F19-H19-J19)</f>
        <v>20000</v>
      </c>
      <c r="M19" s="52">
        <f>SUM(L19/C19)*100</f>
        <v>100</v>
      </c>
    </row>
    <row r="20" spans="2:13" ht="12" customHeight="1" thickBot="1">
      <c r="B20" s="32" t="s">
        <v>55</v>
      </c>
      <c r="C20" s="29">
        <f>SUM(C18:C19)</f>
        <v>20000</v>
      </c>
      <c r="D20" s="29">
        <f>SUM(D18:D19)</f>
        <v>0</v>
      </c>
      <c r="E20" s="73">
        <f>SUM(D20/C20)*100</f>
        <v>0</v>
      </c>
      <c r="F20" s="29">
        <f aca="true" t="shared" si="5" ref="F20:L20">SUM(F18:F19)</f>
        <v>0</v>
      </c>
      <c r="G20" s="73">
        <f t="shared" si="5"/>
        <v>0</v>
      </c>
      <c r="H20" s="29">
        <f t="shared" si="5"/>
        <v>0</v>
      </c>
      <c r="I20" s="73">
        <f t="shared" si="5"/>
        <v>0</v>
      </c>
      <c r="J20" s="29">
        <f t="shared" si="5"/>
        <v>0</v>
      </c>
      <c r="K20" s="33">
        <f t="shared" si="5"/>
        <v>0</v>
      </c>
      <c r="L20" s="29">
        <f t="shared" si="5"/>
        <v>20000</v>
      </c>
      <c r="M20" s="97">
        <f>SUM(L20/C20)*100</f>
        <v>100</v>
      </c>
    </row>
    <row r="21" spans="2:13" ht="12" customHeight="1">
      <c r="B21" s="121" t="s">
        <v>91</v>
      </c>
      <c r="C21" s="130"/>
      <c r="D21" s="130"/>
      <c r="E21" s="150"/>
      <c r="F21" s="130"/>
      <c r="G21" s="150"/>
      <c r="H21" s="130"/>
      <c r="I21" s="150"/>
      <c r="J21" s="130"/>
      <c r="K21" s="141"/>
      <c r="L21" s="130"/>
      <c r="M21" s="151"/>
    </row>
    <row r="22" spans="2:13" ht="12" customHeight="1" thickBot="1">
      <c r="B22" s="14" t="s">
        <v>88</v>
      </c>
      <c r="C22" s="139">
        <f>53+959</f>
        <v>1012</v>
      </c>
      <c r="D22" s="135"/>
      <c r="E22" s="152"/>
      <c r="F22" s="135"/>
      <c r="G22" s="152"/>
      <c r="H22" s="135"/>
      <c r="I22" s="152"/>
      <c r="J22" s="135"/>
      <c r="K22" s="137"/>
      <c r="L22" s="135"/>
      <c r="M22" s="153"/>
    </row>
    <row r="23" spans="2:13" ht="12" customHeight="1" thickBot="1">
      <c r="B23" s="32" t="s">
        <v>102</v>
      </c>
      <c r="C23" s="29">
        <f>SUM(C22)</f>
        <v>1012</v>
      </c>
      <c r="D23" s="29"/>
      <c r="E23" s="73"/>
      <c r="F23" s="29"/>
      <c r="G23" s="73"/>
      <c r="H23" s="29"/>
      <c r="I23" s="73"/>
      <c r="J23" s="29"/>
      <c r="K23" s="123"/>
      <c r="L23" s="29"/>
      <c r="M23" s="97"/>
    </row>
    <row r="24" spans="2:13" ht="12" customHeight="1">
      <c r="B24" s="121" t="s">
        <v>91</v>
      </c>
      <c r="C24" s="130"/>
      <c r="D24" s="130"/>
      <c r="E24" s="150"/>
      <c r="F24" s="130"/>
      <c r="G24" s="150"/>
      <c r="H24" s="130"/>
      <c r="I24" s="150"/>
      <c r="J24" s="130"/>
      <c r="K24" s="141"/>
      <c r="L24" s="130"/>
      <c r="M24" s="151"/>
    </row>
    <row r="25" spans="2:13" ht="12" customHeight="1" thickBot="1">
      <c r="B25" s="14" t="s">
        <v>88</v>
      </c>
      <c r="C25" s="139">
        <v>353</v>
      </c>
      <c r="D25" s="135"/>
      <c r="E25" s="152"/>
      <c r="F25" s="135"/>
      <c r="G25" s="152"/>
      <c r="H25" s="135"/>
      <c r="I25" s="152"/>
      <c r="J25" s="135"/>
      <c r="K25" s="137"/>
      <c r="L25" s="135"/>
      <c r="M25" s="153"/>
    </row>
    <row r="26" spans="2:13" ht="12" customHeight="1" thickBot="1">
      <c r="B26" s="32" t="s">
        <v>103</v>
      </c>
      <c r="C26" s="29">
        <f>SUM(C25)</f>
        <v>353</v>
      </c>
      <c r="D26" s="29"/>
      <c r="E26" s="73"/>
      <c r="F26" s="29"/>
      <c r="G26" s="73"/>
      <c r="H26" s="29"/>
      <c r="I26" s="73"/>
      <c r="J26" s="29"/>
      <c r="K26" s="123"/>
      <c r="L26" s="29"/>
      <c r="M26" s="97"/>
    </row>
    <row r="27" spans="2:13" ht="12" customHeight="1">
      <c r="B27" s="154" t="s">
        <v>91</v>
      </c>
      <c r="C27" s="130"/>
      <c r="D27" s="130"/>
      <c r="E27" s="150"/>
      <c r="F27" s="130"/>
      <c r="G27" s="150"/>
      <c r="H27" s="130"/>
      <c r="I27" s="150"/>
      <c r="J27" s="130"/>
      <c r="K27" s="141"/>
      <c r="L27" s="130"/>
      <c r="M27" s="151"/>
    </row>
    <row r="28" spans="2:13" ht="12" customHeight="1" thickBot="1">
      <c r="B28" s="50" t="s">
        <v>88</v>
      </c>
      <c r="C28" s="139">
        <f>170+559</f>
        <v>729</v>
      </c>
      <c r="D28" s="135"/>
      <c r="E28" s="152"/>
      <c r="F28" s="135"/>
      <c r="G28" s="152"/>
      <c r="H28" s="135"/>
      <c r="I28" s="152"/>
      <c r="J28" s="135"/>
      <c r="K28" s="137"/>
      <c r="L28" s="135"/>
      <c r="M28" s="153"/>
    </row>
    <row r="29" spans="2:13" ht="12" customHeight="1" thickBot="1">
      <c r="B29" s="32" t="s">
        <v>104</v>
      </c>
      <c r="C29" s="29">
        <f>SUM(C28)</f>
        <v>729</v>
      </c>
      <c r="D29" s="29"/>
      <c r="E29" s="73"/>
      <c r="F29" s="29"/>
      <c r="G29" s="73"/>
      <c r="H29" s="29"/>
      <c r="I29" s="73"/>
      <c r="J29" s="29"/>
      <c r="K29" s="123"/>
      <c r="L29" s="29"/>
      <c r="M29" s="97"/>
    </row>
    <row r="30" spans="2:16" s="4" customFormat="1" ht="12" customHeight="1" thickBot="1">
      <c r="B30" s="28" t="s">
        <v>20</v>
      </c>
      <c r="C30" s="29">
        <f>SUM(C20,C17,C11,C23,C26,C29)</f>
        <v>562800</v>
      </c>
      <c r="D30" s="29">
        <f aca="true" t="shared" si="6" ref="D30:L30">SUM(D20,D17,D11)</f>
        <v>205081</v>
      </c>
      <c r="E30" s="73">
        <f>SUM(D30/C30)*100</f>
        <v>36.43941009239517</v>
      </c>
      <c r="F30" s="29">
        <f t="shared" si="6"/>
        <v>0</v>
      </c>
      <c r="G30" s="73">
        <f>SUM(G19:G20)</f>
        <v>0</v>
      </c>
      <c r="H30" s="29">
        <f t="shared" si="6"/>
        <v>0</v>
      </c>
      <c r="I30" s="73">
        <f>SUM(I19:I20)</f>
        <v>0</v>
      </c>
      <c r="J30" s="29">
        <f t="shared" si="6"/>
        <v>176183</v>
      </c>
      <c r="K30" s="51">
        <f>SUM(J30/C30)*100</f>
        <v>31.3047263681592</v>
      </c>
      <c r="L30" s="29">
        <f t="shared" si="6"/>
        <v>179442</v>
      </c>
      <c r="M30" s="97">
        <f>SUM(L30/C30)*100</f>
        <v>31.883795309168445</v>
      </c>
      <c r="O30" s="113"/>
      <c r="P30" s="113"/>
    </row>
    <row r="31" spans="2:13" ht="12.75">
      <c r="B31" s="8"/>
      <c r="C31" s="9"/>
      <c r="D31" s="9"/>
      <c r="E31" s="13"/>
      <c r="F31" s="9"/>
      <c r="G31" s="10"/>
      <c r="H31" s="77"/>
      <c r="I31" s="86"/>
      <c r="J31" s="11"/>
      <c r="K31" s="89"/>
      <c r="L31" s="12"/>
      <c r="M31" s="8"/>
    </row>
    <row r="32" spans="8:11" s="3" customFormat="1" ht="12.75">
      <c r="H32" s="75"/>
      <c r="I32" s="75"/>
      <c r="J32" s="75"/>
      <c r="K32" s="75"/>
    </row>
    <row r="34" ht="12.75">
      <c r="J34" s="75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67" t="s">
        <v>34</v>
      </c>
      <c r="L1" s="167"/>
    </row>
    <row r="2" spans="1:12" ht="12.75">
      <c r="A2" s="168" t="s">
        <v>105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75</v>
      </c>
      <c r="C5" s="61" t="s">
        <v>89</v>
      </c>
      <c r="D5" s="62" t="s">
        <v>76</v>
      </c>
      <c r="E5" s="61" t="s">
        <v>65</v>
      </c>
      <c r="F5" s="62" t="s">
        <v>77</v>
      </c>
      <c r="G5" s="61" t="s">
        <v>90</v>
      </c>
      <c r="H5" s="62" t="s">
        <v>79</v>
      </c>
      <c r="I5" s="62" t="s">
        <v>82</v>
      </c>
      <c r="J5" s="62" t="s">
        <v>51</v>
      </c>
      <c r="K5" s="63" t="s">
        <v>80</v>
      </c>
      <c r="L5" s="71" t="s">
        <v>81</v>
      </c>
    </row>
    <row r="6" spans="1:12" ht="12.75">
      <c r="A6" s="120"/>
      <c r="B6" s="15"/>
      <c r="C6" s="15"/>
      <c r="D6" s="124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106</v>
      </c>
      <c r="B7" s="20">
        <f>8000000+2000000</f>
        <v>10000000</v>
      </c>
      <c r="C7" s="20"/>
      <c r="D7" s="125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10000000</v>
      </c>
      <c r="L7" s="23">
        <f>SUM(K7/B7)*100</f>
        <v>100</v>
      </c>
    </row>
    <row r="8" spans="1:12" ht="13.5" thickBot="1">
      <c r="A8" s="14"/>
      <c r="B8" s="20"/>
      <c r="C8" s="20"/>
      <c r="D8" s="125"/>
      <c r="E8" s="21"/>
      <c r="F8" s="22"/>
      <c r="G8" s="21"/>
      <c r="H8" s="22"/>
      <c r="I8" s="21"/>
      <c r="J8" s="17"/>
      <c r="K8" s="21"/>
      <c r="L8" s="23"/>
    </row>
    <row r="9" spans="1:12" s="37" customFormat="1" ht="13.5" thickBot="1">
      <c r="A9" s="32" t="s">
        <v>42</v>
      </c>
      <c r="B9" s="29">
        <f>SUM(B6:B8)</f>
        <v>10000000</v>
      </c>
      <c r="C9" s="29">
        <f>SUM(C6:C8)</f>
        <v>0</v>
      </c>
      <c r="D9" s="127">
        <f>SUM(C9/B9)*100</f>
        <v>0</v>
      </c>
      <c r="E9" s="29">
        <f>SUM(E6:E8)</f>
        <v>0</v>
      </c>
      <c r="F9" s="73">
        <f>SUM(E9/B9*100)</f>
        <v>0</v>
      </c>
      <c r="G9" s="29">
        <f>SUM(G6:G8)</f>
        <v>0</v>
      </c>
      <c r="H9" s="33">
        <f>SUM(G9/B9*100)</f>
        <v>0</v>
      </c>
      <c r="I9" s="29">
        <f>SUM(I6:I8)</f>
        <v>0</v>
      </c>
      <c r="J9" s="33">
        <f>SUM(I9/B9*100)</f>
        <v>0</v>
      </c>
      <c r="K9" s="29">
        <f>SUM(K6:K8)</f>
        <v>10000000</v>
      </c>
      <c r="L9" s="53">
        <f>SUM(K9/B9)*100</f>
        <v>100</v>
      </c>
    </row>
    <row r="10" spans="3:11" ht="12.75">
      <c r="C10" s="6"/>
      <c r="D10" s="93"/>
      <c r="E10" s="3"/>
      <c r="F10" s="2"/>
      <c r="G10" s="3"/>
      <c r="H10" s="2"/>
      <c r="I10" s="2"/>
      <c r="J10" s="2"/>
      <c r="K10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PageLayoutView="0" workbookViewId="0" topLeftCell="B1">
      <selection activeCell="B6" sqref="B6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70" t="s">
        <v>33</v>
      </c>
      <c r="M1" s="170"/>
    </row>
    <row r="2" spans="2:13" ht="18" customHeight="1">
      <c r="B2" s="169" t="s">
        <v>107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70</v>
      </c>
      <c r="D4" s="61" t="s">
        <v>89</v>
      </c>
      <c r="E4" s="62" t="s">
        <v>76</v>
      </c>
      <c r="F4" s="61" t="s">
        <v>65</v>
      </c>
      <c r="G4" s="62" t="s">
        <v>77</v>
      </c>
      <c r="H4" s="61" t="s">
        <v>90</v>
      </c>
      <c r="I4" s="62" t="s">
        <v>79</v>
      </c>
      <c r="J4" s="62" t="s">
        <v>82</v>
      </c>
      <c r="K4" s="62" t="s">
        <v>51</v>
      </c>
      <c r="L4" s="63" t="s">
        <v>80</v>
      </c>
      <c r="M4" s="71" t="s">
        <v>81</v>
      </c>
    </row>
    <row r="5" spans="2:13" ht="12" customHeight="1">
      <c r="B5" s="120" t="s">
        <v>111</v>
      </c>
      <c r="C5" s="20"/>
      <c r="D5" s="21"/>
      <c r="E5" s="22"/>
      <c r="F5" s="21"/>
      <c r="G5" s="17"/>
      <c r="H5" s="21"/>
      <c r="I5" s="81"/>
      <c r="J5" s="16"/>
      <c r="K5" s="17"/>
      <c r="L5" s="16">
        <f>SUM(C5-D5-F5-H5-J5)</f>
        <v>0</v>
      </c>
      <c r="M5" s="23"/>
    </row>
    <row r="6" spans="2:13" ht="12" customHeight="1">
      <c r="B6" s="14" t="s">
        <v>108</v>
      </c>
      <c r="C6" s="20">
        <f>4922831+50392</f>
        <v>4973223</v>
      </c>
      <c r="D6" s="21"/>
      <c r="E6" s="22">
        <f>SUM(D6/C6)*100</f>
        <v>0</v>
      </c>
      <c r="F6" s="21"/>
      <c r="G6" s="17">
        <f>SUM(F6/C6)*100</f>
        <v>0</v>
      </c>
      <c r="H6" s="21"/>
      <c r="I6" s="81">
        <f>SUM(H6/C6)*100</f>
        <v>0</v>
      </c>
      <c r="J6" s="16"/>
      <c r="K6" s="17">
        <f>SUM(J6/C6)*100</f>
        <v>0</v>
      </c>
      <c r="L6" s="16">
        <f>SUM(C6-D6-F6-H6-J6)</f>
        <v>4973223</v>
      </c>
      <c r="M6" s="23">
        <f>SUM(L6/C6)*100</f>
        <v>100</v>
      </c>
    </row>
    <row r="7" spans="2:13" ht="12" customHeight="1">
      <c r="B7" s="14" t="s">
        <v>109</v>
      </c>
      <c r="C7" s="20">
        <f>132505+1870</f>
        <v>134375</v>
      </c>
      <c r="D7" s="21"/>
      <c r="E7" s="22">
        <f>SUM(D7/C7)*100</f>
        <v>0</v>
      </c>
      <c r="F7" s="21"/>
      <c r="G7" s="22">
        <f>SUM(F7/C7)*100</f>
        <v>0</v>
      </c>
      <c r="H7" s="21"/>
      <c r="I7" s="81">
        <f>SUM(H7/C7)*100</f>
        <v>0</v>
      </c>
      <c r="J7" s="16"/>
      <c r="K7" s="17">
        <f>SUM(J7/C7)*100</f>
        <v>0</v>
      </c>
      <c r="L7" s="16">
        <f>SUM(C7-D7-F7-H7-J7)</f>
        <v>134375</v>
      </c>
      <c r="M7" s="23">
        <f>SUM(L7/C7)*100</f>
        <v>100</v>
      </c>
    </row>
    <row r="8" spans="2:13" ht="12" customHeight="1" thickBot="1">
      <c r="B8" s="14" t="s">
        <v>110</v>
      </c>
      <c r="C8" s="20">
        <v>78915</v>
      </c>
      <c r="D8" s="21"/>
      <c r="E8" s="22">
        <f>SUM(D8/C8)*100</f>
        <v>0</v>
      </c>
      <c r="F8" s="21"/>
      <c r="G8" s="22">
        <f>SUM(F8/C8)*100</f>
        <v>0</v>
      </c>
      <c r="H8" s="21"/>
      <c r="I8" s="81">
        <f>SUM(H8/C8)*100</f>
        <v>0</v>
      </c>
      <c r="J8" s="16"/>
      <c r="K8" s="17">
        <f>SUM(J8/C8)*100</f>
        <v>0</v>
      </c>
      <c r="L8" s="16">
        <f>SUM(C8-D8-F8-H8-J8)</f>
        <v>78915</v>
      </c>
      <c r="M8" s="23">
        <f>SUM(L8/C8)*100</f>
        <v>100</v>
      </c>
    </row>
    <row r="9" spans="2:13" s="37" customFormat="1" ht="12" customHeight="1" thickBot="1">
      <c r="B9" s="32" t="s">
        <v>42</v>
      </c>
      <c r="C9" s="29">
        <f>SUM(C5:C8)</f>
        <v>5186513</v>
      </c>
      <c r="D9" s="29">
        <f>SUM(D5:D8)</f>
        <v>0</v>
      </c>
      <c r="E9" s="73">
        <f>SUM(D9/C9)*100</f>
        <v>0</v>
      </c>
      <c r="F9" s="29">
        <f>SUM(F5:F8)</f>
        <v>0</v>
      </c>
      <c r="G9" s="73">
        <f>SUM(F9/C9)*100</f>
        <v>0</v>
      </c>
      <c r="H9" s="29">
        <f>SUM(H5:H8)</f>
        <v>0</v>
      </c>
      <c r="I9" s="73">
        <f>SUM(H9/C9)*100</f>
        <v>0</v>
      </c>
      <c r="J9" s="29">
        <f>SUM(J5:J8)</f>
        <v>0</v>
      </c>
      <c r="K9" s="33">
        <f>SUM(J9/C9)*100</f>
        <v>0</v>
      </c>
      <c r="L9" s="29">
        <f>SUM(L5:L8)</f>
        <v>5186513</v>
      </c>
      <c r="M9" s="97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2017-10-16T14:55:46Z</cp:lastPrinted>
  <dcterms:created xsi:type="dcterms:W3CDTF">2009-02-04T11:37:44Z</dcterms:created>
  <dcterms:modified xsi:type="dcterms:W3CDTF">2017-10-16T16:06:09Z</dcterms:modified>
  <cp:category/>
  <cp:version/>
  <cp:contentType/>
  <cp:contentStatus/>
</cp:coreProperties>
</file>