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zilvi\Documents\2019\2019. KÖLTSÉGVETÉS\TESTÜLETI ANYAG RENDELET\06.30. módosítás\"/>
    </mc:Choice>
  </mc:AlternateContent>
  <xr:revisionPtr revIDLastSave="0" documentId="13_ncr:1_{E6329D05-7DC8-4C4C-AE83-EC86546E06EC}" xr6:coauthVersionLast="45" xr6:coauthVersionMax="45" xr10:uidLastSave="{00000000-0000-0000-0000-000000000000}"/>
  <bookViews>
    <workbookView xWindow="-108" yWindow="-108" windowWidth="23256" windowHeight="12576" tabRatio="733" xr2:uid="{00000000-000D-0000-FFFF-FFFF00000000}"/>
  </bookViews>
  <sheets>
    <sheet name="1.  melléklet (2)" sheetId="14" r:id="rId1"/>
    <sheet name="2. melléklet (2)" sheetId="15" r:id="rId2"/>
    <sheet name="3. melléklet  (2)" sheetId="16" r:id="rId3"/>
    <sheet name="4. melléklet (2)" sheetId="17" r:id="rId4"/>
    <sheet name="5. melléklet  (2)" sheetId="18" r:id="rId5"/>
    <sheet name="6. melléklet" sheetId="20" r:id="rId6"/>
    <sheet name="7.  melléklet" sheetId="12" r:id="rId7"/>
    <sheet name="8. melléklet (2)" sheetId="21" r:id="rId8"/>
    <sheet name="9. melléklet(2)" sheetId="22" r:id="rId9"/>
  </sheets>
  <externalReferences>
    <externalReference r:id="rId10"/>
  </externalReferences>
  <definedNames>
    <definedName name="_xlnm.Print_Titles" localSheetId="0">'1.  melléklet (2)'!$1:$3</definedName>
    <definedName name="_xlnm.Print_Titles" localSheetId="1">'2. melléklet (2)'!$A:$A,'2. melléklet (2)'!$4:$4</definedName>
    <definedName name="_xlnm.Print_Titles" localSheetId="2">'3. melléklet  (2)'!$B:$B</definedName>
    <definedName name="_xlnm.Print_Titles" localSheetId="4">'5. melléklet  (2)'!$1:$2</definedName>
    <definedName name="_xlnm.Print_Area" localSheetId="2">'3. melléklet  (2)'!$A$1:$AF$51</definedName>
    <definedName name="_xlnm.Print_Area" localSheetId="8">'9. melléklet(2)'!$A$1:$O$138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8" i="22" l="1"/>
  <c r="D124" i="22" s="1"/>
  <c r="O137" i="22"/>
  <c r="N136" i="22"/>
  <c r="N138" i="22" s="1"/>
  <c r="M136" i="22"/>
  <c r="M138" i="22" s="1"/>
  <c r="J136" i="22"/>
  <c r="J138" i="22" s="1"/>
  <c r="J124" i="22" s="1"/>
  <c r="J125" i="22" s="1"/>
  <c r="I136" i="22"/>
  <c r="I138" i="22" s="1"/>
  <c r="I124" i="22" s="1"/>
  <c r="O135" i="22"/>
  <c r="O134" i="22"/>
  <c r="O133" i="22"/>
  <c r="O132" i="22"/>
  <c r="O131" i="22"/>
  <c r="N130" i="22"/>
  <c r="M130" i="22"/>
  <c r="L130" i="22"/>
  <c r="L136" i="22" s="1"/>
  <c r="L138" i="22" s="1"/>
  <c r="L124" i="22" s="1"/>
  <c r="K130" i="22"/>
  <c r="K136" i="22" s="1"/>
  <c r="K138" i="22" s="1"/>
  <c r="K124" i="22" s="1"/>
  <c r="J130" i="22"/>
  <c r="I130" i="22"/>
  <c r="H130" i="22"/>
  <c r="G130" i="22"/>
  <c r="H129" i="22"/>
  <c r="G129" i="22"/>
  <c r="F129" i="22"/>
  <c r="E129" i="22"/>
  <c r="D129" i="22"/>
  <c r="C129" i="22"/>
  <c r="O129" i="22" s="1"/>
  <c r="H128" i="22"/>
  <c r="H136" i="22" s="1"/>
  <c r="H138" i="22" s="1"/>
  <c r="G128" i="22"/>
  <c r="F128" i="22"/>
  <c r="F136" i="22" s="1"/>
  <c r="F138" i="22" s="1"/>
  <c r="F124" i="22" s="1"/>
  <c r="F125" i="22" s="1"/>
  <c r="E128" i="22"/>
  <c r="E136" i="22" s="1"/>
  <c r="E138" i="22" s="1"/>
  <c r="E124" i="22" s="1"/>
  <c r="D128" i="22"/>
  <c r="D136" i="22" s="1"/>
  <c r="C128" i="22"/>
  <c r="K125" i="22"/>
  <c r="M123" i="22"/>
  <c r="L123" i="22"/>
  <c r="K123" i="22"/>
  <c r="J123" i="22"/>
  <c r="I123" i="22"/>
  <c r="G123" i="22"/>
  <c r="F123" i="22"/>
  <c r="E123" i="22"/>
  <c r="D123" i="22"/>
  <c r="C123" i="22"/>
  <c r="O122" i="22"/>
  <c r="O121" i="22"/>
  <c r="O120" i="22"/>
  <c r="O119" i="22"/>
  <c r="O118" i="22"/>
  <c r="O117" i="22"/>
  <c r="N116" i="22"/>
  <c r="N123" i="22" s="1"/>
  <c r="I116" i="22"/>
  <c r="H116" i="22"/>
  <c r="L111" i="22"/>
  <c r="K111" i="22"/>
  <c r="H111" i="22"/>
  <c r="H97" i="22" s="1"/>
  <c r="D111" i="22"/>
  <c r="D97" i="22" s="1"/>
  <c r="D54" i="22" s="1"/>
  <c r="O110" i="22"/>
  <c r="N109" i="22"/>
  <c r="N111" i="22" s="1"/>
  <c r="N97" i="22" s="1"/>
  <c r="N98" i="22" s="1"/>
  <c r="M109" i="22"/>
  <c r="M111" i="22" s="1"/>
  <c r="L109" i="22"/>
  <c r="K109" i="22"/>
  <c r="J109" i="22"/>
  <c r="J111" i="22" s="1"/>
  <c r="J97" i="22" s="1"/>
  <c r="J98" i="22" s="1"/>
  <c r="I109" i="22"/>
  <c r="I111" i="22" s="1"/>
  <c r="F109" i="22"/>
  <c r="F111" i="22" s="1"/>
  <c r="F97" i="22" s="1"/>
  <c r="F98" i="22" s="1"/>
  <c r="O108" i="22"/>
  <c r="O107" i="22"/>
  <c r="O106" i="22"/>
  <c r="O105" i="22"/>
  <c r="O104" i="22"/>
  <c r="O103" i="22"/>
  <c r="H102" i="22"/>
  <c r="G102" i="22"/>
  <c r="G18" i="22" s="1"/>
  <c r="F102" i="22"/>
  <c r="E102" i="22"/>
  <c r="D102" i="22"/>
  <c r="C102" i="22"/>
  <c r="H101" i="22"/>
  <c r="H109" i="22" s="1"/>
  <c r="G101" i="22"/>
  <c r="F101" i="22"/>
  <c r="E101" i="22"/>
  <c r="E109" i="22" s="1"/>
  <c r="E111" i="22" s="1"/>
  <c r="D101" i="22"/>
  <c r="D109" i="22" s="1"/>
  <c r="C101" i="22"/>
  <c r="K98" i="22"/>
  <c r="L97" i="22"/>
  <c r="L54" i="22" s="1"/>
  <c r="K97" i="22"/>
  <c r="N96" i="22"/>
  <c r="M96" i="22"/>
  <c r="L96" i="22"/>
  <c r="K96" i="22"/>
  <c r="J96" i="22"/>
  <c r="I96" i="22"/>
  <c r="H96" i="22"/>
  <c r="G96" i="22"/>
  <c r="F96" i="22"/>
  <c r="E96" i="22"/>
  <c r="D96" i="22"/>
  <c r="C96" i="22"/>
  <c r="O95" i="22"/>
  <c r="O94" i="22"/>
  <c r="O93" i="22"/>
  <c r="O92" i="22"/>
  <c r="O91" i="22"/>
  <c r="O90" i="22"/>
  <c r="O89" i="22"/>
  <c r="O82" i="22"/>
  <c r="N81" i="22"/>
  <c r="N83" i="22" s="1"/>
  <c r="N69" i="22" s="1"/>
  <c r="K81" i="22"/>
  <c r="K83" i="22" s="1"/>
  <c r="K69" i="22" s="1"/>
  <c r="J81" i="22"/>
  <c r="J83" i="22" s="1"/>
  <c r="G81" i="22"/>
  <c r="G83" i="22" s="1"/>
  <c r="G69" i="22" s="1"/>
  <c r="C81" i="22"/>
  <c r="C83" i="22" s="1"/>
  <c r="C69" i="22" s="1"/>
  <c r="O80" i="22"/>
  <c r="O79" i="22"/>
  <c r="O78" i="22"/>
  <c r="O77" i="22"/>
  <c r="O76" i="22"/>
  <c r="G75" i="22"/>
  <c r="F75" i="22"/>
  <c r="N74" i="22"/>
  <c r="M74" i="22"/>
  <c r="M81" i="22" s="1"/>
  <c r="M83" i="22" s="1"/>
  <c r="M69" i="22" s="1"/>
  <c r="L74" i="22"/>
  <c r="L81" i="22" s="1"/>
  <c r="L83" i="22" s="1"/>
  <c r="L69" i="22" s="1"/>
  <c r="K74" i="22"/>
  <c r="J74" i="22"/>
  <c r="H74" i="22"/>
  <c r="H18" i="22" s="1"/>
  <c r="G74" i="22"/>
  <c r="D74" i="22"/>
  <c r="D81" i="22" s="1"/>
  <c r="D83" i="22" s="1"/>
  <c r="D69" i="22" s="1"/>
  <c r="I73" i="22"/>
  <c r="H73" i="22"/>
  <c r="G73" i="22"/>
  <c r="E73" i="22"/>
  <c r="L70" i="22"/>
  <c r="D70" i="22"/>
  <c r="N68" i="22"/>
  <c r="M68" i="22"/>
  <c r="L68" i="22"/>
  <c r="K68" i="22"/>
  <c r="J68" i="22"/>
  <c r="I68" i="22"/>
  <c r="H68" i="22"/>
  <c r="G68" i="22"/>
  <c r="F68" i="22"/>
  <c r="E68" i="22"/>
  <c r="D68" i="22"/>
  <c r="C68" i="22"/>
  <c r="O68" i="22" s="1"/>
  <c r="O67" i="22"/>
  <c r="O66" i="22"/>
  <c r="O65" i="22"/>
  <c r="O64" i="22"/>
  <c r="O63" i="22"/>
  <c r="O62" i="22"/>
  <c r="I61" i="22"/>
  <c r="O61" i="22" s="1"/>
  <c r="M53" i="22"/>
  <c r="I53" i="22"/>
  <c r="E53" i="22"/>
  <c r="O52" i="22"/>
  <c r="K51" i="22"/>
  <c r="J51" i="22"/>
  <c r="I51" i="22"/>
  <c r="H51" i="22"/>
  <c r="O51" i="22" s="1"/>
  <c r="G51" i="22"/>
  <c r="H50" i="22"/>
  <c r="F50" i="22"/>
  <c r="N49" i="22"/>
  <c r="N53" i="22" s="1"/>
  <c r="M49" i="22"/>
  <c r="L49" i="22"/>
  <c r="L21" i="22" s="1"/>
  <c r="K49" i="22"/>
  <c r="K53" i="22" s="1"/>
  <c r="J49" i="22"/>
  <c r="J53" i="22" s="1"/>
  <c r="I49" i="22"/>
  <c r="H49" i="22"/>
  <c r="G49" i="22"/>
  <c r="G21" i="22" s="1"/>
  <c r="F49" i="22"/>
  <c r="E49" i="22"/>
  <c r="D49" i="22"/>
  <c r="C49" i="22"/>
  <c r="O49" i="22" s="1"/>
  <c r="O48" i="22"/>
  <c r="L47" i="22"/>
  <c r="L53" i="22" s="1"/>
  <c r="I47" i="22"/>
  <c r="I19" i="22" s="1"/>
  <c r="H47" i="22"/>
  <c r="G47" i="22"/>
  <c r="G53" i="22" s="1"/>
  <c r="F47" i="22"/>
  <c r="O46" i="22"/>
  <c r="H45" i="22"/>
  <c r="F45" i="22"/>
  <c r="F53" i="22" s="1"/>
  <c r="C45" i="22"/>
  <c r="C53" i="22" s="1"/>
  <c r="M42" i="22"/>
  <c r="L42" i="22"/>
  <c r="I42" i="22"/>
  <c r="O41" i="22"/>
  <c r="N40" i="22"/>
  <c r="N42" i="22" s="1"/>
  <c r="M40" i="22"/>
  <c r="L40" i="22"/>
  <c r="K40" i="22"/>
  <c r="K42" i="22" s="1"/>
  <c r="J40" i="22"/>
  <c r="J42" i="22" s="1"/>
  <c r="I40" i="22"/>
  <c r="C40" i="22"/>
  <c r="C42" i="22" s="1"/>
  <c r="O39" i="22"/>
  <c r="O38" i="22"/>
  <c r="O37" i="22"/>
  <c r="O36" i="22"/>
  <c r="H35" i="22"/>
  <c r="G35" i="22"/>
  <c r="D35" i="22"/>
  <c r="O34" i="22"/>
  <c r="H33" i="22"/>
  <c r="H40" i="22" s="1"/>
  <c r="H42" i="22" s="1"/>
  <c r="G33" i="22"/>
  <c r="G6" i="22" s="1"/>
  <c r="F33" i="22"/>
  <c r="F40" i="22" s="1"/>
  <c r="F42" i="22" s="1"/>
  <c r="E33" i="22"/>
  <c r="E40" i="22" s="1"/>
  <c r="E42" i="22" s="1"/>
  <c r="D33" i="22"/>
  <c r="D40" i="22" s="1"/>
  <c r="D42" i="22" s="1"/>
  <c r="C33" i="22"/>
  <c r="O33" i="22" s="1"/>
  <c r="O26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O24" i="22" s="1"/>
  <c r="N23" i="22"/>
  <c r="M23" i="22"/>
  <c r="L23" i="22"/>
  <c r="K23" i="22"/>
  <c r="J23" i="22"/>
  <c r="I23" i="22"/>
  <c r="H23" i="22"/>
  <c r="G23" i="22"/>
  <c r="F23" i="22"/>
  <c r="E23" i="22"/>
  <c r="D23" i="22"/>
  <c r="C23" i="22"/>
  <c r="N22" i="22"/>
  <c r="M22" i="22"/>
  <c r="L22" i="22"/>
  <c r="K22" i="22"/>
  <c r="J22" i="22"/>
  <c r="I22" i="22"/>
  <c r="H22" i="22"/>
  <c r="G22" i="22"/>
  <c r="E22" i="22"/>
  <c r="D22" i="22"/>
  <c r="C22" i="22"/>
  <c r="N21" i="22"/>
  <c r="M21" i="22"/>
  <c r="J21" i="22"/>
  <c r="I21" i="22"/>
  <c r="F21" i="22"/>
  <c r="E21" i="22"/>
  <c r="N20" i="22"/>
  <c r="M20" i="22"/>
  <c r="L20" i="22"/>
  <c r="K20" i="22"/>
  <c r="J20" i="22"/>
  <c r="J25" i="22" s="1"/>
  <c r="J27" i="22" s="1"/>
  <c r="I20" i="22"/>
  <c r="H20" i="22"/>
  <c r="G20" i="22"/>
  <c r="F20" i="22"/>
  <c r="E20" i="22"/>
  <c r="D20" i="22"/>
  <c r="C20" i="22"/>
  <c r="O20" i="22" s="1"/>
  <c r="N19" i="22"/>
  <c r="M19" i="22"/>
  <c r="L19" i="22"/>
  <c r="K19" i="22"/>
  <c r="J19" i="22"/>
  <c r="H19" i="22"/>
  <c r="G19" i="22"/>
  <c r="E19" i="22"/>
  <c r="D19" i="22"/>
  <c r="C19" i="22"/>
  <c r="N18" i="22"/>
  <c r="M18" i="22"/>
  <c r="L18" i="22"/>
  <c r="K18" i="22"/>
  <c r="J18" i="22"/>
  <c r="F18" i="22"/>
  <c r="D18" i="22"/>
  <c r="N17" i="22"/>
  <c r="N25" i="22" s="1"/>
  <c r="N27" i="22" s="1"/>
  <c r="M17" i="22"/>
  <c r="L17" i="22"/>
  <c r="K17" i="22"/>
  <c r="J17" i="22"/>
  <c r="I17" i="22"/>
  <c r="H17" i="22"/>
  <c r="G17" i="22"/>
  <c r="G25" i="22" s="1"/>
  <c r="G27" i="22" s="1"/>
  <c r="D17" i="22"/>
  <c r="O14" i="22"/>
  <c r="G14" i="22"/>
  <c r="I13" i="22"/>
  <c r="I15" i="22" s="1"/>
  <c r="N12" i="22"/>
  <c r="M12" i="22"/>
  <c r="L12" i="22"/>
  <c r="K12" i="22"/>
  <c r="J12" i="22"/>
  <c r="J13" i="22" s="1"/>
  <c r="J15" i="22" s="1"/>
  <c r="I12" i="22"/>
  <c r="H12" i="22"/>
  <c r="G12" i="22"/>
  <c r="F12" i="22"/>
  <c r="E12" i="22"/>
  <c r="D12" i="22"/>
  <c r="C12" i="22"/>
  <c r="O12" i="22" s="1"/>
  <c r="N11" i="22"/>
  <c r="M11" i="22"/>
  <c r="L11" i="22"/>
  <c r="K11" i="22"/>
  <c r="J11" i="22"/>
  <c r="I11" i="22"/>
  <c r="H11" i="22"/>
  <c r="G11" i="22"/>
  <c r="F11" i="22"/>
  <c r="E11" i="22"/>
  <c r="D11" i="22"/>
  <c r="C11" i="22"/>
  <c r="O11" i="22" s="1"/>
  <c r="N10" i="22"/>
  <c r="M10" i="22"/>
  <c r="L10" i="22"/>
  <c r="K10" i="22"/>
  <c r="J10" i="22"/>
  <c r="I10" i="22"/>
  <c r="H10" i="22"/>
  <c r="G10" i="22"/>
  <c r="F10" i="22"/>
  <c r="E10" i="22"/>
  <c r="D10" i="22"/>
  <c r="C10" i="22"/>
  <c r="O10" i="22" s="1"/>
  <c r="N9" i="22"/>
  <c r="N13" i="22" s="1"/>
  <c r="N15" i="22" s="1"/>
  <c r="M9" i="22"/>
  <c r="L9" i="22"/>
  <c r="K9" i="22"/>
  <c r="J9" i="22"/>
  <c r="I9" i="22"/>
  <c r="H9" i="22"/>
  <c r="G9" i="22"/>
  <c r="F9" i="22"/>
  <c r="E9" i="22"/>
  <c r="D9" i="22"/>
  <c r="C9" i="22"/>
  <c r="O9" i="22" s="1"/>
  <c r="N8" i="22"/>
  <c r="M8" i="22"/>
  <c r="L8" i="22"/>
  <c r="K8" i="22"/>
  <c r="J8" i="22"/>
  <c r="I8" i="22"/>
  <c r="H8" i="22"/>
  <c r="G8" i="22"/>
  <c r="F8" i="22"/>
  <c r="E8" i="22"/>
  <c r="C8" i="22"/>
  <c r="N7" i="22"/>
  <c r="M7" i="22"/>
  <c r="L7" i="22"/>
  <c r="K7" i="22"/>
  <c r="J7" i="22"/>
  <c r="I7" i="22"/>
  <c r="H7" i="22"/>
  <c r="G7" i="22"/>
  <c r="F7" i="22"/>
  <c r="E7" i="22"/>
  <c r="D7" i="22"/>
  <c r="C7" i="22"/>
  <c r="O7" i="22" s="1"/>
  <c r="N6" i="22"/>
  <c r="M6" i="22"/>
  <c r="M13" i="22" s="1"/>
  <c r="M15" i="22" s="1"/>
  <c r="L6" i="22"/>
  <c r="L13" i="22" s="1"/>
  <c r="L15" i="22" s="1"/>
  <c r="K6" i="22"/>
  <c r="J6" i="22"/>
  <c r="I6" i="22"/>
  <c r="H6" i="22"/>
  <c r="H13" i="22" s="1"/>
  <c r="H15" i="22" s="1"/>
  <c r="F6" i="22"/>
  <c r="F13" i="22" s="1"/>
  <c r="F15" i="22" s="1"/>
  <c r="E6" i="22"/>
  <c r="E13" i="22" s="1"/>
  <c r="E15" i="22" s="1"/>
  <c r="D6" i="22"/>
  <c r="C6" i="22"/>
  <c r="E81" i="21"/>
  <c r="D81" i="21"/>
  <c r="D71" i="21" s="1"/>
  <c r="D72" i="21" s="1"/>
  <c r="C81" i="21"/>
  <c r="I80" i="21"/>
  <c r="H79" i="21"/>
  <c r="G79" i="21"/>
  <c r="F79" i="21"/>
  <c r="I79" i="21" s="1"/>
  <c r="H78" i="21"/>
  <c r="G78" i="21"/>
  <c r="F78" i="21"/>
  <c r="I78" i="21" s="1"/>
  <c r="H77" i="21"/>
  <c r="H81" i="21" s="1"/>
  <c r="H71" i="21" s="1"/>
  <c r="H72" i="21" s="1"/>
  <c r="G77" i="21"/>
  <c r="G81" i="21" s="1"/>
  <c r="G71" i="21" s="1"/>
  <c r="G72" i="21" s="1"/>
  <c r="F77" i="21"/>
  <c r="I77" i="21" s="1"/>
  <c r="I76" i="21"/>
  <c r="I75" i="21"/>
  <c r="I81" i="21" s="1"/>
  <c r="E71" i="21"/>
  <c r="E72" i="21" s="1"/>
  <c r="C71" i="21"/>
  <c r="C72" i="21" s="1"/>
  <c r="I70" i="21"/>
  <c r="I69" i="21"/>
  <c r="F68" i="21"/>
  <c r="H64" i="21"/>
  <c r="G64" i="21"/>
  <c r="F64" i="21"/>
  <c r="E64" i="21"/>
  <c r="D64" i="21"/>
  <c r="C64" i="21"/>
  <c r="I63" i="21"/>
  <c r="I62" i="21"/>
  <c r="I61" i="21"/>
  <c r="I60" i="21"/>
  <c r="I64" i="21" s="1"/>
  <c r="H57" i="21"/>
  <c r="G57" i="21"/>
  <c r="E57" i="21"/>
  <c r="C57" i="21"/>
  <c r="F56" i="21"/>
  <c r="F57" i="21" s="1"/>
  <c r="E56" i="21"/>
  <c r="D56" i="21"/>
  <c r="D57" i="21" s="1"/>
  <c r="C56" i="21"/>
  <c r="I56" i="21" s="1"/>
  <c r="I55" i="21"/>
  <c r="I57" i="21" s="1"/>
  <c r="I54" i="21"/>
  <c r="I53" i="21"/>
  <c r="H49" i="21"/>
  <c r="G49" i="21"/>
  <c r="F49" i="21"/>
  <c r="F41" i="21" s="1"/>
  <c r="F42" i="21" s="1"/>
  <c r="D49" i="21"/>
  <c r="D41" i="21" s="1"/>
  <c r="D42" i="21" s="1"/>
  <c r="I48" i="21"/>
  <c r="E47" i="21"/>
  <c r="C47" i="21"/>
  <c r="C49" i="21" s="1"/>
  <c r="C41" i="21" s="1"/>
  <c r="I46" i="21"/>
  <c r="E46" i="21"/>
  <c r="I45" i="21"/>
  <c r="F45" i="21"/>
  <c r="E45" i="21"/>
  <c r="E49" i="21" s="1"/>
  <c r="E41" i="21" s="1"/>
  <c r="E42" i="21" s="1"/>
  <c r="H42" i="21"/>
  <c r="G42" i="21"/>
  <c r="I40" i="21"/>
  <c r="I39" i="21"/>
  <c r="I38" i="21"/>
  <c r="H34" i="21"/>
  <c r="G34" i="21"/>
  <c r="C34" i="21"/>
  <c r="I33" i="21"/>
  <c r="E32" i="21"/>
  <c r="D32" i="21"/>
  <c r="I32" i="21" s="1"/>
  <c r="I31" i="21"/>
  <c r="F30" i="21"/>
  <c r="F34" i="21" s="1"/>
  <c r="F26" i="21" s="1"/>
  <c r="F27" i="21" s="1"/>
  <c r="E30" i="21"/>
  <c r="E34" i="21" s="1"/>
  <c r="E26" i="21" s="1"/>
  <c r="E27" i="21" s="1"/>
  <c r="H27" i="21"/>
  <c r="G27" i="21"/>
  <c r="C26" i="21"/>
  <c r="I25" i="21"/>
  <c r="I24" i="21"/>
  <c r="I23" i="21"/>
  <c r="H19" i="21"/>
  <c r="G19" i="21"/>
  <c r="E19" i="21"/>
  <c r="D19" i="21"/>
  <c r="I18" i="21"/>
  <c r="I17" i="21"/>
  <c r="E17" i="21"/>
  <c r="C17" i="21"/>
  <c r="C19" i="21" s="1"/>
  <c r="I16" i="21"/>
  <c r="I15" i="21"/>
  <c r="F15" i="21"/>
  <c r="F19" i="21" s="1"/>
  <c r="F11" i="21" s="1"/>
  <c r="F12" i="21" s="1"/>
  <c r="E15" i="21"/>
  <c r="H12" i="21"/>
  <c r="G12" i="21"/>
  <c r="D12" i="21"/>
  <c r="E11" i="21"/>
  <c r="E12" i="21" s="1"/>
  <c r="D11" i="21"/>
  <c r="I10" i="21"/>
  <c r="I9" i="21"/>
  <c r="I8" i="21"/>
  <c r="G27" i="20"/>
  <c r="F27" i="20"/>
  <c r="E27" i="20"/>
  <c r="D27" i="20"/>
  <c r="H26" i="20"/>
  <c r="H25" i="20"/>
  <c r="H24" i="20"/>
  <c r="H23" i="20"/>
  <c r="H22" i="20"/>
  <c r="H21" i="20"/>
  <c r="H27" i="20" s="1"/>
  <c r="G14" i="20"/>
  <c r="F14" i="20"/>
  <c r="E14" i="20"/>
  <c r="D14" i="20"/>
  <c r="H13" i="20"/>
  <c r="H12" i="20"/>
  <c r="H11" i="20"/>
  <c r="H10" i="20"/>
  <c r="H14" i="20" s="1"/>
  <c r="H9" i="20"/>
  <c r="H8" i="20"/>
  <c r="H7" i="20"/>
  <c r="O8" i="22" l="1"/>
  <c r="C70" i="22"/>
  <c r="I97" i="22"/>
  <c r="I98" i="22" s="1"/>
  <c r="M97" i="22"/>
  <c r="M54" i="22" s="1"/>
  <c r="M55" i="22" s="1"/>
  <c r="L125" i="22"/>
  <c r="O6" i="22"/>
  <c r="C13" i="22"/>
  <c r="O22" i="22"/>
  <c r="I81" i="22"/>
  <c r="I83" i="22" s="1"/>
  <c r="I69" i="22" s="1"/>
  <c r="I54" i="22" s="1"/>
  <c r="I55" i="22" s="1"/>
  <c r="E97" i="22"/>
  <c r="E98" i="22" s="1"/>
  <c r="O102" i="22"/>
  <c r="C18" i="22"/>
  <c r="L25" i="22"/>
  <c r="L27" i="22" s="1"/>
  <c r="O50" i="22"/>
  <c r="F22" i="22"/>
  <c r="E70" i="22"/>
  <c r="M70" i="22"/>
  <c r="E81" i="22"/>
  <c r="E83" i="22" s="1"/>
  <c r="E69" i="22" s="1"/>
  <c r="E54" i="22" s="1"/>
  <c r="E55" i="22" s="1"/>
  <c r="E74" i="22"/>
  <c r="O73" i="22"/>
  <c r="E17" i="22"/>
  <c r="M25" i="22"/>
  <c r="M27" i="22" s="1"/>
  <c r="O35" i="22"/>
  <c r="D8" i="22"/>
  <c r="G40" i="22"/>
  <c r="G42" i="22" s="1"/>
  <c r="D53" i="22"/>
  <c r="D55" i="22" s="1"/>
  <c r="D21" i="22"/>
  <c r="D25" i="22" s="1"/>
  <c r="D27" i="22" s="1"/>
  <c r="H53" i="22"/>
  <c r="H21" i="22"/>
  <c r="F70" i="22"/>
  <c r="N70" i="22"/>
  <c r="F81" i="22"/>
  <c r="F83" i="22" s="1"/>
  <c r="F69" i="22" s="1"/>
  <c r="F54" i="22" s="1"/>
  <c r="F55" i="22" s="1"/>
  <c r="O75" i="22"/>
  <c r="G70" i="22"/>
  <c r="O96" i="22"/>
  <c r="C109" i="22"/>
  <c r="C111" i="22" s="1"/>
  <c r="C97" i="22" s="1"/>
  <c r="G109" i="22"/>
  <c r="G111" i="22" s="1"/>
  <c r="G97" i="22" s="1"/>
  <c r="G98" i="22" s="1"/>
  <c r="D125" i="22"/>
  <c r="I125" i="22"/>
  <c r="C136" i="22"/>
  <c r="C138" i="22" s="1"/>
  <c r="C124" i="22" s="1"/>
  <c r="G136" i="22"/>
  <c r="G138" i="22" s="1"/>
  <c r="G124" i="22" s="1"/>
  <c r="G125" i="22" s="1"/>
  <c r="O130" i="22"/>
  <c r="M124" i="22"/>
  <c r="M125" i="22" s="1"/>
  <c r="K70" i="22"/>
  <c r="K54" i="22"/>
  <c r="K55" i="22" s="1"/>
  <c r="M98" i="22"/>
  <c r="H123" i="22"/>
  <c r="O116" i="22"/>
  <c r="D13" i="22"/>
  <c r="D15" i="22" s="1"/>
  <c r="H25" i="22"/>
  <c r="H27" i="22" s="1"/>
  <c r="K13" i="22"/>
  <c r="K15" i="22" s="1"/>
  <c r="F17" i="22"/>
  <c r="F25" i="22" s="1"/>
  <c r="F27" i="22" s="1"/>
  <c r="O23" i="22"/>
  <c r="G13" i="22"/>
  <c r="G15" i="22" s="1"/>
  <c r="F19" i="22"/>
  <c r="O19" i="22" s="1"/>
  <c r="O47" i="22"/>
  <c r="L55" i="22"/>
  <c r="H81" i="22"/>
  <c r="H83" i="22" s="1"/>
  <c r="H69" i="22" s="1"/>
  <c r="J69" i="22"/>
  <c r="J54" i="22" s="1"/>
  <c r="J55" i="22" s="1"/>
  <c r="D98" i="22"/>
  <c r="H98" i="22"/>
  <c r="L98" i="22"/>
  <c r="E125" i="22"/>
  <c r="N124" i="22"/>
  <c r="N125" i="22" s="1"/>
  <c r="C17" i="22"/>
  <c r="C21" i="22"/>
  <c r="O21" i="22" s="1"/>
  <c r="K21" i="22"/>
  <c r="K25" i="22" s="1"/>
  <c r="K27" i="22" s="1"/>
  <c r="I74" i="22"/>
  <c r="I18" i="22" s="1"/>
  <c r="I25" i="22" s="1"/>
  <c r="I27" i="22" s="1"/>
  <c r="O45" i="22"/>
  <c r="O101" i="22"/>
  <c r="O109" i="22" s="1"/>
  <c r="O111" i="22" s="1"/>
  <c r="O128" i="22"/>
  <c r="C42" i="21"/>
  <c r="I41" i="21"/>
  <c r="I42" i="21" s="1"/>
  <c r="C11" i="21"/>
  <c r="I19" i="21"/>
  <c r="F81" i="21"/>
  <c r="F71" i="21" s="1"/>
  <c r="F72" i="21" s="1"/>
  <c r="C27" i="21"/>
  <c r="D34" i="21"/>
  <c r="D26" i="21" s="1"/>
  <c r="D27" i="21" s="1"/>
  <c r="I47" i="21"/>
  <c r="I49" i="21" s="1"/>
  <c r="I68" i="21"/>
  <c r="I30" i="21"/>
  <c r="I34" i="21" s="1"/>
  <c r="H70" i="22" l="1"/>
  <c r="O97" i="22"/>
  <c r="C98" i="22"/>
  <c r="O81" i="22"/>
  <c r="O83" i="22" s="1"/>
  <c r="O53" i="22"/>
  <c r="C25" i="22"/>
  <c r="C27" i="22" s="1"/>
  <c r="O17" i="22"/>
  <c r="O98" i="22"/>
  <c r="O74" i="22"/>
  <c r="E18" i="22"/>
  <c r="E25" i="22" s="1"/>
  <c r="E27" i="22" s="1"/>
  <c r="N54" i="22"/>
  <c r="N55" i="22" s="1"/>
  <c r="I70" i="22"/>
  <c r="O124" i="22"/>
  <c r="C125" i="22"/>
  <c r="G54" i="22"/>
  <c r="G55" i="22" s="1"/>
  <c r="O123" i="22"/>
  <c r="O69" i="22"/>
  <c r="O70" i="22" s="1"/>
  <c r="O40" i="22"/>
  <c r="O42" i="22" s="1"/>
  <c r="H124" i="22"/>
  <c r="H125" i="22" s="1"/>
  <c r="O136" i="22"/>
  <c r="O138" i="22" s="1"/>
  <c r="J70" i="22"/>
  <c r="O13" i="22"/>
  <c r="O15" i="22" s="1"/>
  <c r="C15" i="22"/>
  <c r="C54" i="22"/>
  <c r="C12" i="21"/>
  <c r="I12" i="21" s="1"/>
  <c r="I11" i="21"/>
  <c r="I71" i="21"/>
  <c r="I27" i="21"/>
  <c r="I26" i="21"/>
  <c r="I72" i="21"/>
  <c r="O25" i="22" l="1"/>
  <c r="O27" i="22" s="1"/>
  <c r="O125" i="22"/>
  <c r="O18" i="22"/>
  <c r="H54" i="22"/>
  <c r="H55" i="22" s="1"/>
  <c r="C55" i="22"/>
  <c r="O54" i="22" l="1"/>
  <c r="O55" i="22" s="1"/>
  <c r="C39" i="18" l="1"/>
  <c r="E30" i="18"/>
  <c r="E29" i="18"/>
  <c r="E28" i="18"/>
  <c r="D27" i="18"/>
  <c r="E27" i="18" s="1"/>
  <c r="E26" i="18"/>
  <c r="D26" i="18"/>
  <c r="D25" i="18"/>
  <c r="E25" i="18" s="1"/>
  <c r="C24" i="18"/>
  <c r="D24" i="18" s="1"/>
  <c r="E24" i="18" s="1"/>
  <c r="D23" i="18"/>
  <c r="E23" i="18" s="1"/>
  <c r="C23" i="18"/>
  <c r="C22" i="18"/>
  <c r="D22" i="18" s="1"/>
  <c r="E22" i="18" s="1"/>
  <c r="D21" i="18"/>
  <c r="D31" i="18" s="1"/>
  <c r="C21" i="18"/>
  <c r="C31" i="18" s="1"/>
  <c r="C35" i="18" s="1"/>
  <c r="C42" i="18" s="1"/>
  <c r="D17" i="18"/>
  <c r="C17" i="18"/>
  <c r="C18" i="18" s="1"/>
  <c r="E16" i="18"/>
  <c r="E15" i="18"/>
  <c r="E17" i="18" s="1"/>
  <c r="E13" i="18"/>
  <c r="E12" i="18"/>
  <c r="E11" i="18"/>
  <c r="E10" i="18"/>
  <c r="E9" i="18"/>
  <c r="C8" i="18"/>
  <c r="D8" i="18" s="1"/>
  <c r="E8" i="18" s="1"/>
  <c r="D7" i="18"/>
  <c r="E7" i="18" s="1"/>
  <c r="C7" i="18"/>
  <c r="C6" i="18"/>
  <c r="C14" i="18" s="1"/>
  <c r="D23" i="17"/>
  <c r="E23" i="17" s="1"/>
  <c r="D18" i="17"/>
  <c r="E18" i="17" s="1"/>
  <c r="C18" i="17"/>
  <c r="D17" i="17"/>
  <c r="C17" i="17"/>
  <c r="C16" i="17"/>
  <c r="D16" i="17" s="1"/>
  <c r="E16" i="17" s="1"/>
  <c r="C15" i="17"/>
  <c r="D15" i="17" s="1"/>
  <c r="E15" i="17" s="1"/>
  <c r="D14" i="17"/>
  <c r="C14" i="17"/>
  <c r="Q51" i="16"/>
  <c r="M51" i="16"/>
  <c r="N51" i="16" s="1"/>
  <c r="L51" i="16"/>
  <c r="R51" i="16" s="1"/>
  <c r="K51" i="16"/>
  <c r="H51" i="16"/>
  <c r="E51" i="16"/>
  <c r="S50" i="16"/>
  <c r="T50" i="16" s="1"/>
  <c r="Q50" i="16"/>
  <c r="M50" i="16"/>
  <c r="N50" i="16" s="1"/>
  <c r="L50" i="16"/>
  <c r="R50" i="16" s="1"/>
  <c r="K50" i="16"/>
  <c r="H50" i="16"/>
  <c r="E50" i="16"/>
  <c r="Q49" i="16"/>
  <c r="M49" i="16"/>
  <c r="N49" i="16" s="1"/>
  <c r="L49" i="16"/>
  <c r="R49" i="16" s="1"/>
  <c r="K49" i="16"/>
  <c r="H49" i="16"/>
  <c r="E49" i="16"/>
  <c r="P48" i="16"/>
  <c r="Q48" i="16" s="1"/>
  <c r="O48" i="16"/>
  <c r="K48" i="16"/>
  <c r="J48" i="16"/>
  <c r="I48" i="16"/>
  <c r="G48" i="16"/>
  <c r="H48" i="16" s="1"/>
  <c r="F48" i="16"/>
  <c r="D48" i="16"/>
  <c r="M48" i="16" s="1"/>
  <c r="N48" i="16" s="1"/>
  <c r="C48" i="16"/>
  <c r="L48" i="16" s="1"/>
  <c r="AF45" i="16"/>
  <c r="AC45" i="16"/>
  <c r="S45" i="16"/>
  <c r="O45" i="16"/>
  <c r="R45" i="16" s="1"/>
  <c r="N45" i="16"/>
  <c r="M45" i="16"/>
  <c r="L45" i="16"/>
  <c r="K45" i="16"/>
  <c r="H45" i="16"/>
  <c r="E45" i="16"/>
  <c r="AF43" i="16"/>
  <c r="D43" i="16"/>
  <c r="AF42" i="16"/>
  <c r="AC42" i="16"/>
  <c r="R42" i="16"/>
  <c r="U42" i="16" s="1"/>
  <c r="X42" i="16" s="1"/>
  <c r="Q42" i="16"/>
  <c r="M42" i="16"/>
  <c r="L42" i="16"/>
  <c r="K42" i="16"/>
  <c r="H42" i="16"/>
  <c r="E42" i="16"/>
  <c r="AF41" i="16"/>
  <c r="AC41" i="16"/>
  <c r="X41" i="16"/>
  <c r="Q41" i="16"/>
  <c r="N41" i="16"/>
  <c r="M41" i="16"/>
  <c r="S41" i="16" s="1"/>
  <c r="V41" i="16" s="1"/>
  <c r="L41" i="16"/>
  <c r="R41" i="16" s="1"/>
  <c r="U41" i="16" s="1"/>
  <c r="K41" i="16"/>
  <c r="H41" i="16"/>
  <c r="E41" i="16"/>
  <c r="AF40" i="16"/>
  <c r="AC40" i="16"/>
  <c r="Q40" i="16"/>
  <c r="M40" i="16"/>
  <c r="N40" i="16" s="1"/>
  <c r="L40" i="16"/>
  <c r="R40" i="16" s="1"/>
  <c r="U40" i="16" s="1"/>
  <c r="K40" i="16"/>
  <c r="H40" i="16"/>
  <c r="E40" i="16"/>
  <c r="AF39" i="16"/>
  <c r="AE39" i="16"/>
  <c r="AE43" i="16" s="1"/>
  <c r="AD39" i="16"/>
  <c r="AD43" i="16" s="1"/>
  <c r="AB39" i="16"/>
  <c r="AA39" i="16"/>
  <c r="AA43" i="16" s="1"/>
  <c r="P39" i="16"/>
  <c r="P43" i="16" s="1"/>
  <c r="O39" i="16"/>
  <c r="O43" i="16" s="1"/>
  <c r="L39" i="16"/>
  <c r="K39" i="16"/>
  <c r="J39" i="16"/>
  <c r="J43" i="16" s="1"/>
  <c r="I39" i="16"/>
  <c r="I43" i="16" s="1"/>
  <c r="H39" i="16"/>
  <c r="G39" i="16"/>
  <c r="G43" i="16" s="1"/>
  <c r="F39" i="16"/>
  <c r="F43" i="16" s="1"/>
  <c r="D39" i="16"/>
  <c r="C39" i="16"/>
  <c r="C43" i="16" s="1"/>
  <c r="AF38" i="16"/>
  <c r="AC38" i="16"/>
  <c r="R38" i="16"/>
  <c r="U38" i="16" s="1"/>
  <c r="X38" i="16" s="1"/>
  <c r="Q38" i="16"/>
  <c r="M38" i="16"/>
  <c r="N38" i="16" s="1"/>
  <c r="L38" i="16"/>
  <c r="K38" i="16"/>
  <c r="H38" i="16"/>
  <c r="E38" i="16"/>
  <c r="AF37" i="16"/>
  <c r="AC37" i="16"/>
  <c r="X37" i="16"/>
  <c r="Q37" i="16"/>
  <c r="N37" i="16"/>
  <c r="M37" i="16"/>
  <c r="S37" i="16" s="1"/>
  <c r="L37" i="16"/>
  <c r="R37" i="16" s="1"/>
  <c r="U37" i="16" s="1"/>
  <c r="K37" i="16"/>
  <c r="H37" i="16"/>
  <c r="E37" i="16"/>
  <c r="F36" i="16"/>
  <c r="AF35" i="16"/>
  <c r="AC35" i="16"/>
  <c r="S35" i="16"/>
  <c r="V35" i="16" s="1"/>
  <c r="O35" i="16"/>
  <c r="N35" i="16"/>
  <c r="M35" i="16"/>
  <c r="L35" i="16"/>
  <c r="K35" i="16"/>
  <c r="H35" i="16"/>
  <c r="E35" i="16"/>
  <c r="AF34" i="16"/>
  <c r="AC34" i="16"/>
  <c r="S34" i="16"/>
  <c r="Q34" i="16"/>
  <c r="M34" i="16"/>
  <c r="N34" i="16" s="1"/>
  <c r="L34" i="16"/>
  <c r="R34" i="16" s="1"/>
  <c r="U34" i="16" s="1"/>
  <c r="X34" i="16" s="1"/>
  <c r="K34" i="16"/>
  <c r="H34" i="16"/>
  <c r="E34" i="16"/>
  <c r="AF33" i="16"/>
  <c r="AC33" i="16"/>
  <c r="Q33" i="16"/>
  <c r="O33" i="16"/>
  <c r="R33" i="16" s="1"/>
  <c r="U33" i="16" s="1"/>
  <c r="X33" i="16" s="1"/>
  <c r="M33" i="16"/>
  <c r="S33" i="16" s="1"/>
  <c r="L33" i="16"/>
  <c r="K33" i="16"/>
  <c r="H33" i="16"/>
  <c r="E33" i="16"/>
  <c r="AF32" i="16"/>
  <c r="AC32" i="16"/>
  <c r="Q32" i="16"/>
  <c r="N32" i="16"/>
  <c r="M32" i="16"/>
  <c r="S32" i="16" s="1"/>
  <c r="V32" i="16" s="1"/>
  <c r="L32" i="16"/>
  <c r="R32" i="16" s="1"/>
  <c r="U32" i="16" s="1"/>
  <c r="X32" i="16" s="1"/>
  <c r="K32" i="16"/>
  <c r="H32" i="16"/>
  <c r="E32" i="16"/>
  <c r="AE31" i="16"/>
  <c r="AF31" i="16" s="1"/>
  <c r="AD31" i="16"/>
  <c r="AD36" i="16" s="1"/>
  <c r="AC31" i="16"/>
  <c r="AB31" i="16"/>
  <c r="AA31" i="16"/>
  <c r="AA36" i="16" s="1"/>
  <c r="P31" i="16"/>
  <c r="P36" i="16" s="1"/>
  <c r="J31" i="16"/>
  <c r="I31" i="16"/>
  <c r="I36" i="16" s="1"/>
  <c r="G31" i="16"/>
  <c r="H31" i="16" s="1"/>
  <c r="F31" i="16"/>
  <c r="E31" i="16"/>
  <c r="D31" i="16"/>
  <c r="D36" i="16" s="1"/>
  <c r="C31" i="16"/>
  <c r="L31" i="16" s="1"/>
  <c r="AF30" i="16"/>
  <c r="AC30" i="16"/>
  <c r="X30" i="16"/>
  <c r="Q30" i="16"/>
  <c r="N30" i="16"/>
  <c r="M30" i="16"/>
  <c r="S30" i="16" s="1"/>
  <c r="L30" i="16"/>
  <c r="R30" i="16" s="1"/>
  <c r="U30" i="16" s="1"/>
  <c r="K30" i="16"/>
  <c r="H30" i="16"/>
  <c r="E30" i="16"/>
  <c r="AF29" i="16"/>
  <c r="AB29" i="16"/>
  <c r="S29" i="16"/>
  <c r="R29" i="16"/>
  <c r="U29" i="16" s="1"/>
  <c r="X29" i="16" s="1"/>
  <c r="Q29" i="16"/>
  <c r="M29" i="16"/>
  <c r="L29" i="16"/>
  <c r="K29" i="16"/>
  <c r="H29" i="16"/>
  <c r="E29" i="16"/>
  <c r="AF28" i="16"/>
  <c r="AC28" i="16"/>
  <c r="U28" i="16"/>
  <c r="X28" i="16" s="1"/>
  <c r="Q28" i="16"/>
  <c r="N28" i="16"/>
  <c r="M28" i="16"/>
  <c r="S28" i="16" s="1"/>
  <c r="V28" i="16" s="1"/>
  <c r="L28" i="16"/>
  <c r="R28" i="16" s="1"/>
  <c r="K28" i="16"/>
  <c r="H28" i="16"/>
  <c r="E28" i="16"/>
  <c r="AF27" i="16"/>
  <c r="AC27" i="16"/>
  <c r="R27" i="16"/>
  <c r="U27" i="16" s="1"/>
  <c r="Q27" i="16"/>
  <c r="M27" i="16"/>
  <c r="S27" i="16" s="1"/>
  <c r="L27" i="16"/>
  <c r="N27" i="16" s="1"/>
  <c r="K27" i="16"/>
  <c r="H27" i="16"/>
  <c r="E27" i="16"/>
  <c r="F23" i="16"/>
  <c r="O22" i="16"/>
  <c r="J22" i="16"/>
  <c r="K22" i="16" s="1"/>
  <c r="I22" i="16"/>
  <c r="F22" i="16"/>
  <c r="AF21" i="16"/>
  <c r="AC21" i="16"/>
  <c r="Y21" i="16"/>
  <c r="X21" i="16"/>
  <c r="Z21" i="16" s="1"/>
  <c r="W21" i="16"/>
  <c r="Q21" i="16"/>
  <c r="L21" i="16"/>
  <c r="R21" i="16" s="1"/>
  <c r="K21" i="16"/>
  <c r="H21" i="16"/>
  <c r="G21" i="16"/>
  <c r="M21" i="16" s="1"/>
  <c r="E21" i="16"/>
  <c r="AF20" i="16"/>
  <c r="AC20" i="16"/>
  <c r="Y20" i="16"/>
  <c r="X20" i="16"/>
  <c r="W20" i="16"/>
  <c r="R20" i="16"/>
  <c r="Q20" i="16"/>
  <c r="M20" i="16"/>
  <c r="N20" i="16" s="1"/>
  <c r="L20" i="16"/>
  <c r="K20" i="16"/>
  <c r="G20" i="16"/>
  <c r="H20" i="16" s="1"/>
  <c r="E20" i="16"/>
  <c r="D20" i="16"/>
  <c r="AE19" i="16"/>
  <c r="AF19" i="16" s="1"/>
  <c r="AC19" i="16"/>
  <c r="AB19" i="16"/>
  <c r="AB22" i="16" s="1"/>
  <c r="AC22" i="16" s="1"/>
  <c r="V19" i="16"/>
  <c r="P19" i="16"/>
  <c r="K19" i="16"/>
  <c r="J19" i="16"/>
  <c r="I19" i="16"/>
  <c r="F19" i="16"/>
  <c r="D19" i="16"/>
  <c r="C19" i="16"/>
  <c r="C22" i="16" s="1"/>
  <c r="L22" i="16" s="1"/>
  <c r="R22" i="16" s="1"/>
  <c r="AF18" i="16"/>
  <c r="AC18" i="16"/>
  <c r="R18" i="16"/>
  <c r="U18" i="16" s="1"/>
  <c r="Q18" i="16"/>
  <c r="M18" i="16"/>
  <c r="S18" i="16" s="1"/>
  <c r="L18" i="16"/>
  <c r="N18" i="16" s="1"/>
  <c r="K18" i="16"/>
  <c r="H18" i="16"/>
  <c r="E18" i="16"/>
  <c r="AD16" i="16"/>
  <c r="J16" i="16"/>
  <c r="I16" i="16"/>
  <c r="I17" i="16" s="1"/>
  <c r="F16" i="16"/>
  <c r="AF15" i="16"/>
  <c r="AC15" i="16"/>
  <c r="Q15" i="16"/>
  <c r="M15" i="16"/>
  <c r="S15" i="16" s="1"/>
  <c r="L15" i="16"/>
  <c r="R15" i="16" s="1"/>
  <c r="U15" i="16" s="1"/>
  <c r="X15" i="16" s="1"/>
  <c r="K15" i="16"/>
  <c r="H15" i="16"/>
  <c r="E15" i="16"/>
  <c r="AF14" i="16"/>
  <c r="AC14" i="16"/>
  <c r="R14" i="16"/>
  <c r="U14" i="16" s="1"/>
  <c r="X14" i="16" s="1"/>
  <c r="Q14" i="16"/>
  <c r="M14" i="16"/>
  <c r="S14" i="16" s="1"/>
  <c r="L14" i="16"/>
  <c r="N14" i="16" s="1"/>
  <c r="K14" i="16"/>
  <c r="H14" i="16"/>
  <c r="E14" i="16"/>
  <c r="AE13" i="16"/>
  <c r="AE16" i="16" s="1"/>
  <c r="AF16" i="16" s="1"/>
  <c r="AD13" i="16"/>
  <c r="AB13" i="16"/>
  <c r="AA13" i="16"/>
  <c r="AA16" i="16" s="1"/>
  <c r="AA17" i="16" s="1"/>
  <c r="P13" i="16"/>
  <c r="O13" i="16"/>
  <c r="K13" i="16"/>
  <c r="J13" i="16"/>
  <c r="I13" i="16"/>
  <c r="H13" i="16"/>
  <c r="G13" i="16"/>
  <c r="G16" i="16" s="1"/>
  <c r="H16" i="16" s="1"/>
  <c r="F13" i="16"/>
  <c r="D13" i="16"/>
  <c r="C13" i="16"/>
  <c r="C16" i="16" s="1"/>
  <c r="L16" i="16" s="1"/>
  <c r="AF12" i="16"/>
  <c r="AC12" i="16"/>
  <c r="R12" i="16"/>
  <c r="U12" i="16" s="1"/>
  <c r="X12" i="16" s="1"/>
  <c r="Q12" i="16"/>
  <c r="M12" i="16"/>
  <c r="S12" i="16" s="1"/>
  <c r="L12" i="16"/>
  <c r="N12" i="16" s="1"/>
  <c r="K12" i="16"/>
  <c r="H12" i="16"/>
  <c r="E12" i="16"/>
  <c r="AF11" i="16"/>
  <c r="AC11" i="16"/>
  <c r="S11" i="16"/>
  <c r="V11" i="16" s="1"/>
  <c r="Y11" i="16" s="1"/>
  <c r="Q11" i="16"/>
  <c r="M11" i="16"/>
  <c r="N11" i="16" s="1"/>
  <c r="L11" i="16"/>
  <c r="R11" i="16" s="1"/>
  <c r="U11" i="16" s="1"/>
  <c r="X11" i="16" s="1"/>
  <c r="K11" i="16"/>
  <c r="H11" i="16"/>
  <c r="E11" i="16"/>
  <c r="AF10" i="16"/>
  <c r="AC10" i="16"/>
  <c r="Q10" i="16"/>
  <c r="M10" i="16"/>
  <c r="S10" i="16" s="1"/>
  <c r="L10" i="16"/>
  <c r="N10" i="16" s="1"/>
  <c r="K10" i="16"/>
  <c r="H10" i="16"/>
  <c r="E10" i="16"/>
  <c r="AE9" i="16"/>
  <c r="AB9" i="16"/>
  <c r="AA9" i="16"/>
  <c r="P9" i="16"/>
  <c r="K9" i="16"/>
  <c r="J9" i="16"/>
  <c r="J23" i="16" s="1"/>
  <c r="I9" i="16"/>
  <c r="G9" i="16"/>
  <c r="F9" i="16"/>
  <c r="D9" i="16"/>
  <c r="C9" i="16"/>
  <c r="L9" i="16" s="1"/>
  <c r="AF8" i="16"/>
  <c r="AC8" i="16"/>
  <c r="Q8" i="16"/>
  <c r="M8" i="16"/>
  <c r="S8" i="16" s="1"/>
  <c r="V8" i="16" s="1"/>
  <c r="L8" i="16"/>
  <c r="N8" i="16" s="1"/>
  <c r="K8" i="16"/>
  <c r="H8" i="16"/>
  <c r="E8" i="16"/>
  <c r="AF7" i="16"/>
  <c r="AC7" i="16"/>
  <c r="R7" i="16"/>
  <c r="U7" i="16" s="1"/>
  <c r="X7" i="16" s="1"/>
  <c r="O7" i="16"/>
  <c r="Q7" i="16" s="1"/>
  <c r="M7" i="16"/>
  <c r="S7" i="16" s="1"/>
  <c r="L7" i="16"/>
  <c r="K7" i="16"/>
  <c r="H7" i="16"/>
  <c r="E7" i="16"/>
  <c r="AF6" i="16"/>
  <c r="AC6" i="16"/>
  <c r="S6" i="16"/>
  <c r="R6" i="16"/>
  <c r="U6" i="16" s="1"/>
  <c r="X6" i="16" s="1"/>
  <c r="Q6" i="16"/>
  <c r="M6" i="16"/>
  <c r="L6" i="16"/>
  <c r="K6" i="16"/>
  <c r="H6" i="16"/>
  <c r="E6" i="16"/>
  <c r="AD5" i="16"/>
  <c r="AD9" i="16" s="1"/>
  <c r="AF9" i="16" s="1"/>
  <c r="AA5" i="16"/>
  <c r="AC5" i="16" s="1"/>
  <c r="R5" i="16"/>
  <c r="U5" i="16" s="1"/>
  <c r="X5" i="16" s="1"/>
  <c r="Q5" i="16"/>
  <c r="O5" i="16"/>
  <c r="M5" i="16"/>
  <c r="N5" i="16" s="1"/>
  <c r="L5" i="16"/>
  <c r="K5" i="16"/>
  <c r="H5" i="16"/>
  <c r="E5" i="16"/>
  <c r="R68" i="15"/>
  <c r="B66" i="15"/>
  <c r="R66" i="15" s="1"/>
  <c r="R65" i="15"/>
  <c r="R64" i="15"/>
  <c r="R63" i="15"/>
  <c r="R62" i="15"/>
  <c r="H61" i="15"/>
  <c r="H69" i="15" s="1"/>
  <c r="R60" i="15"/>
  <c r="R58" i="15"/>
  <c r="R57" i="15"/>
  <c r="R56" i="15"/>
  <c r="R55" i="15"/>
  <c r="F54" i="15"/>
  <c r="R54" i="15" s="1"/>
  <c r="R53" i="15"/>
  <c r="F52" i="15"/>
  <c r="F69" i="15" s="1"/>
  <c r="R51" i="15"/>
  <c r="R50" i="15"/>
  <c r="F50" i="15"/>
  <c r="R49" i="15"/>
  <c r="F48" i="15"/>
  <c r="R48" i="15" s="1"/>
  <c r="R47" i="15"/>
  <c r="F46" i="15"/>
  <c r="R46" i="15" s="1"/>
  <c r="R45" i="15"/>
  <c r="R44" i="15"/>
  <c r="R43" i="15"/>
  <c r="R42" i="15"/>
  <c r="R40" i="15"/>
  <c r="P40" i="15"/>
  <c r="N40" i="15"/>
  <c r="P39" i="15"/>
  <c r="R39" i="15" s="1"/>
  <c r="L38" i="15"/>
  <c r="J38" i="15"/>
  <c r="P38" i="15" s="1"/>
  <c r="R38" i="15" s="1"/>
  <c r="R37" i="15"/>
  <c r="P37" i="15"/>
  <c r="P36" i="15"/>
  <c r="R36" i="15" s="1"/>
  <c r="N36" i="15"/>
  <c r="L36" i="15"/>
  <c r="J36" i="15"/>
  <c r="R35" i="15"/>
  <c r="P35" i="15"/>
  <c r="N34" i="15"/>
  <c r="L34" i="15"/>
  <c r="P34" i="15" s="1"/>
  <c r="R34" i="15" s="1"/>
  <c r="J34" i="15"/>
  <c r="P33" i="15"/>
  <c r="R33" i="15" s="1"/>
  <c r="N32" i="15"/>
  <c r="L32" i="15"/>
  <c r="J32" i="15"/>
  <c r="P32" i="15" s="1"/>
  <c r="R32" i="15" s="1"/>
  <c r="P31" i="15"/>
  <c r="R31" i="15" s="1"/>
  <c r="N30" i="15"/>
  <c r="L30" i="15"/>
  <c r="J30" i="15"/>
  <c r="P30" i="15" s="1"/>
  <c r="R30" i="15" s="1"/>
  <c r="R29" i="15"/>
  <c r="P29" i="15"/>
  <c r="P28" i="15"/>
  <c r="R28" i="15" s="1"/>
  <c r="N28" i="15"/>
  <c r="L28" i="15"/>
  <c r="J28" i="15"/>
  <c r="R27" i="15"/>
  <c r="P27" i="15"/>
  <c r="N26" i="15"/>
  <c r="N69" i="15" s="1"/>
  <c r="L26" i="15"/>
  <c r="L69" i="15" s="1"/>
  <c r="J26" i="15"/>
  <c r="J69" i="15" s="1"/>
  <c r="P25" i="15"/>
  <c r="R25" i="15" s="1"/>
  <c r="R23" i="15"/>
  <c r="P23" i="15"/>
  <c r="P22" i="15"/>
  <c r="R22" i="15" s="1"/>
  <c r="R21" i="15"/>
  <c r="P21" i="15"/>
  <c r="B21" i="15"/>
  <c r="R19" i="15"/>
  <c r="P19" i="15"/>
  <c r="P17" i="15"/>
  <c r="R17" i="15" s="1"/>
  <c r="R15" i="15"/>
  <c r="P15" i="15"/>
  <c r="P13" i="15"/>
  <c r="R13" i="15" s="1"/>
  <c r="R11" i="15"/>
  <c r="P11" i="15"/>
  <c r="P9" i="15"/>
  <c r="R9" i="15" s="1"/>
  <c r="R6" i="15" s="1"/>
  <c r="B9" i="15"/>
  <c r="B69" i="15" s="1"/>
  <c r="R8" i="15"/>
  <c r="P8" i="15"/>
  <c r="D8" i="15"/>
  <c r="D69" i="15" s="1"/>
  <c r="F6" i="14"/>
  <c r="D7" i="14"/>
  <c r="E7" i="14"/>
  <c r="F7" i="14" s="1"/>
  <c r="C8" i="14"/>
  <c r="C7" i="14" s="1"/>
  <c r="C5" i="14" s="1"/>
  <c r="C43" i="14" s="1"/>
  <c r="C44" i="14" s="1"/>
  <c r="F8" i="14"/>
  <c r="F9" i="14"/>
  <c r="F10" i="14"/>
  <c r="F11" i="14"/>
  <c r="C12" i="14"/>
  <c r="D12" i="14"/>
  <c r="D5" i="14" s="1"/>
  <c r="D43" i="14" s="1"/>
  <c r="D44" i="14" s="1"/>
  <c r="E12" i="14"/>
  <c r="F12" i="14"/>
  <c r="C13" i="14"/>
  <c r="D13" i="14"/>
  <c r="E13" i="14"/>
  <c r="F13" i="14"/>
  <c r="F14" i="14"/>
  <c r="F15" i="14"/>
  <c r="C16" i="14"/>
  <c r="D16" i="14"/>
  <c r="F16" i="14" s="1"/>
  <c r="E16" i="14"/>
  <c r="F17" i="14"/>
  <c r="F18" i="14"/>
  <c r="F19" i="14"/>
  <c r="F20" i="14"/>
  <c r="F21" i="14"/>
  <c r="F22" i="14"/>
  <c r="F23" i="14"/>
  <c r="F24" i="14"/>
  <c r="F25" i="14"/>
  <c r="C26" i="14"/>
  <c r="D26" i="14"/>
  <c r="E26" i="14"/>
  <c r="F26" i="14" s="1"/>
  <c r="F27" i="14"/>
  <c r="F28" i="14"/>
  <c r="F29" i="14"/>
  <c r="F30" i="14"/>
  <c r="F31" i="14"/>
  <c r="F32" i="14"/>
  <c r="F33" i="14"/>
  <c r="F34" i="14"/>
  <c r="F35" i="14"/>
  <c r="C36" i="14"/>
  <c r="D36" i="14"/>
  <c r="D37" i="14"/>
  <c r="E37" i="14"/>
  <c r="E36" i="14" s="1"/>
  <c r="F38" i="14"/>
  <c r="F39" i="14"/>
  <c r="F40" i="14"/>
  <c r="C41" i="14"/>
  <c r="D41" i="14"/>
  <c r="E41" i="14"/>
  <c r="F41" i="14"/>
  <c r="F42" i="14"/>
  <c r="E17" i="17" l="1"/>
  <c r="C19" i="17"/>
  <c r="C21" i="17" s="1"/>
  <c r="C24" i="17" s="1"/>
  <c r="C26" i="17" s="1"/>
  <c r="D19" i="17"/>
  <c r="D21" i="17" s="1"/>
  <c r="D24" i="17" s="1"/>
  <c r="D26" i="17" s="1"/>
  <c r="C46" i="18"/>
  <c r="C43" i="18"/>
  <c r="D6" i="18"/>
  <c r="E21" i="18"/>
  <c r="E31" i="18" s="1"/>
  <c r="E14" i="17"/>
  <c r="E19" i="17" s="1"/>
  <c r="E21" i="17" s="1"/>
  <c r="E24" i="17" s="1"/>
  <c r="E26" i="17" s="1"/>
  <c r="V7" i="16"/>
  <c r="T7" i="16"/>
  <c r="X27" i="16"/>
  <c r="X18" i="16"/>
  <c r="X22" i="16" s="1"/>
  <c r="U22" i="16"/>
  <c r="Y8" i="16"/>
  <c r="V15" i="16"/>
  <c r="T15" i="16"/>
  <c r="P44" i="16"/>
  <c r="Q43" i="16"/>
  <c r="R8" i="16"/>
  <c r="U8" i="16" s="1"/>
  <c r="X8" i="16" s="1"/>
  <c r="X9" i="16" s="1"/>
  <c r="X23" i="16" s="1"/>
  <c r="Z11" i="16"/>
  <c r="D16" i="16"/>
  <c r="M13" i="16"/>
  <c r="E13" i="16"/>
  <c r="J17" i="16"/>
  <c r="K17" i="16" s="1"/>
  <c r="K16" i="16"/>
  <c r="L19" i="16"/>
  <c r="R19" i="16" s="1"/>
  <c r="U19" i="16" s="1"/>
  <c r="S48" i="16"/>
  <c r="S5" i="16"/>
  <c r="AF5" i="16"/>
  <c r="AC9" i="16"/>
  <c r="P16" i="16"/>
  <c r="Q13" i="16"/>
  <c r="AE17" i="16"/>
  <c r="P22" i="16"/>
  <c r="T32" i="16"/>
  <c r="V34" i="16"/>
  <c r="T34" i="16"/>
  <c r="X43" i="16"/>
  <c r="AC39" i="16"/>
  <c r="AB43" i="16"/>
  <c r="N6" i="16"/>
  <c r="N7" i="16"/>
  <c r="M9" i="16"/>
  <c r="N9" i="16" s="1"/>
  <c r="E9" i="16"/>
  <c r="S9" i="16"/>
  <c r="R10" i="16"/>
  <c r="U10" i="16" s="1"/>
  <c r="X10" i="16" s="1"/>
  <c r="W11" i="16"/>
  <c r="T12" i="16"/>
  <c r="V12" i="16"/>
  <c r="S13" i="16"/>
  <c r="AF13" i="16"/>
  <c r="F17" i="16"/>
  <c r="AD17" i="16"/>
  <c r="Q19" i="16"/>
  <c r="Z20" i="16"/>
  <c r="N21" i="16"/>
  <c r="S21" i="16"/>
  <c r="T21" i="16" s="1"/>
  <c r="AE22" i="16"/>
  <c r="I23" i="16"/>
  <c r="K23" i="16" s="1"/>
  <c r="T27" i="16"/>
  <c r="V27" i="16"/>
  <c r="T28" i="16"/>
  <c r="W32" i="16"/>
  <c r="Y32" i="16"/>
  <c r="Z32" i="16" s="1"/>
  <c r="V37" i="16"/>
  <c r="T37" i="16"/>
  <c r="AD44" i="16"/>
  <c r="AD46" i="16" s="1"/>
  <c r="T10" i="16"/>
  <c r="V10" i="16"/>
  <c r="O16" i="16"/>
  <c r="X40" i="16"/>
  <c r="U39" i="16"/>
  <c r="X39" i="16" s="1"/>
  <c r="T6" i="16"/>
  <c r="C23" i="16"/>
  <c r="L23" i="16" s="1"/>
  <c r="H9" i="16"/>
  <c r="T11" i="16"/>
  <c r="N15" i="16"/>
  <c r="G17" i="16"/>
  <c r="H17" i="16" s="1"/>
  <c r="D22" i="16"/>
  <c r="E19" i="16"/>
  <c r="T29" i="16"/>
  <c r="V29" i="16"/>
  <c r="V30" i="16"/>
  <c r="T30" i="16"/>
  <c r="M36" i="16"/>
  <c r="N36" i="16" s="1"/>
  <c r="T33" i="16"/>
  <c r="V33" i="16"/>
  <c r="V6" i="16"/>
  <c r="O9" i="16"/>
  <c r="L13" i="16"/>
  <c r="R13" i="16" s="1"/>
  <c r="U13" i="16" s="1"/>
  <c r="X13" i="16" s="1"/>
  <c r="X16" i="16" s="1"/>
  <c r="AB16" i="16"/>
  <c r="AB23" i="16" s="1"/>
  <c r="AC23" i="16" s="1"/>
  <c r="AC13" i="16"/>
  <c r="T14" i="16"/>
  <c r="V14" i="16"/>
  <c r="C17" i="16"/>
  <c r="L17" i="16" s="1"/>
  <c r="T18" i="16"/>
  <c r="V18" i="16"/>
  <c r="G19" i="16"/>
  <c r="Y19" i="16"/>
  <c r="S20" i="16"/>
  <c r="T20" i="16" s="1"/>
  <c r="W28" i="16"/>
  <c r="Y28" i="16"/>
  <c r="Z28" i="16" s="1"/>
  <c r="AB36" i="16"/>
  <c r="AC36" i="16" s="1"/>
  <c r="AC29" i="16"/>
  <c r="Y35" i="16"/>
  <c r="L43" i="16"/>
  <c r="F44" i="16"/>
  <c r="F46" i="16" s="1"/>
  <c r="F47" i="16" s="1"/>
  <c r="K43" i="16"/>
  <c r="Q39" i="16"/>
  <c r="G44" i="16"/>
  <c r="D44" i="16"/>
  <c r="M43" i="16"/>
  <c r="N43" i="16" s="1"/>
  <c r="E43" i="16"/>
  <c r="N29" i="16"/>
  <c r="M31" i="16"/>
  <c r="N31" i="16" s="1"/>
  <c r="K31" i="16"/>
  <c r="J36" i="16"/>
  <c r="K36" i="16" s="1"/>
  <c r="C44" i="16"/>
  <c r="T41" i="16"/>
  <c r="N42" i="16"/>
  <c r="H43" i="16"/>
  <c r="U45" i="16"/>
  <c r="R48" i="16"/>
  <c r="R35" i="16"/>
  <c r="Q35" i="16"/>
  <c r="O31" i="16"/>
  <c r="U43" i="16"/>
  <c r="M39" i="16"/>
  <c r="N39" i="16" s="1"/>
  <c r="E39" i="16"/>
  <c r="I44" i="16"/>
  <c r="I46" i="16" s="1"/>
  <c r="I47" i="16" s="1"/>
  <c r="R43" i="16"/>
  <c r="AA44" i="16"/>
  <c r="AA46" i="16" s="1"/>
  <c r="W41" i="16"/>
  <c r="Y41" i="16"/>
  <c r="Z41" i="16" s="1"/>
  <c r="T45" i="16"/>
  <c r="S31" i="16"/>
  <c r="C36" i="16"/>
  <c r="L36" i="16" s="1"/>
  <c r="G36" i="16"/>
  <c r="H36" i="16" s="1"/>
  <c r="AE36" i="16"/>
  <c r="AF36" i="16" s="1"/>
  <c r="S38" i="16"/>
  <c r="S40" i="16"/>
  <c r="S42" i="16"/>
  <c r="N33" i="16"/>
  <c r="R39" i="16"/>
  <c r="Q45" i="16"/>
  <c r="E48" i="16"/>
  <c r="S49" i="16"/>
  <c r="T49" i="16" s="1"/>
  <c r="S51" i="16"/>
  <c r="T51" i="16" s="1"/>
  <c r="B70" i="15"/>
  <c r="P26" i="15"/>
  <c r="R26" i="15" s="1"/>
  <c r="R69" i="15" s="1"/>
  <c r="R61" i="15"/>
  <c r="R52" i="15"/>
  <c r="E5" i="14"/>
  <c r="F37" i="14"/>
  <c r="F36" i="14" s="1"/>
  <c r="E35" i="18" l="1"/>
  <c r="E42" i="18" s="1"/>
  <c r="E43" i="18" s="1"/>
  <c r="D14" i="18"/>
  <c r="D18" i="18" s="1"/>
  <c r="D35" i="18" s="1"/>
  <c r="D42" i="18" s="1"/>
  <c r="D43" i="18" s="1"/>
  <c r="E6" i="18"/>
  <c r="E14" i="18" s="1"/>
  <c r="E18" i="18" s="1"/>
  <c r="X17" i="16"/>
  <c r="W12" i="16"/>
  <c r="Y12" i="16"/>
  <c r="Z12" i="16" s="1"/>
  <c r="Q16" i="16"/>
  <c r="P17" i="16"/>
  <c r="U35" i="16"/>
  <c r="T35" i="16"/>
  <c r="S36" i="16"/>
  <c r="G22" i="16"/>
  <c r="H19" i="16"/>
  <c r="Y15" i="16"/>
  <c r="Z15" i="16" s="1"/>
  <c r="W15" i="16"/>
  <c r="T40" i="16"/>
  <c r="V40" i="16"/>
  <c r="S39" i="16"/>
  <c r="T39" i="16" s="1"/>
  <c r="W18" i="16"/>
  <c r="V22" i="16"/>
  <c r="W22" i="16" s="1"/>
  <c r="Y18" i="16"/>
  <c r="O23" i="16"/>
  <c r="R23" i="16" s="1"/>
  <c r="R9" i="16"/>
  <c r="U9" i="16" s="1"/>
  <c r="Y30" i="16"/>
  <c r="Z30" i="16" s="1"/>
  <c r="W30" i="16"/>
  <c r="M19" i="16"/>
  <c r="W10" i="16"/>
  <c r="Y10" i="16"/>
  <c r="Z10" i="16" s="1"/>
  <c r="AB44" i="16"/>
  <c r="AC43" i="16"/>
  <c r="Y34" i="16"/>
  <c r="Z34" i="16" s="1"/>
  <c r="W34" i="16"/>
  <c r="AF17" i="16"/>
  <c r="T48" i="16"/>
  <c r="Q9" i="16"/>
  <c r="P46" i="16"/>
  <c r="Z8" i="16"/>
  <c r="Y7" i="16"/>
  <c r="Z7" i="16" s="1"/>
  <c r="W7" i="16"/>
  <c r="C46" i="16"/>
  <c r="L44" i="16"/>
  <c r="G46" i="16"/>
  <c r="H44" i="16"/>
  <c r="AC16" i="16"/>
  <c r="AB17" i="16"/>
  <c r="AC17" i="16" s="1"/>
  <c r="W33" i="16"/>
  <c r="Y33" i="16"/>
  <c r="Z33" i="16" s="1"/>
  <c r="O17" i="16"/>
  <c r="R17" i="16" s="1"/>
  <c r="U17" i="16" s="1"/>
  <c r="R16" i="16"/>
  <c r="U16" i="16" s="1"/>
  <c r="V31" i="16"/>
  <c r="W27" i="16"/>
  <c r="Y27" i="16"/>
  <c r="V36" i="16"/>
  <c r="E16" i="16"/>
  <c r="M16" i="16"/>
  <c r="N16" i="16" s="1"/>
  <c r="D17" i="16"/>
  <c r="T42" i="16"/>
  <c r="V42" i="16"/>
  <c r="V13" i="16"/>
  <c r="W14" i="16"/>
  <c r="Y14" i="16"/>
  <c r="Z14" i="16" s="1"/>
  <c r="Q22" i="16"/>
  <c r="T5" i="16"/>
  <c r="V5" i="16"/>
  <c r="T38" i="16"/>
  <c r="V38" i="16"/>
  <c r="T31" i="16"/>
  <c r="Q31" i="16"/>
  <c r="O36" i="16"/>
  <c r="R31" i="16"/>
  <c r="X45" i="16"/>
  <c r="AE44" i="16"/>
  <c r="D46" i="16"/>
  <c r="M44" i="16"/>
  <c r="N44" i="16" s="1"/>
  <c r="E44" i="16"/>
  <c r="J44" i="16"/>
  <c r="W6" i="16"/>
  <c r="Y6" i="16"/>
  <c r="Z6" i="16" s="1"/>
  <c r="E36" i="16"/>
  <c r="Y29" i="16"/>
  <c r="Z29" i="16" s="1"/>
  <c r="W29" i="16"/>
  <c r="E22" i="16"/>
  <c r="W37" i="16"/>
  <c r="Y37" i="16"/>
  <c r="AF22" i="16"/>
  <c r="AE23" i="16"/>
  <c r="AF23" i="16" s="1"/>
  <c r="T13" i="16"/>
  <c r="D23" i="16"/>
  <c r="T8" i="16"/>
  <c r="W19" i="16"/>
  <c r="X19" i="16"/>
  <c r="Z19" i="16" s="1"/>
  <c r="N13" i="16"/>
  <c r="P23" i="16"/>
  <c r="S43" i="16"/>
  <c r="T43" i="16" s="1"/>
  <c r="W8" i="16"/>
  <c r="P69" i="15"/>
  <c r="J70" i="15" s="1"/>
  <c r="F5" i="14"/>
  <c r="E43" i="14"/>
  <c r="X35" i="16" l="1"/>
  <c r="Z35" i="16" s="1"/>
  <c r="W35" i="16"/>
  <c r="U31" i="16"/>
  <c r="D47" i="16"/>
  <c r="E46" i="16"/>
  <c r="Y38" i="16"/>
  <c r="Z38" i="16" s="1"/>
  <c r="W38" i="16"/>
  <c r="U23" i="16"/>
  <c r="H22" i="16"/>
  <c r="G23" i="16"/>
  <c r="H23" i="16" s="1"/>
  <c r="Q23" i="16"/>
  <c r="J46" i="16"/>
  <c r="M46" i="16" s="1"/>
  <c r="K44" i="16"/>
  <c r="AE46" i="16"/>
  <c r="AF46" i="16" s="1"/>
  <c r="AF44" i="16"/>
  <c r="R36" i="16"/>
  <c r="T36" i="16" s="1"/>
  <c r="O44" i="16"/>
  <c r="Q36" i="16"/>
  <c r="Y42" i="16"/>
  <c r="Z42" i="16" s="1"/>
  <c r="W42" i="16"/>
  <c r="L46" i="16"/>
  <c r="L47" i="16" s="1"/>
  <c r="C47" i="16"/>
  <c r="S44" i="16"/>
  <c r="N19" i="16"/>
  <c r="V45" i="16"/>
  <c r="S19" i="16"/>
  <c r="T19" i="16" s="1"/>
  <c r="M17" i="16"/>
  <c r="N17" i="16" s="1"/>
  <c r="E17" i="16"/>
  <c r="H46" i="16"/>
  <c r="P47" i="16"/>
  <c r="Y40" i="16"/>
  <c r="Z40" i="16" s="1"/>
  <c r="V39" i="16"/>
  <c r="W40" i="16"/>
  <c r="Y13" i="16"/>
  <c r="V16" i="16"/>
  <c r="W13" i="16"/>
  <c r="Z27" i="16"/>
  <c r="Q17" i="16"/>
  <c r="S17" i="16"/>
  <c r="T17" i="16" s="1"/>
  <c r="E23" i="16"/>
  <c r="Z37" i="16"/>
  <c r="M22" i="16"/>
  <c r="Y5" i="16"/>
  <c r="V9" i="16"/>
  <c r="W5" i="16"/>
  <c r="T9" i="16"/>
  <c r="Y31" i="16"/>
  <c r="AB46" i="16"/>
  <c r="AC46" i="16" s="1"/>
  <c r="AC44" i="16"/>
  <c r="Z18" i="16"/>
  <c r="Y22" i="16"/>
  <c r="Z22" i="16" s="1"/>
  <c r="S16" i="16"/>
  <c r="T16" i="16" s="1"/>
  <c r="F43" i="14"/>
  <c r="F44" i="14" s="1"/>
  <c r="E44" i="14"/>
  <c r="N46" i="16" l="1"/>
  <c r="S46" i="16"/>
  <c r="W39" i="16"/>
  <c r="Y39" i="16"/>
  <c r="V43" i="16"/>
  <c r="X31" i="16"/>
  <c r="X36" i="16" s="1"/>
  <c r="X44" i="16" s="1"/>
  <c r="X46" i="16" s="1"/>
  <c r="U36" i="16"/>
  <c r="W31" i="16"/>
  <c r="G47" i="16"/>
  <c r="Z31" i="16"/>
  <c r="H47" i="16"/>
  <c r="E47" i="16"/>
  <c r="Y45" i="16"/>
  <c r="W45" i="16"/>
  <c r="R44" i="16"/>
  <c r="O46" i="16"/>
  <c r="Q44" i="16"/>
  <c r="W9" i="16"/>
  <c r="V23" i="16"/>
  <c r="W23" i="16" s="1"/>
  <c r="V17" i="16"/>
  <c r="W17" i="16" s="1"/>
  <c r="W16" i="16"/>
  <c r="J47" i="16"/>
  <c r="K46" i="16"/>
  <c r="K47" i="16" s="1"/>
  <c r="Y9" i="16"/>
  <c r="Z5" i="16"/>
  <c r="M23" i="16"/>
  <c r="Z13" i="16"/>
  <c r="Y16" i="16"/>
  <c r="T44" i="16"/>
  <c r="N22" i="16"/>
  <c r="S22" i="16"/>
  <c r="T22" i="16" s="1"/>
  <c r="Y36" i="16"/>
  <c r="N23" i="16" l="1"/>
  <c r="S23" i="16"/>
  <c r="T23" i="16" s="1"/>
  <c r="Z36" i="16"/>
  <c r="Z9" i="16"/>
  <c r="Y23" i="16"/>
  <c r="Z23" i="16" s="1"/>
  <c r="R46" i="16"/>
  <c r="R47" i="16" s="1"/>
  <c r="O47" i="16"/>
  <c r="Q46" i="16"/>
  <c r="Q47" i="16" s="1"/>
  <c r="Z45" i="16"/>
  <c r="W43" i="16"/>
  <c r="V44" i="16"/>
  <c r="N47" i="16"/>
  <c r="U44" i="16"/>
  <c r="U46" i="16" s="1"/>
  <c r="W36" i="16"/>
  <c r="T46" i="16"/>
  <c r="T47" i="16" s="1"/>
  <c r="S47" i="16"/>
  <c r="Y17" i="16"/>
  <c r="Z17" i="16" s="1"/>
  <c r="Z16" i="16"/>
  <c r="Z39" i="16"/>
  <c r="Y43" i="16"/>
  <c r="M47" i="16"/>
  <c r="W44" i="16" l="1"/>
  <c r="V46" i="16"/>
  <c r="Y44" i="16"/>
  <c r="Z43" i="16"/>
  <c r="Z44" i="16" l="1"/>
  <c r="Y46" i="16"/>
  <c r="Z46" i="16" s="1"/>
  <c r="V47" i="16"/>
  <c r="W46" i="16"/>
  <c r="W47" i="16" s="1"/>
  <c r="B29" i="12" l="1"/>
  <c r="B8" i="12" l="1"/>
  <c r="B30" i="12" l="1"/>
  <c r="B16" i="12"/>
  <c r="B17" i="12" s="1"/>
  <c r="B15" i="12"/>
  <c r="B10" i="12"/>
  <c r="B45" i="12" l="1"/>
</calcChain>
</file>

<file path=xl/sharedStrings.xml><?xml version="1.0" encoding="utf-8"?>
<sst xmlns="http://schemas.openxmlformats.org/spreadsheetml/2006/main" count="999" uniqueCount="392">
  <si>
    <t>Dologi kiadások</t>
  </si>
  <si>
    <t>Ellátottak pénzbeli juttatásai</t>
  </si>
  <si>
    <t>Beruházások</t>
  </si>
  <si>
    <t>Beruházás</t>
  </si>
  <si>
    <t>Felújítás</t>
  </si>
  <si>
    <t>Bevételi előirányzatok (e Ft-ban)</t>
  </si>
  <si>
    <t xml:space="preserve">Gencsapáti Művelődési Ház és Iskolai Könyvtár </t>
  </si>
  <si>
    <t>Gencsapáti Polgármesteri Hivatal</t>
  </si>
  <si>
    <t>Intézmények összesen:</t>
  </si>
  <si>
    <t>Gencsapáti Község Önkormányzata</t>
  </si>
  <si>
    <t xml:space="preserve">Gencsapáti Község Önkormányzata és intézményei </t>
  </si>
  <si>
    <t>Gencsapáti Község Önkormányzata és intézményei központi írányítószervi támogatást nettósítva</t>
  </si>
  <si>
    <t>feladatjelleg szerint: - kötelező feladatok</t>
  </si>
  <si>
    <t>feladatjelleg szerint: - önként vállalt feladatok</t>
  </si>
  <si>
    <t>feladatjelleg szerint: - államigazgatási feladatok</t>
  </si>
  <si>
    <t>Működési célú támogatások álamháztartáson belülről</t>
  </si>
  <si>
    <t>Közhatalmi bevételek</t>
  </si>
  <si>
    <t>Működési bevételek</t>
  </si>
  <si>
    <t>Működési célú átvett pénzeszközök</t>
  </si>
  <si>
    <t>Működési célú költségvetési bevételek összesen:</t>
  </si>
  <si>
    <t>Felhalmozási célú támogatások államháztartáson belülről</t>
  </si>
  <si>
    <t xml:space="preserve">                - ebből felhalmozási célú állami támogatás </t>
  </si>
  <si>
    <t>Felhalmozási bevételek</t>
  </si>
  <si>
    <t>Felhalmozási célú átvett pénzeszközök</t>
  </si>
  <si>
    <t xml:space="preserve">     -  ebből egyéb felh c visszat. támogatások, kölcsönök</t>
  </si>
  <si>
    <t xml:space="preserve">     -  ebből egyéb felh. célú átvett pénzeszközök</t>
  </si>
  <si>
    <t>Felhalmozási célú költségvetési bevételek összesen:</t>
  </si>
  <si>
    <t xml:space="preserve">KÖLTSÉGVETÉSI BEVÉTELEK ÖSSZESEN: </t>
  </si>
  <si>
    <t>Előző évi maradvány</t>
  </si>
  <si>
    <t>Központi irányítószervi támogatás</t>
  </si>
  <si>
    <t xml:space="preserve">FINANSZÍROZÁSI BEVÉTELEK ÖSSZESEN: </t>
  </si>
  <si>
    <t>BEVÉTELI ELŐIRÁNYZAT MINDÖSSZESEN:</t>
  </si>
  <si>
    <t>Kiadási előirányzatok (e Ft-ban)</t>
  </si>
  <si>
    <t>Személyi juttatások</t>
  </si>
  <si>
    <t>Munkaadókat terhelő járulékok</t>
  </si>
  <si>
    <t xml:space="preserve">Egyéb működési célú kiadások </t>
  </si>
  <si>
    <t xml:space="preserve">               -ebből elvonások, befizetések</t>
  </si>
  <si>
    <t xml:space="preserve">               -ebből működési célú támogatások áht-n belülre</t>
  </si>
  <si>
    <t xml:space="preserve">               -ebből működési célú támogatások áht-n kívülre</t>
  </si>
  <si>
    <t xml:space="preserve">               -ebből tartalékok</t>
  </si>
  <si>
    <t>Működési célú költségvetési kiadások összesen:</t>
  </si>
  <si>
    <t>Egyéb felhalmozási célú kiadások</t>
  </si>
  <si>
    <t xml:space="preserve">               -ebből felh. C. visszat. támogatások, kölcsönök nyújtása</t>
  </si>
  <si>
    <t xml:space="preserve">               -ebből egyéb felh. célú támogatások áht-n blülre</t>
  </si>
  <si>
    <t xml:space="preserve">               -ebből egyéb felh. célú támogatások áht-n kívülre</t>
  </si>
  <si>
    <t>Felhalmozási célú költségvetési kiadások  összesen:</t>
  </si>
  <si>
    <t xml:space="preserve">FINANSZÍROZÁSI CÉLÚ KIADÁSOK ÖSSZESEN: </t>
  </si>
  <si>
    <t>KIADÁSI ELŐIRÁNYZAT MINDÖSSZESEN:</t>
  </si>
  <si>
    <t>LÉTSZÁM (engedélyezett létszámkeret közfogalkoztatottak nélkül)</t>
  </si>
  <si>
    <t xml:space="preserve">  -ebből  szakmai létszám</t>
  </si>
  <si>
    <t xml:space="preserve">  - ebből  technikai létszám</t>
  </si>
  <si>
    <t>Jogcím</t>
  </si>
  <si>
    <t>1. a) Önkormányzati hivatal működésének támogatása</t>
  </si>
  <si>
    <t>1. b) Település-üzemeltetéshez kapcsolódó feladatellátás támogatása</t>
  </si>
  <si>
    <t xml:space="preserve">         ba) Zöldterület gazdálkodással kapcsolatos feladatok</t>
  </si>
  <si>
    <t xml:space="preserve">         bb) Közvilágítás fenntartásának támogatása</t>
  </si>
  <si>
    <t xml:space="preserve">         bc) Köztemető fenntartásának támogatása</t>
  </si>
  <si>
    <t xml:space="preserve">         bd) Közutak fenntartásának támogatása</t>
  </si>
  <si>
    <t xml:space="preserve">1. c) Egyéb kötelező önkormányzati feladatok támogatása </t>
  </si>
  <si>
    <t>1. d)  Lakott külterülettel kapcsolatos feladatok támogatása</t>
  </si>
  <si>
    <t>6. Polgármesteri illetmény támogatása</t>
  </si>
  <si>
    <t>1.1 (1)1  óvodapedagógusok bértámogatás 8 hónapra</t>
  </si>
  <si>
    <t>1.1 (2)1  óvodapedagógusok munkáját közvetlenül segítők bértámogatás 8 hónapra</t>
  </si>
  <si>
    <t>1.1 (1)2  óvodapedagógusok bértámogatás 4 hónapra</t>
  </si>
  <si>
    <t>1.1 (2)2  óvodapedagógusok munkáját közvetlenül segítők bértámogatás 4 hónapra</t>
  </si>
  <si>
    <t>1.1 (4)2  óvodapedagógusok bértámogatása pótlólagos összeg</t>
  </si>
  <si>
    <t>2 (1)1 . Óvodaműködtetési támogatás 8 hónapra</t>
  </si>
  <si>
    <t>2 (1)2  . Óvodaműködtetési támogatás 4 hónapra</t>
  </si>
  <si>
    <t>4.  Pedagógus II. kategóriába sorolt óvodapedagógusok kiegészítő támogatása</t>
  </si>
  <si>
    <t>2. Települési önkormányzatok szociális feladatainak egyéb támogatása</t>
  </si>
  <si>
    <t>3.c.  Egyes szociális és gyermekjóléti feladatok támogatása - szociális étkeztetés</t>
  </si>
  <si>
    <t>3.d  Egyes szociális és gyermekjóléti feladatok támogatása - házi segítségnyújtás szociális segítés</t>
  </si>
  <si>
    <t>3.d  Egyes szociális és gyermekjóléti feladatok támogatása - házi segítségnyújtás személyi gondozás</t>
  </si>
  <si>
    <t>3.f  Egyes szociális és gyermekjóléti feladatok támogatása - időskorúak nappali intézményi ellátása</t>
  </si>
  <si>
    <t>5. a) Gyermekétkeztetés támogatása: elismerhető dolgozók bértámogatása</t>
  </si>
  <si>
    <t>5. b) Gyermekétkeztetés támogatása: üzemeltetési támogatás</t>
  </si>
  <si>
    <t>1. d) Nyilvános könyvtári ellátási és közművelődési feladatok támogatása</t>
  </si>
  <si>
    <t>V.) Beszámítás összege (levonva előző jogcímeken)</t>
  </si>
  <si>
    <t>A helyi önkormányzatok általános müködésének és ágazati feladatainak támogatása összesen:</t>
  </si>
  <si>
    <t>Gencsapáti Művelődési Ház és Községi Iskolai Könyvtár</t>
  </si>
  <si>
    <t>Gyöngyös-kert  Óvoda</t>
  </si>
  <si>
    <t>Vassurányi Tagóvoda</t>
  </si>
  <si>
    <t>Pornóapáti Tagóvoda</t>
  </si>
  <si>
    <t>Gyöngyös-kert Óvoda összesen:</t>
  </si>
  <si>
    <t>2. MELLÉKLET ÁLTALÁNOS MŰKÖDÉSI ÉS ÁGAZATI FELADATOK TÁMOGATÁSA</t>
  </si>
  <si>
    <t>fő</t>
  </si>
  <si>
    <t>Közös hivatal működésének támogatása)(4 580 000 Ft/fő)</t>
  </si>
  <si>
    <t>Ft</t>
  </si>
  <si>
    <t>1. b) Település-üzemeltetéshez kapcsolódó feladatellátás támogatása beszámítás után</t>
  </si>
  <si>
    <t xml:space="preserve"> ba) Zöldterület gazdálkodással kapcsolatos feladatok támogatása </t>
  </si>
  <si>
    <t xml:space="preserve">bb) Közvilágítás fenntartásának támogatása   </t>
  </si>
  <si>
    <t>bc) Köztemető fenntartásának támogatása</t>
  </si>
  <si>
    <t xml:space="preserve">d) Közutak fenntartásának támogatása </t>
  </si>
  <si>
    <t>1. c) Egyéb kötelező önkormányzati feladatok támogatása</t>
  </si>
  <si>
    <t xml:space="preserve">1.   Óvodapedagógusok átlagbérének és közterheinek  </t>
  </si>
  <si>
    <t xml:space="preserve">1.  Óvodapedagógusok átlagbérének és közterheinek </t>
  </si>
  <si>
    <t xml:space="preserve">1.  Óvodapedagógusok munkáját közvetlenül segítők      </t>
  </si>
  <si>
    <t xml:space="preserve">      bérének és járulékainak támogatása (4 hóra, 2505 Ft /év)</t>
  </si>
  <si>
    <t xml:space="preserve">4.   Pedagógus II. kategóriába sorolt óvodapedagógusok  kiegészítő </t>
  </si>
  <si>
    <t xml:space="preserve">2.        Hozzájárulás pénzbeli szociális ellátásokhoz </t>
  </si>
  <si>
    <t>beszámítás után</t>
  </si>
  <si>
    <t>3. c.)  Szociális étkeztetés</t>
  </si>
  <si>
    <t xml:space="preserve">           (55 360  Ft/ellátott )</t>
  </si>
  <si>
    <t>3.  d.)  házi segítségnyújtás szociális segítés</t>
  </si>
  <si>
    <t xml:space="preserve">          (25 000 Ft/ellátott)</t>
  </si>
  <si>
    <t>3.  f. )   Időskorúak nappali intézményi ellátása</t>
  </si>
  <si>
    <t xml:space="preserve">           (109 000 Ft/ellátott )</t>
  </si>
  <si>
    <t xml:space="preserve"> 5 . a.) Gyermekétkeztetés támogatása</t>
  </si>
  <si>
    <t>elismerhető dolgozók bértámogatása (1900 000 Ft/fő)</t>
  </si>
  <si>
    <t xml:space="preserve"> 5 .b.)   Gyermekétkeztetés </t>
  </si>
  <si>
    <t>üzemeltetési támogatása</t>
  </si>
  <si>
    <t xml:space="preserve">1.d.  )   Nyilvános könyvtári és közművelődési </t>
  </si>
  <si>
    <t xml:space="preserve">1.i) A települési önkormányzatok könyvtári célú </t>
  </si>
  <si>
    <t>érdekeltségnövelő támogatása</t>
  </si>
  <si>
    <t>3. Kúltúrális illetménypótlék</t>
  </si>
  <si>
    <t>(előző jogcímeknél levonva)</t>
  </si>
  <si>
    <t>GENCSAPÁTI KÖZSÉG ÖNKORMÁNYZAT</t>
  </si>
  <si>
    <t>TÁRSULÁSA RÉSZÉRE TÁMOGATÁS ÉRTÉKŰ KIADÁSKÉNT ÁTADANDÓ</t>
  </si>
  <si>
    <t xml:space="preserve">  - ebből állami támogatás </t>
  </si>
  <si>
    <t xml:space="preserve"> - ebből önkormányzati támogatás</t>
  </si>
  <si>
    <t>I.</t>
  </si>
  <si>
    <t>Felhalmozási bevételek (saját bevételek)</t>
  </si>
  <si>
    <t>1.</t>
  </si>
  <si>
    <t>2.</t>
  </si>
  <si>
    <t>3.</t>
  </si>
  <si>
    <t>4.</t>
  </si>
  <si>
    <t>Összesen:</t>
  </si>
  <si>
    <t xml:space="preserve">II. </t>
  </si>
  <si>
    <t>III.</t>
  </si>
  <si>
    <t>IV.</t>
  </si>
  <si>
    <t>Előző évi maradvány felhalmozási c felhasználása</t>
  </si>
  <si>
    <t>FINANSZÍROZÁSI BEVÉTELEK ÖSSZESEN:</t>
  </si>
  <si>
    <t>MINDÖSSZESEN:</t>
  </si>
  <si>
    <t>ebből:</t>
  </si>
  <si>
    <t>Kötelező feladatok összesen:</t>
  </si>
  <si>
    <t>Felújítások</t>
  </si>
  <si>
    <t>FELHALMOZÁSI C. KÖLTSÉGVETÉSI KIADÁSOK ÖSSZESEN:</t>
  </si>
  <si>
    <t>Finanszírozási kiadások:</t>
  </si>
  <si>
    <t>FINANSZÍROZÁSI KIADÁSOK ÖSSZESEN:</t>
  </si>
  <si>
    <t>Fejlesztési kiadások-fejlesztési bevételek egyenlege:</t>
  </si>
  <si>
    <t>TOP-1.4.1-15-VS-2016-00013 Gyöngyös-kert Óvoda felújítása</t>
  </si>
  <si>
    <t>TOP-3.2.1.-15-VS-2016-00006 Apponyi Albert Iskola felújítása</t>
  </si>
  <si>
    <t>TOP-4.2.1.-15-VS-2016-00003 Idősek Klubja felújítása</t>
  </si>
  <si>
    <t>5.</t>
  </si>
  <si>
    <t>Előző évi maradványból fejesztésre fordított összeg az előző pontokon túl</t>
  </si>
  <si>
    <t>6.</t>
  </si>
  <si>
    <t>2018.</t>
  </si>
  <si>
    <t>2019.</t>
  </si>
  <si>
    <t>Összes</t>
  </si>
  <si>
    <t>év</t>
  </si>
  <si>
    <t>a) Hitel, kölcsön felvétele jogcímen belül a kötelezettségek</t>
  </si>
  <si>
    <t>megnevezése</t>
  </si>
  <si>
    <t>azonosító adatai</t>
  </si>
  <si>
    <t>futamidő</t>
  </si>
  <si>
    <t>Összesen</t>
  </si>
  <si>
    <t>b) A számvitelről szóló törvény szerinti hitelviszonyt megtestesítő értékpapír forgalomba hozatala jogcímen belül a kötelezettségek</t>
  </si>
  <si>
    <t>c) Váltó kibocsátása jogcímen belül a kötelezettségek</t>
  </si>
  <si>
    <t>d) A számvitelről szóló törvény szerinti pénzügyi lízing igénybevétele jogcímen belül a kötelezettségek</t>
  </si>
  <si>
    <t>e) Visszavásárlási kötelezettség kikötésével megkötött adásvételi szerződés miatti kötelezettség jogcímen belül a kötelezettségek</t>
  </si>
  <si>
    <t>f) Szerződésben kapott, legalább 365 nap időtartamú halasztott fizetés, részletfizetés és még ki nem fizetett ellenérték miatti kötelezettség jogcímen belül a kötelezettségek</t>
  </si>
  <si>
    <t>a) Helyi adóból és települési adóból származó bevétel jogcímen belül az érintett bevételek</t>
  </si>
  <si>
    <t>rendszeressége</t>
  </si>
  <si>
    <t>b) Az önkormányzati vagyon és az önkormányzatot megillető vagyoni értékű jog értékesítéséből és hasznosításából származó bevétel jogcímen belül az érintett bevételek</t>
  </si>
  <si>
    <t>c) Az osztalék, a koncessziós díj és a hozambevétel jogcímen belül az érintett bevételek</t>
  </si>
  <si>
    <t>d) A tárgyi eszköz és az immateriális jószág, részvény, részesedés, vállalat értékesítéséből vagy privatizációból származó bevétel jogcímen belül az érintett bevételek</t>
  </si>
  <si>
    <t>e) Bírság-, pótlék- és díjbevétel jogcímen belül az érintett bevételek</t>
  </si>
  <si>
    <t>f) A kezesség-, illetve garanciavállalással kapcsolatos megtérülés jogcímen belül az érintett bevételek</t>
  </si>
  <si>
    <t>Gencsapáti Község Önkormányzata stabilitási törvényhez kapcsolódóan a saját bevételek és az adósságot keletkeztető ügyletekből eredő fizetési kötelezettségek költségvetési évet követő 3 év tervezett előirányzatai, a tervszámoktól történő esetleges eltérés indokai</t>
  </si>
  <si>
    <t>2020.</t>
  </si>
  <si>
    <t>2021.</t>
  </si>
  <si>
    <t>g) Hitelintézetek által, származékos műveletek különbözeteként az Államadósság Kezelő Központ Zrt.-nél (a továbbiakban: ÁKK Zrt.) elhelyezett fedezeti betétek, és azok összege jogcímen belül a kötelezettségek</t>
  </si>
  <si>
    <t>Kötelezettség összege Ft-ban</t>
  </si>
  <si>
    <t>KIMUTATÁS</t>
  </si>
  <si>
    <t>Bevételek (források)</t>
  </si>
  <si>
    <t>Európai Unios forrás</t>
  </si>
  <si>
    <t>Kormányzati támogatás</t>
  </si>
  <si>
    <t>Egyéb támogatás</t>
  </si>
  <si>
    <t>Önkormányzat saját forrásaiból</t>
  </si>
  <si>
    <t>Kiadások:</t>
  </si>
  <si>
    <t>Egyéb kiadás</t>
  </si>
  <si>
    <t>Sabilitási tv. 3. § (1) bekezdése szerinti adósságot keletkeztető ügyletekből és kezességvállalásokból fennálló kötelezettségek összesen:</t>
  </si>
  <si>
    <t>összesen</t>
  </si>
  <si>
    <r>
      <t>Stabilitási tv. 45. § (1) bekezdés a) pontja alapján meghatározott</t>
    </r>
    <r>
      <rPr>
        <b/>
        <i/>
        <sz val="11"/>
        <color theme="1"/>
        <rFont val="Times New Roman"/>
        <family val="1"/>
        <charset val="238"/>
      </rPr>
      <t xml:space="preserve"> saját bevételek </t>
    </r>
    <r>
      <rPr>
        <b/>
        <sz val="11"/>
        <color theme="1"/>
        <rFont val="Times New Roman"/>
        <family val="1"/>
        <charset val="238"/>
      </rPr>
      <t>típusa és azon belül az adott bevételek</t>
    </r>
  </si>
  <si>
    <r>
      <t>Az önkormányzat a stabilitási tv. 3. § (1) bekezdése szerinti adósságot keletkeztető ügyletekből és kezességvállalásokból fennálló</t>
    </r>
    <r>
      <rPr>
        <b/>
        <i/>
        <sz val="11"/>
        <color theme="1"/>
        <rFont val="Times New Roman"/>
        <family val="1"/>
        <charset val="238"/>
      </rPr>
      <t xml:space="preserve"> kötelezettségeit az adósságot keletkeztető ügyletek</t>
    </r>
    <r>
      <rPr>
        <b/>
        <sz val="11"/>
        <color theme="1"/>
        <rFont val="Times New Roman"/>
        <family val="1"/>
        <charset val="238"/>
      </rPr>
      <t xml:space="preserve"> futamidejének végéig, illetve a kezesség érvényesíthetőségéig:</t>
    </r>
  </si>
  <si>
    <t>Stabilitási tv. 45. § (1) bekezdés a) pontja alapján meghatározott saját bevételek (a) ponttól az f) pontig) összesen</t>
  </si>
  <si>
    <t>megnevezése; azonosító adatai</t>
  </si>
  <si>
    <t>esedékessége</t>
  </si>
  <si>
    <t>Bevétel összege Ft-ban</t>
  </si>
  <si>
    <t>Megnevezés</t>
  </si>
  <si>
    <t>1. Építményadó mentesség, kedvezmény</t>
  </si>
  <si>
    <t>2. Épület után fizetett idegenforgalmi adó mentesség, kedvezmény</t>
  </si>
  <si>
    <t>3. Magánszemélyek kommunális adó mentesség, kedvezmény</t>
  </si>
  <si>
    <t>4. Telekadó mentesség, kedvezmény</t>
  </si>
  <si>
    <t>B34. Vagyoni típusú adók</t>
  </si>
  <si>
    <t>1. Állandó jelleggel végzett iparűzési tevékenység után fizetendő helyi iparűzési adó mentesség, kedvezmény</t>
  </si>
  <si>
    <t>2. Ideiglenes jelleggel végzett tevékenység után fizetendő helyi iparűzési adó mentesség, kedvezmény</t>
  </si>
  <si>
    <t>B351. Értékesítési és forgalmi adók</t>
  </si>
  <si>
    <t>1. Gépjárműadó mentesség és kedvezmény</t>
  </si>
  <si>
    <t>B354. Gépjárműadók</t>
  </si>
  <si>
    <t>1. Talajterhelési díj mentesség és kedvezmény</t>
  </si>
  <si>
    <t>B355. Egyéb áruhasználati és szolgáltatási adók</t>
  </si>
  <si>
    <t>B35. Termékek és szolgáltatások adói</t>
  </si>
  <si>
    <t>1. Illeték mentesség (a mentesség engedélyezése miatt)</t>
  </si>
  <si>
    <t>2. Bírság elengedés, mérséklés</t>
  </si>
  <si>
    <t>B36. Egyéb közhatalmi bevételek</t>
  </si>
  <si>
    <t>B3. Közhatalmi bevételek</t>
  </si>
  <si>
    <t>1. Helyiség bérbe adásából származó bevételből nyújtott kedvezmény, mentesség</t>
  </si>
  <si>
    <t>2. Eszközök hasznosításából származó bevételből nyújtott kedvezmény, mentesség</t>
  </si>
  <si>
    <t>B402. Szolgáltatások ellenértéke</t>
  </si>
  <si>
    <t>1. Helyiség haszonbérbe, használatba adásából származó bevételből nyújtott kedvezmény, mentesség</t>
  </si>
  <si>
    <t>2. Eszközök haszonbérbe, használatba származó bevételből nyújtott kedvezmény, mentesség</t>
  </si>
  <si>
    <t>B404. Tulajdonosi bevételek</t>
  </si>
  <si>
    <t>1. Ellátottak térítési díjának elengedése</t>
  </si>
  <si>
    <t>B405. Ellátási díjak</t>
  </si>
  <si>
    <t>1. Nyújtott kölcsönök utáni kamat mentesség, kedvezmény</t>
  </si>
  <si>
    <t>B4081. Befektetett pénzügyi eszközökből származó bevételek</t>
  </si>
  <si>
    <t>B4082. Egyéb kapott (járó) kamatok és kamatjellegű bevételek</t>
  </si>
  <si>
    <t>B408. Kamatbevételek</t>
  </si>
  <si>
    <t>1. Kártérítések méltányossági alapon történő elengedése</t>
  </si>
  <si>
    <t>B410. Egyéb működési bevételek</t>
  </si>
  <si>
    <t>B 4. Működési bevételek</t>
  </si>
  <si>
    <t>1. Szervezetek és személyek számára visszafizetési kötelezettség mellett - működési célból nyújtott támogatás - visszafizetési kötelezett elengedése</t>
  </si>
  <si>
    <t>B62. Működési célú visszatérítendő támogatások, kölcsönök visszatérülése államháztartáson kívülről</t>
  </si>
  <si>
    <t>B6. Működési célú átvett pénzeszközök</t>
  </si>
  <si>
    <t>1. Lakosság részére lakásépítéshez, lakásfelújításhoz nyújtott kölcsönök elengedése</t>
  </si>
  <si>
    <t>2. Szervezetek és személyek számára visszafizetési kötelezettség mellett - működési célból nyújtott támogatás - visszafizetési kötelezett elengedése (ide nem értve a lakosság részére lakásépítésre, lakásfelújításra nyújtott kölcsönök elengedését)</t>
  </si>
  <si>
    <t>B72. Felhalmozási célú visszatérítendő támogatások, kölcsönök visszatérülése államháztartáson kívülről</t>
  </si>
  <si>
    <t>B7. Felhalmozási célú átvett pénzeszközök</t>
  </si>
  <si>
    <t>Közvetett támogatás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</si>
  <si>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</si>
  <si>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</si>
  <si>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</si>
  <si>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</si>
  <si>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</si>
  <si>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</si>
  <si>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</si>
  <si>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</si>
  <si>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</si>
  <si>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</si>
  <si>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</si>
  <si>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</si>
  <si>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Működési c tám áht-n belülről</t>
  </si>
  <si>
    <t xml:space="preserve"> Működési c átvett pénzeszközök</t>
  </si>
  <si>
    <t>Felhalmozási c tám áht-n belülről</t>
  </si>
  <si>
    <t>7.</t>
  </si>
  <si>
    <t>Felhalmozási c átvett pénzeszközök</t>
  </si>
  <si>
    <t>8.</t>
  </si>
  <si>
    <t>Költségvetési bevételek összesen</t>
  </si>
  <si>
    <t>9.</t>
  </si>
  <si>
    <t xml:space="preserve">Belső fin. bevételei (Pénzmaradvány) Finanszírozással nettósítva </t>
  </si>
  <si>
    <t>10.</t>
  </si>
  <si>
    <t>BEVÉTELEK ÖSSZESEN</t>
  </si>
  <si>
    <t>11.</t>
  </si>
  <si>
    <t>12.</t>
  </si>
  <si>
    <t>Munkaadói járulék</t>
  </si>
  <si>
    <t>13.</t>
  </si>
  <si>
    <t>Dologi kiadás</t>
  </si>
  <si>
    <t>14.</t>
  </si>
  <si>
    <t>Ellátottak juttatásai</t>
  </si>
  <si>
    <t>15.</t>
  </si>
  <si>
    <t>Egyéb működési c kiadások</t>
  </si>
  <si>
    <t>16.</t>
  </si>
  <si>
    <t>17.</t>
  </si>
  <si>
    <t>18.</t>
  </si>
  <si>
    <t>Egyéb felhalmozási c kiadások</t>
  </si>
  <si>
    <t>19.</t>
  </si>
  <si>
    <t>Költségvetési kiadások összesen</t>
  </si>
  <si>
    <t>20.</t>
  </si>
  <si>
    <t xml:space="preserve">Finanszírozás kiadásai Finanszírozással nettósítva </t>
  </si>
  <si>
    <t>21.</t>
  </si>
  <si>
    <t>KIADÁSOK ÖSSZESEN</t>
  </si>
  <si>
    <t>BEVÉTELI ELŐIRÁNYZATOK</t>
  </si>
  <si>
    <t>Finanszírozási bevételek</t>
  </si>
  <si>
    <t>KIADÁSI ELŐIRÁNYZATOK</t>
  </si>
  <si>
    <t>Finanszírozás kiadásai</t>
  </si>
  <si>
    <t>Finanszírozás kiadásai (intézmény finanszírozás és maradvány)</t>
  </si>
  <si>
    <t>Belső fin. bevételei (Központi irányítószervi támogatás és maradvány)</t>
  </si>
  <si>
    <t xml:space="preserve">A helyi önkormányzatok általános müködésének és ágazati feladatainak támogatása (2017. évi XC. törvény 2. melléklete szerint)  </t>
  </si>
  <si>
    <t>Önként vállalt feladatok összesen:</t>
  </si>
  <si>
    <t>KÖLTSÉGVETÉSI KIADÁSOK ÖSSZESEN:</t>
  </si>
  <si>
    <t xml:space="preserve">   - ebből kötelező feladatok összesen:</t>
  </si>
  <si>
    <t xml:space="preserve">   - ebből önként vállalt feladatok összesen:</t>
  </si>
  <si>
    <t xml:space="preserve">Az európai uniós támogatással megvalósuló programok, projektek bevételeiről és kiadásairól, valamint az önkormányzaton kívüli ilyen projektekhez való hozzájárulásról 2018. évben (adatok Ft-ban) </t>
  </si>
  <si>
    <t>a 2019. évi költségvetési törvény szerint</t>
  </si>
  <si>
    <t>Támogatás összege 2019. 01. 01.                          ( Ft)</t>
  </si>
  <si>
    <t>Támogatás összege 2018. 01. 01.                        ( Ft)</t>
  </si>
  <si>
    <t>3.c.  Egyes szociális és gyermekjóléti feladatok támogatása - család és gyermekjóléti szolgálat</t>
  </si>
  <si>
    <t xml:space="preserve">5.  Nemzetiségi pótlék </t>
  </si>
  <si>
    <t>beszámítás után (lakosságszám alapján 2 700 Ft/fő)           (7260300-7260300)</t>
  </si>
  <si>
    <t xml:space="preserve">     elismert összege  ( 8 hónapra) (4 371 500 Ft /létszám/év)</t>
  </si>
  <si>
    <t xml:space="preserve">       elismert összege  ( 4 hónapra) (4 371 500 Ft /létszám/év)</t>
  </si>
  <si>
    <t>bérének és járulékainak tám. (8 hóra, 2505 000 Ft /év)</t>
  </si>
  <si>
    <t>2.   Óvodaműködtetési támogatás (8 hóra, 97 400 Ft/fő/év)</t>
  </si>
  <si>
    <t>2.   Óvodamúködtetési támogatás (4 hóra  97 400 Ft/fő/év)</t>
  </si>
  <si>
    <t xml:space="preserve"> 3400 000 Ft / szolgálat</t>
  </si>
  <si>
    <t>3. a.)  Család és gyemekjóléti szolgálat</t>
  </si>
  <si>
    <t>1. Szociális ágazati pótlék</t>
  </si>
  <si>
    <t xml:space="preserve">          (330 000 Ft/ellátott)</t>
  </si>
  <si>
    <t xml:space="preserve">           feladatok támogatása  (1 210 Ft/fő)</t>
  </si>
  <si>
    <t xml:space="preserve">      támogatásra.  (396700 Ft /fő/11 hónap)</t>
  </si>
  <si>
    <t xml:space="preserve">5. Nemzetiségi pótlék </t>
  </si>
  <si>
    <t xml:space="preserve">      támogatásra.  563000 Ft /fő/)</t>
  </si>
  <si>
    <t>V.) BESZÁMÍTÁS ÖSSZEGE elvárt bevétel iparűzési adóalap 0,5%-ának a 70 %-a</t>
  </si>
  <si>
    <t>Gencsapáti Község Önkormányzata által igényelt állami támogatások</t>
  </si>
  <si>
    <t>Ady utca csapadékcsatorna és útburkolat építés</t>
  </si>
  <si>
    <t xml:space="preserve">Ady utca közvilágítás fejlesztése </t>
  </si>
  <si>
    <t>2019. évi felhalmozási  kiadások ( Ft)</t>
  </si>
  <si>
    <t>TOP-4.2.1.-15-VS-2016-00003 Idősek Klubja felújításához eszköz beszerzés</t>
  </si>
  <si>
    <t>Művelődési Ház előtető készítése</t>
  </si>
  <si>
    <t xml:space="preserve">Gyöngyös-kert Óvoda étel lift </t>
  </si>
  <si>
    <t>Ipar út szennycsatorna felújítás</t>
  </si>
  <si>
    <t>TOP-3.2.1-16-VS1-2017-00010 Polgármesteri Hivatal felújítása</t>
  </si>
  <si>
    <t>pályázatból támogatott  létszáma</t>
  </si>
  <si>
    <t>2022.</t>
  </si>
  <si>
    <t>2017. tény</t>
  </si>
  <si>
    <t>2018. tény</t>
  </si>
  <si>
    <t>2019. terv</t>
  </si>
  <si>
    <t>Gencsapáti Község  Önkormányzata által nyújtott közvetett támogatások tervezett összegei 2019. évre</t>
  </si>
  <si>
    <t>TOP 3.2.1-16-VS1-2017-00010 Önkormányzati Épületek Energetikai korszerűsítése</t>
  </si>
  <si>
    <t xml:space="preserve">Önkormányzati saját forrás /maradvány </t>
  </si>
  <si>
    <t>Egyéb támogatás /kamat</t>
  </si>
  <si>
    <t>Felújítás( tervezés, kivitelezés, műszaki ellenőrzés)</t>
  </si>
  <si>
    <t>Dologi kiadások (közbeszerzés, pályázat előkészítés díja)</t>
  </si>
  <si>
    <t>Felújítás( tervezés, kivitelezés, műszaki ellenőrzés,)</t>
  </si>
  <si>
    <t>Beruházás (ezsköz beszerzés)</t>
  </si>
  <si>
    <t>2016. év</t>
  </si>
  <si>
    <t>Dologi kiadások(pályázat írás, energetiaki  tanusítvány, fordított áfa, közbeszerés lebony.)</t>
  </si>
  <si>
    <t>Dologi kiadások(pályázat írás, energetiaki  tanusítvány, közbeszerés lebony, fordított áfa)</t>
  </si>
  <si>
    <t xml:space="preserve">Gencsapáti Község Önkormányzata és Intézményei  2019. évi előirányzat felhasználási és likviditási ütemterve </t>
  </si>
  <si>
    <t xml:space="preserve">Gencsapáti Község Önkormányzata 2019. évi előirányzat felhasználási és likviditási ütemterve </t>
  </si>
  <si>
    <t xml:space="preserve">Gencsapáti Polgármesteri Hivatal  2019. évi előirányzat felhasználási és likviditási ütemterve </t>
  </si>
  <si>
    <t>Gencsapáti Egységes Szociális és Gyermekjóléti Intézmény</t>
  </si>
  <si>
    <t>Gencsapáti Község Önkormányzat és intézményei bevételei és kiadásai 2019. évben</t>
  </si>
  <si>
    <t xml:space="preserve">Gencsapáti Egységes Szociáis és Gyerekjóléti Intézmény  2019. évi előirányzat felhasználási és likviditási ütemterve </t>
  </si>
  <si>
    <t xml:space="preserve">Gencsapáti  Művelősési Ház és Községi Iskolai Könyvtár 2019. évi előirányzat felhasználási és likviditási ütemterve </t>
  </si>
  <si>
    <t>1. melléklet a 3/2019. (II.15.) önkormányzati rendelethez</t>
  </si>
  <si>
    <t>2. melléklet a 3/2019. (II.15.) önkormányzati rendelethez</t>
  </si>
  <si>
    <t>3. melléklet a 3/2019. (II.15.) önkormányzati rendelethez</t>
  </si>
  <si>
    <t>4. melléklet a 3/2019. (II.15.) önkormányzati rendelethez</t>
  </si>
  <si>
    <t>5. melléklet a  3/2019. (II.15.) önkormányzati rendelethez</t>
  </si>
  <si>
    <t>6. melléklet a   3/2019. (II.15.) önkormányzati rendelethez</t>
  </si>
  <si>
    <t>7. melléklet a   3/2019. (II.15.) önkormányzati rendelethez</t>
  </si>
  <si>
    <t>8. melléklet a   3/2019. (II.15.) önkormányzati rendelethez</t>
  </si>
  <si>
    <t>9. melléklet a     3./2019. (II.15.) önkormányzati rendelethez</t>
  </si>
  <si>
    <t>Központi támogatások összesen (2018. L. törvény 2. és 3. melléklete szerint):</t>
  </si>
  <si>
    <t xml:space="preserve">1.  Kiegyenlítő bérrendezési támogatás </t>
  </si>
  <si>
    <t>VI.) Működési célú költségvetési támogatások és kiegészítő támogatások (B115)</t>
  </si>
  <si>
    <t xml:space="preserve">1. d) Kúltúrális illetménypótlék </t>
  </si>
  <si>
    <t>1. i) A települési önkormányzatok könyvtári célú érdekeltségnövelő támogatása</t>
  </si>
  <si>
    <t>IV.) Települési önkormányzatok kulturális feledatainak támogatása (B114)</t>
  </si>
  <si>
    <t>1. Szociális összevont ágazati pótlék</t>
  </si>
  <si>
    <t>III.) Települési önkormányzatok szociális és gyermekjóléti feladatainak támogatása (B113)</t>
  </si>
  <si>
    <t>II.) Települési önkormányzatok egyes köznevelési feladatainak támogatása (B112)</t>
  </si>
  <si>
    <t>5. 2018 és 2019. évről áthúzódó bérkompenzáció, illetve évre járó bérkompenzáció</t>
  </si>
  <si>
    <t>I.) Települési önkromáynzatok működésének támogatása (B111)</t>
  </si>
  <si>
    <t xml:space="preserve">változás </t>
  </si>
  <si>
    <t>Támogatás összege 2019. 06. 30.                          ( Ft)</t>
  </si>
  <si>
    <t>Gencsapáti Község Önkormányzatának központilag szabályozott bevételei 2018. és 2019. években</t>
  </si>
  <si>
    <t>2019.     Összesen</t>
  </si>
  <si>
    <t>I.) TELEPÜLÉSI ÖNKORMÁNYZATOK MŰKÖDÉSÉNEK TÁMOGATÁSA (B111)</t>
  </si>
  <si>
    <t>5.) 2019 . évről áthúzodó bérkompenzáció</t>
  </si>
  <si>
    <t>6.) polgármesteri illetmények támogatása</t>
  </si>
  <si>
    <t>II.) TELEPÜLÉSI ÖNKORMÁNYZATOK EGYES KÖZNEVELÉSI FELADATAINAK TÁMOGATÁSA (B112)</t>
  </si>
  <si>
    <t>III.) TELEPÜLÉSI ÖNKORMÁNYZATOK SZOCIÁLIS, GYERMEKJÓLÉTI ÉS GYERMEKÉTKEZTETÉSI FELADATAINAK TÁMOGATÁSA (B113)</t>
  </si>
  <si>
    <t>IV.) TELEPÜLÉSI ÖNKORMÁNYZATOK KULTURÁLIS FELADATAINAK  TÁMOGATÁSA (B114)</t>
  </si>
  <si>
    <t>VI.) MŰKÖDÉSI CÉLÚ KÖLTSÉGVETÉSI TÁMOGATÁSOK ÉS KIEGÉSZÍTŐ TÁMOGATÁSOK (B115)</t>
  </si>
  <si>
    <t xml:space="preserve">1.)  Kiegyenlítő bérrendezési támogatás </t>
  </si>
  <si>
    <t xml:space="preserve">Gencsapáti Művelődési Ház és  Községi Iskolai Könyvtár </t>
  </si>
  <si>
    <t>2019.01.01 eredeti ei.</t>
  </si>
  <si>
    <t>2019.06.30. módosított ei.</t>
  </si>
  <si>
    <t>változás</t>
  </si>
  <si>
    <t>2019.01.01    eredeti ei.</t>
  </si>
  <si>
    <t>2019.01.01              eredeti ei.</t>
  </si>
  <si>
    <t xml:space="preserve">          2019. évi felhalmozási célú bevételek </t>
  </si>
  <si>
    <t>MŰKÖDÉSI BEVÉTELBŐL FELÚJÍTÁSRA FORDÍTOTT ÖSSZEG : Vasivíz Zrt által fizetett rendszerhasználati díjból felúításra fordított összeg</t>
  </si>
  <si>
    <t>Gencsapáti Község Önkormányzata részére 2 db mobiltelefon beszerzése</t>
  </si>
  <si>
    <t>Gencsapáti Község Önkormányzata részére 2 db kültéri pad beszerzése</t>
  </si>
  <si>
    <t>Gencsapáti Község Önkormányzata részére 1 db magasnyomású mosó beszerzése</t>
  </si>
  <si>
    <t>Gyöngyös-kert óvoda részére 2 db LED tv és 1 db telefon beszerzése</t>
  </si>
  <si>
    <t>Apponyi Albert Általános Iskola részére nyomtató beszerzése</t>
  </si>
  <si>
    <t>ÖNKORMÁNYZAT KÖLTSÉGVETÉSÉBEN MEGJELENŐ BERUHÁZÁSOK</t>
  </si>
  <si>
    <t>Polgármesteri Hivatal kisértékű eszközbeszerzések</t>
  </si>
  <si>
    <t>Gencsapáti Művelődési Ház hangtechnikai berendezések beszerzése</t>
  </si>
  <si>
    <t>INTÉZMÉNYEK KÖLTSÉGVETÉSÉBEN MEGJELENŐ BERUHÁZÁSOK</t>
  </si>
  <si>
    <t xml:space="preserve">VASIVÍZ Zrt. által a víz és szennyvíz rendszeren végzett beruházások értéke </t>
  </si>
  <si>
    <t>VP6-19.2.1.-69-8.1.1-17 – „Pannon Térségfejlesztő Egyesület - Pannon Élmény Program - pályázat megelőlegezése 40/2019 (III.20) határozat alapján</t>
  </si>
  <si>
    <t>Hunyadi út 38.-212. hsz. között szakaszán járda felújítása</t>
  </si>
  <si>
    <t>2020. terv</t>
  </si>
  <si>
    <t>2021. terv</t>
  </si>
  <si>
    <t xml:space="preserve">TOP-5.3.1-16-VS1-2017-00003 azonosító számú Ördög’Kő” a házassághoz! Közösségfejlesztés Gencsapátitól Perenyéig című </t>
  </si>
  <si>
    <t>Személyi jellegű kifizetések</t>
  </si>
  <si>
    <t>Munkaadó terhelő járulékok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</si>
</sst>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F_t_-;\-* #,##0.00\ _F_t_-;_-* &quot;-&quot;??\ _F_t_-;_-@_-"/>
    <numFmt numFmtId="165" formatCode="#,##0.0000"/>
    <numFmt numFmtId="166" formatCode="_-* #,##0\ _F_t_-;\-* #,##0\ _F_t_-;_-* &quot;-&quot;??\ _F_t_-;_-@_-"/>
    <numFmt numFmtId="167" formatCode="#,##0.0"/>
    <numFmt numFmtId="168" formatCode="#,##0.00_ ;\-#,##0.00\ "/>
    <numFmt numFmtId="169" formatCode="#,##0_ ;\-#,##0\ "/>
    <numFmt numFmtId="170" formatCode="#,##0.000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29" fillId="0" borderId="0" applyFont="0" applyFill="0" applyBorder="0" applyAlignment="0" applyProtection="0"/>
    <xf numFmtId="0" fontId="1" fillId="0" borderId="0"/>
    <xf numFmtId="0" fontId="1" fillId="0" borderId="0"/>
  </cellStyleXfs>
  <cellXfs count="832">
    <xf numFmtId="0" fontId="0" fillId="0" borderId="0" xfId="0"/>
    <xf numFmtId="0" fontId="8" fillId="2" borderId="0" xfId="2" applyFont="1" applyFill="1"/>
    <xf numFmtId="3" fontId="7" fillId="3" borderId="0" xfId="3" applyNumberFormat="1" applyFont="1" applyFill="1"/>
    <xf numFmtId="3" fontId="19" fillId="4" borderId="0" xfId="3" applyNumberFormat="1" applyFont="1" applyFill="1"/>
    <xf numFmtId="0" fontId="20" fillId="5" borderId="0" xfId="3" applyFont="1" applyFill="1"/>
    <xf numFmtId="0" fontId="20" fillId="5" borderId="0" xfId="3" applyFont="1" applyFill="1" applyAlignment="1">
      <alignment wrapText="1"/>
    </xf>
    <xf numFmtId="3" fontId="20" fillId="5" borderId="0" xfId="3" applyNumberFormat="1" applyFont="1" applyFill="1"/>
    <xf numFmtId="0" fontId="7" fillId="7" borderId="6" xfId="2" applyFont="1" applyFill="1" applyBorder="1" applyAlignment="1">
      <alignment horizontal="center" wrapText="1"/>
    </xf>
    <xf numFmtId="0" fontId="7" fillId="6" borderId="52" xfId="2" applyFont="1" applyFill="1" applyBorder="1" applyAlignment="1">
      <alignment horizontal="center" wrapText="1"/>
    </xf>
    <xf numFmtId="0" fontId="7" fillId="6" borderId="54" xfId="2" applyFont="1" applyFill="1" applyBorder="1" applyAlignment="1">
      <alignment horizontal="center" wrapText="1"/>
    </xf>
    <xf numFmtId="0" fontId="7" fillId="7" borderId="52" xfId="2" applyFont="1" applyFill="1" applyBorder="1" applyAlignment="1">
      <alignment horizontal="center" wrapText="1"/>
    </xf>
    <xf numFmtId="0" fontId="7" fillId="7" borderId="53" xfId="2" applyFont="1" applyFill="1" applyBorder="1" applyAlignment="1">
      <alignment horizontal="center" wrapText="1"/>
    </xf>
    <xf numFmtId="0" fontId="7" fillId="7" borderId="55" xfId="2" applyFont="1" applyFill="1" applyBorder="1" applyAlignment="1">
      <alignment horizontal="center" wrapText="1"/>
    </xf>
    <xf numFmtId="0" fontId="7" fillId="7" borderId="3" xfId="2" applyFont="1" applyFill="1" applyBorder="1" applyAlignment="1">
      <alignment horizontal="center" wrapText="1"/>
    </xf>
    <xf numFmtId="0" fontId="7" fillId="7" borderId="26" xfId="2" applyFont="1" applyFill="1" applyBorder="1" applyAlignment="1">
      <alignment horizontal="center" wrapText="1"/>
    </xf>
    <xf numFmtId="0" fontId="7" fillId="7" borderId="20" xfId="2" applyFont="1" applyFill="1" applyBorder="1" applyAlignment="1">
      <alignment horizontal="center" wrapText="1"/>
    </xf>
    <xf numFmtId="3" fontId="14" fillId="6" borderId="26" xfId="2" applyNumberFormat="1" applyFont="1" applyFill="1" applyBorder="1" applyAlignment="1">
      <alignment horizontal="right"/>
    </xf>
    <xf numFmtId="0" fontId="30" fillId="0" borderId="0" xfId="0" applyFont="1"/>
    <xf numFmtId="3" fontId="10" fillId="0" borderId="0" xfId="2" applyNumberFormat="1" applyFont="1"/>
    <xf numFmtId="0" fontId="14" fillId="0" borderId="0" xfId="2" applyFont="1"/>
    <xf numFmtId="0" fontId="2" fillId="0" borderId="0" xfId="2" applyFont="1" applyAlignment="1">
      <alignment horizontal="right"/>
    </xf>
    <xf numFmtId="3" fontId="16" fillId="0" borderId="0" xfId="2" applyNumberFormat="1" applyFont="1"/>
    <xf numFmtId="3" fontId="14" fillId="0" borderId="0" xfId="2" applyNumberFormat="1" applyFont="1"/>
    <xf numFmtId="0" fontId="14" fillId="0" borderId="0" xfId="2" applyFont="1" applyAlignment="1">
      <alignment wrapText="1"/>
    </xf>
    <xf numFmtId="0" fontId="37" fillId="0" borderId="27" xfId="0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justify" vertical="center" wrapText="1"/>
    </xf>
    <xf numFmtId="0" fontId="33" fillId="0" borderId="38" xfId="0" applyFont="1" applyBorder="1" applyAlignment="1">
      <alignment horizontal="justify" vertical="center" wrapText="1"/>
    </xf>
    <xf numFmtId="0" fontId="33" fillId="0" borderId="29" xfId="0" applyFont="1" applyBorder="1" applyAlignment="1">
      <alignment horizontal="justify" vertical="center" wrapText="1"/>
    </xf>
    <xf numFmtId="0" fontId="33" fillId="0" borderId="29" xfId="0" applyFont="1" applyBorder="1" applyAlignment="1">
      <alignment horizontal="right" vertical="center" wrapText="1"/>
    </xf>
    <xf numFmtId="0" fontId="37" fillId="0" borderId="37" xfId="0" applyFont="1" applyBorder="1" applyAlignment="1">
      <alignment horizontal="right" vertical="center" wrapText="1"/>
    </xf>
    <xf numFmtId="0" fontId="33" fillId="0" borderId="12" xfId="0" applyFont="1" applyBorder="1" applyAlignment="1">
      <alignment horizontal="justify" vertical="center" wrapText="1"/>
    </xf>
    <xf numFmtId="0" fontId="33" fillId="0" borderId="1" xfId="0" applyFont="1" applyBorder="1" applyAlignment="1">
      <alignment horizontal="right" vertical="center" wrapText="1"/>
    </xf>
    <xf numFmtId="0" fontId="37" fillId="0" borderId="7" xfId="0" applyFont="1" applyBorder="1" applyAlignment="1">
      <alignment horizontal="right" vertical="center" wrapText="1"/>
    </xf>
    <xf numFmtId="0" fontId="33" fillId="0" borderId="12" xfId="0" applyFont="1" applyBorder="1" applyAlignment="1">
      <alignment horizontal="justify" vertical="center"/>
    </xf>
    <xf numFmtId="0" fontId="37" fillId="0" borderId="9" xfId="0" applyFont="1" applyBorder="1" applyAlignment="1">
      <alignment horizontal="right" vertical="center" wrapText="1"/>
    </xf>
    <xf numFmtId="0" fontId="37" fillId="0" borderId="10" xfId="0" applyFont="1" applyBorder="1" applyAlignment="1">
      <alignment horizontal="right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justify" vertical="center" wrapText="1"/>
    </xf>
    <xf numFmtId="0" fontId="33" fillId="0" borderId="11" xfId="0" applyFont="1" applyBorder="1" applyAlignment="1">
      <alignment horizontal="justify" vertical="center" wrapText="1"/>
    </xf>
    <xf numFmtId="0" fontId="33" fillId="0" borderId="51" xfId="0" applyFont="1" applyBorder="1" applyAlignment="1">
      <alignment horizontal="justify" vertical="center" wrapText="1"/>
    </xf>
    <xf numFmtId="168" fontId="33" fillId="0" borderId="1" xfId="6" applyNumberFormat="1" applyFont="1" applyBorder="1" applyAlignment="1">
      <alignment horizontal="right" vertical="center" wrapText="1" indent="1"/>
    </xf>
    <xf numFmtId="169" fontId="33" fillId="0" borderId="29" xfId="6" applyNumberFormat="1" applyFont="1" applyBorder="1" applyAlignment="1">
      <alignment horizontal="right" vertical="center" wrapText="1" indent="1"/>
    </xf>
    <xf numFmtId="169" fontId="33" fillId="0" borderId="37" xfId="6" applyNumberFormat="1" applyFont="1" applyBorder="1" applyAlignment="1">
      <alignment horizontal="right" vertical="center" wrapText="1" indent="1"/>
    </xf>
    <xf numFmtId="0" fontId="35" fillId="0" borderId="0" xfId="0" applyFont="1" applyAlignment="1">
      <alignment horizontal="left" vertical="top"/>
    </xf>
    <xf numFmtId="0" fontId="35" fillId="0" borderId="4" xfId="0" applyFont="1" applyBorder="1" applyAlignment="1">
      <alignment horizontal="left" vertical="top" wrapText="1"/>
    </xf>
    <xf numFmtId="0" fontId="35" fillId="0" borderId="54" xfId="0" applyFont="1" applyBorder="1" applyAlignment="1">
      <alignment horizontal="right" vertical="top"/>
    </xf>
    <xf numFmtId="0" fontId="22" fillId="0" borderId="58" xfId="0" applyFont="1" applyBorder="1" applyAlignment="1">
      <alignment horizontal="right" vertical="top"/>
    </xf>
    <xf numFmtId="0" fontId="22" fillId="0" borderId="41" xfId="0" applyFont="1" applyBorder="1" applyAlignment="1">
      <alignment horizontal="left" vertical="top" wrapText="1"/>
    </xf>
    <xf numFmtId="0" fontId="35" fillId="0" borderId="41" xfId="0" applyFont="1" applyBorder="1" applyAlignment="1">
      <alignment horizontal="left" vertical="top" wrapText="1"/>
    </xf>
    <xf numFmtId="0" fontId="35" fillId="0" borderId="58" xfId="0" applyFont="1" applyBorder="1" applyAlignment="1">
      <alignment horizontal="right" vertical="top"/>
    </xf>
    <xf numFmtId="0" fontId="22" fillId="0" borderId="0" xfId="0" applyFont="1" applyAlignment="1">
      <alignment horizontal="right" vertical="top"/>
    </xf>
    <xf numFmtId="0" fontId="22" fillId="0" borderId="0" xfId="0" applyFont="1"/>
    <xf numFmtId="0" fontId="22" fillId="0" borderId="0" xfId="0" applyFont="1" applyAlignment="1">
      <alignment horizontal="right"/>
    </xf>
    <xf numFmtId="0" fontId="38" fillId="0" borderId="41" xfId="0" applyFont="1" applyBorder="1" applyAlignment="1">
      <alignment horizontal="left" vertical="top" wrapText="1" indent="2"/>
    </xf>
    <xf numFmtId="0" fontId="38" fillId="0" borderId="4" xfId="0" applyFont="1" applyBorder="1" applyAlignment="1">
      <alignment horizontal="left" vertical="top" wrapText="1" indent="2"/>
    </xf>
    <xf numFmtId="0" fontId="35" fillId="0" borderId="41" xfId="0" applyFont="1" applyFill="1" applyBorder="1" applyAlignment="1">
      <alignment horizontal="left" vertical="top" wrapText="1"/>
    </xf>
    <xf numFmtId="3" fontId="2" fillId="0" borderId="0" xfId="2" applyNumberFormat="1" applyFont="1"/>
    <xf numFmtId="3" fontId="7" fillId="0" borderId="0" xfId="2" applyNumberFormat="1" applyFont="1"/>
    <xf numFmtId="166" fontId="22" fillId="0" borderId="58" xfId="6" applyNumberFormat="1" applyFont="1" applyBorder="1" applyAlignment="1">
      <alignment vertical="top"/>
    </xf>
    <xf numFmtId="166" fontId="35" fillId="0" borderId="58" xfId="6" applyNumberFormat="1" applyFont="1" applyFill="1" applyBorder="1" applyAlignment="1">
      <alignment vertical="top"/>
    </xf>
    <xf numFmtId="166" fontId="35" fillId="0" borderId="58" xfId="6" applyNumberFormat="1" applyFont="1" applyBorder="1" applyAlignment="1">
      <alignment vertical="top"/>
    </xf>
    <xf numFmtId="166" fontId="22" fillId="0" borderId="58" xfId="6" applyNumberFormat="1" applyFont="1" applyFill="1" applyBorder="1" applyAlignment="1">
      <alignment vertical="top"/>
    </xf>
    <xf numFmtId="166" fontId="34" fillId="0" borderId="58" xfId="6" applyNumberFormat="1" applyFont="1" applyBorder="1" applyAlignment="1">
      <alignment vertical="top"/>
    </xf>
    <xf numFmtId="0" fontId="35" fillId="0" borderId="54" xfId="0" applyFont="1" applyBorder="1" applyAlignment="1">
      <alignment horizontal="center" vertical="center"/>
    </xf>
    <xf numFmtId="166" fontId="35" fillId="0" borderId="58" xfId="0" applyNumberFormat="1" applyFont="1" applyBorder="1" applyAlignment="1">
      <alignment horizontal="right" vertical="top"/>
    </xf>
    <xf numFmtId="0" fontId="34" fillId="0" borderId="0" xfId="0" applyFont="1" applyAlignment="1">
      <alignment horizontal="left" vertical="top"/>
    </xf>
    <xf numFmtId="3" fontId="14" fillId="6" borderId="5" xfId="2" applyNumberFormat="1" applyFont="1" applyFill="1" applyBorder="1" applyAlignment="1">
      <alignment horizontal="right"/>
    </xf>
    <xf numFmtId="3" fontId="14" fillId="6" borderId="51" xfId="2" applyNumberFormat="1" applyFont="1" applyFill="1" applyBorder="1" applyAlignment="1">
      <alignment horizontal="right"/>
    </xf>
    <xf numFmtId="3" fontId="14" fillId="7" borderId="5" xfId="2" applyNumberFormat="1" applyFont="1" applyFill="1" applyBorder="1" applyAlignment="1">
      <alignment horizontal="right"/>
    </xf>
    <xf numFmtId="3" fontId="14" fillId="7" borderId="11" xfId="2" applyNumberFormat="1" applyFont="1" applyFill="1" applyBorder="1" applyAlignment="1">
      <alignment horizontal="right"/>
    </xf>
    <xf numFmtId="0" fontId="40" fillId="0" borderId="0" xfId="2" applyFont="1" applyAlignment="1">
      <alignment horizontal="right"/>
    </xf>
    <xf numFmtId="3" fontId="42" fillId="0" borderId="0" xfId="2" applyNumberFormat="1" applyFont="1"/>
    <xf numFmtId="3" fontId="41" fillId="0" borderId="0" xfId="2" applyNumberFormat="1" applyFont="1"/>
    <xf numFmtId="0" fontId="41" fillId="0" borderId="0" xfId="2" applyFont="1"/>
    <xf numFmtId="0" fontId="2" fillId="0" borderId="6" xfId="2" applyFont="1" applyBorder="1" applyAlignment="1">
      <alignment horizontal="right"/>
    </xf>
    <xf numFmtId="3" fontId="14" fillId="0" borderId="27" xfId="2" applyNumberFormat="1" applyFont="1" applyBorder="1"/>
    <xf numFmtId="0" fontId="2" fillId="10" borderId="5" xfId="2" applyFont="1" applyFill="1" applyBorder="1" applyAlignment="1">
      <alignment horizontal="right"/>
    </xf>
    <xf numFmtId="3" fontId="7" fillId="0" borderId="27" xfId="2" applyNumberFormat="1" applyFont="1" applyBorder="1"/>
    <xf numFmtId="0" fontId="2" fillId="10" borderId="6" xfId="2" applyFont="1" applyFill="1" applyBorder="1" applyAlignment="1">
      <alignment horizontal="right"/>
    </xf>
    <xf numFmtId="3" fontId="7" fillId="10" borderId="27" xfId="2" applyNumberFormat="1" applyFont="1" applyFill="1" applyBorder="1"/>
    <xf numFmtId="0" fontId="2" fillId="10" borderId="8" xfId="2" applyFont="1" applyFill="1" applyBorder="1" applyAlignment="1">
      <alignment horizontal="right"/>
    </xf>
    <xf numFmtId="3" fontId="2" fillId="10" borderId="59" xfId="2" applyNumberFormat="1" applyFont="1" applyFill="1" applyBorder="1"/>
    <xf numFmtId="3" fontId="2" fillId="10" borderId="27" xfId="2" applyNumberFormat="1" applyFont="1" applyFill="1" applyBorder="1"/>
    <xf numFmtId="3" fontId="2" fillId="10" borderId="58" xfId="2" applyNumberFormat="1" applyFont="1" applyFill="1" applyBorder="1"/>
    <xf numFmtId="3" fontId="7" fillId="10" borderId="11" xfId="2" applyNumberFormat="1" applyFont="1" applyFill="1" applyBorder="1" applyAlignment="1">
      <alignment horizontal="right"/>
    </xf>
    <xf numFmtId="3" fontId="7" fillId="10" borderId="51" xfId="2" applyNumberFormat="1" applyFont="1" applyFill="1" applyBorder="1" applyAlignment="1">
      <alignment horizontal="right"/>
    </xf>
    <xf numFmtId="3" fontId="7" fillId="10" borderId="27" xfId="2" applyNumberFormat="1" applyFont="1" applyFill="1" applyBorder="1" applyAlignment="1">
      <alignment horizontal="right"/>
    </xf>
    <xf numFmtId="3" fontId="2" fillId="10" borderId="59" xfId="2" applyNumberFormat="1" applyFont="1" applyFill="1" applyBorder="1" applyAlignment="1">
      <alignment horizontal="right"/>
    </xf>
    <xf numFmtId="3" fontId="2" fillId="10" borderId="58" xfId="2" applyNumberFormat="1" applyFont="1" applyFill="1" applyBorder="1" applyAlignment="1">
      <alignment horizontal="right"/>
    </xf>
    <xf numFmtId="3" fontId="2" fillId="10" borderId="27" xfId="2" applyNumberFormat="1" applyFont="1" applyFill="1" applyBorder="1" applyAlignment="1">
      <alignment horizontal="right"/>
    </xf>
    <xf numFmtId="3" fontId="7" fillId="10" borderId="58" xfId="2" applyNumberFormat="1" applyFont="1" applyFill="1" applyBorder="1" applyAlignment="1">
      <alignment horizontal="right"/>
    </xf>
    <xf numFmtId="3" fontId="14" fillId="6" borderId="55" xfId="2" applyNumberFormat="1" applyFont="1" applyFill="1" applyBorder="1" applyAlignment="1">
      <alignment horizontal="right"/>
    </xf>
    <xf numFmtId="3" fontId="14" fillId="6" borderId="28" xfId="2" applyNumberFormat="1" applyFont="1" applyFill="1" applyBorder="1" applyAlignment="1">
      <alignment horizontal="right"/>
    </xf>
    <xf numFmtId="3" fontId="14" fillId="6" borderId="6" xfId="2" applyNumberFormat="1" applyFont="1" applyFill="1" applyBorder="1" applyAlignment="1">
      <alignment horizontal="right"/>
    </xf>
    <xf numFmtId="3" fontId="14" fillId="7" borderId="6" xfId="2" applyNumberFormat="1" applyFont="1" applyFill="1" applyBorder="1" applyAlignment="1">
      <alignment horizontal="right"/>
    </xf>
    <xf numFmtId="0" fontId="7" fillId="6" borderId="26" xfId="2" applyFont="1" applyFill="1" applyBorder="1" applyAlignment="1">
      <alignment horizontal="center" wrapText="1"/>
    </xf>
    <xf numFmtId="0" fontId="7" fillId="6" borderId="56" xfId="2" applyFont="1" applyFill="1" applyBorder="1" applyAlignment="1">
      <alignment horizontal="center" wrapText="1"/>
    </xf>
    <xf numFmtId="0" fontId="7" fillId="6" borderId="6" xfId="2" applyFont="1" applyFill="1" applyBorder="1" applyAlignment="1">
      <alignment horizontal="center" wrapText="1"/>
    </xf>
    <xf numFmtId="0" fontId="7" fillId="6" borderId="27" xfId="2" applyFont="1" applyFill="1" applyBorder="1" applyAlignment="1">
      <alignment horizontal="center" wrapText="1"/>
    </xf>
    <xf numFmtId="3" fontId="14" fillId="6" borderId="27" xfId="2" applyNumberFormat="1" applyFont="1" applyFill="1" applyBorder="1" applyAlignment="1">
      <alignment horizontal="right"/>
    </xf>
    <xf numFmtId="0" fontId="33" fillId="0" borderId="1" xfId="0" applyFont="1" applyBorder="1" applyAlignment="1">
      <alignment horizontal="justify" vertical="center" wrapText="1"/>
    </xf>
    <xf numFmtId="0" fontId="37" fillId="0" borderId="9" xfId="0" applyFont="1" applyBorder="1" applyAlignment="1">
      <alignment horizontal="justify" vertical="center" wrapText="1"/>
    </xf>
    <xf numFmtId="0" fontId="14" fillId="0" borderId="0" xfId="3" applyFont="1"/>
    <xf numFmtId="3" fontId="14" fillId="0" borderId="0" xfId="3" applyNumberFormat="1" applyFont="1"/>
    <xf numFmtId="0" fontId="14" fillId="0" borderId="0" xfId="3" applyFont="1" applyAlignment="1">
      <alignment wrapText="1"/>
    </xf>
    <xf numFmtId="0" fontId="7" fillId="0" borderId="0" xfId="3" applyFont="1"/>
    <xf numFmtId="3" fontId="7" fillId="0" borderId="0" xfId="3" applyNumberFormat="1" applyFont="1"/>
    <xf numFmtId="0" fontId="17" fillId="0" borderId="0" xfId="3" applyFont="1" applyAlignment="1">
      <alignment horizontal="right" wrapText="1"/>
    </xf>
    <xf numFmtId="0" fontId="21" fillId="0" borderId="0" xfId="3" applyFont="1" applyAlignment="1">
      <alignment horizontal="right" wrapText="1"/>
    </xf>
    <xf numFmtId="0" fontId="21" fillId="0" borderId="0" xfId="3" applyFont="1" applyAlignment="1">
      <alignment wrapText="1"/>
    </xf>
    <xf numFmtId="0" fontId="20" fillId="0" borderId="0" xfId="3" applyFont="1"/>
    <xf numFmtId="0" fontId="19" fillId="0" borderId="0" xfId="3" applyFont="1"/>
    <xf numFmtId="0" fontId="19" fillId="4" borderId="0" xfId="3" applyFont="1" applyFill="1" applyAlignment="1">
      <alignment wrapText="1"/>
    </xf>
    <xf numFmtId="0" fontId="16" fillId="0" borderId="0" xfId="3" applyFont="1" applyAlignment="1">
      <alignment horizontal="left" wrapText="1"/>
    </xf>
    <xf numFmtId="0" fontId="7" fillId="3" borderId="0" xfId="3" applyFont="1" applyFill="1" applyAlignment="1">
      <alignment wrapText="1"/>
    </xf>
    <xf numFmtId="3" fontId="14" fillId="0" borderId="0" xfId="3" applyNumberFormat="1" applyFont="1" applyAlignment="1">
      <alignment horizontal="right"/>
    </xf>
    <xf numFmtId="2" fontId="16" fillId="0" borderId="0" xfId="3" applyNumberFormat="1" applyFont="1" applyAlignment="1">
      <alignment horizontal="left" wrapText="1"/>
    </xf>
    <xf numFmtId="3" fontId="18" fillId="0" borderId="0" xfId="3" applyNumberFormat="1" applyFont="1"/>
    <xf numFmtId="0" fontId="18" fillId="0" borderId="0" xfId="3" applyFont="1" applyAlignment="1">
      <alignment horizontal="left" wrapText="1"/>
    </xf>
    <xf numFmtId="0" fontId="16" fillId="0" borderId="0" xfId="3" applyFont="1"/>
    <xf numFmtId="0" fontId="17" fillId="3" borderId="0" xfId="3" applyFont="1" applyFill="1" applyAlignment="1">
      <alignment horizontal="left" wrapText="1"/>
    </xf>
    <xf numFmtId="0" fontId="7" fillId="0" borderId="0" xfId="3" applyFont="1" applyAlignment="1">
      <alignment wrapText="1"/>
    </xf>
    <xf numFmtId="0" fontId="2" fillId="0" borderId="0" xfId="3" applyFont="1"/>
    <xf numFmtId="3" fontId="15" fillId="0" borderId="0" xfId="3" applyNumberFormat="1" applyFont="1" applyAlignment="1">
      <alignment horizontal="center" wrapText="1"/>
    </xf>
    <xf numFmtId="0" fontId="2" fillId="0" borderId="0" xfId="3" applyFont="1" applyAlignment="1">
      <alignment wrapText="1"/>
    </xf>
    <xf numFmtId="0" fontId="14" fillId="0" borderId="0" xfId="3" applyFont="1" applyAlignment="1">
      <alignment vertical="top"/>
    </xf>
    <xf numFmtId="3" fontId="14" fillId="0" borderId="0" xfId="3" applyNumberFormat="1" applyFont="1" applyAlignment="1">
      <alignment vertical="top"/>
    </xf>
    <xf numFmtId="0" fontId="2" fillId="0" borderId="0" xfId="1" applyFont="1" applyAlignment="1">
      <alignment wrapText="1"/>
    </xf>
    <xf numFmtId="0" fontId="2" fillId="0" borderId="0" xfId="1" applyFont="1"/>
    <xf numFmtId="0" fontId="2" fillId="0" borderId="0" xfId="2" applyFont="1" applyAlignment="1">
      <alignment vertical="top" wrapText="1"/>
    </xf>
    <xf numFmtId="0" fontId="20" fillId="0" borderId="0" xfId="2" applyFont="1" applyAlignment="1">
      <alignment vertical="top"/>
    </xf>
    <xf numFmtId="0" fontId="20" fillId="0" borderId="0" xfId="2" applyFont="1" applyAlignment="1">
      <alignment horizontal="center" vertical="top"/>
    </xf>
    <xf numFmtId="0" fontId="7" fillId="0" borderId="0" xfId="2" applyFont="1"/>
    <xf numFmtId="0" fontId="7" fillId="0" borderId="5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52" xfId="2" applyFont="1" applyBorder="1"/>
    <xf numFmtId="0" fontId="1" fillId="0" borderId="53" xfId="2" applyBorder="1"/>
    <xf numFmtId="0" fontId="1" fillId="6" borderId="53" xfId="2" applyFill="1" applyBorder="1"/>
    <xf numFmtId="0" fontId="1" fillId="7" borderId="53" xfId="2" applyFill="1" applyBorder="1"/>
    <xf numFmtId="0" fontId="7" fillId="0" borderId="53" xfId="2" applyFont="1" applyBorder="1"/>
    <xf numFmtId="0" fontId="7" fillId="6" borderId="53" xfId="2" applyFont="1" applyFill="1" applyBorder="1"/>
    <xf numFmtId="0" fontId="7" fillId="7" borderId="53" xfId="2" applyFont="1" applyFill="1" applyBorder="1"/>
    <xf numFmtId="0" fontId="7" fillId="0" borderId="6" xfId="2" applyFont="1" applyBorder="1" applyAlignment="1">
      <alignment wrapText="1"/>
    </xf>
    <xf numFmtId="0" fontId="7" fillId="0" borderId="6" xfId="2" applyFont="1" applyBorder="1" applyAlignment="1">
      <alignment horizontal="center"/>
    </xf>
    <xf numFmtId="0" fontId="7" fillId="0" borderId="27" xfId="2" applyFont="1" applyBorder="1" applyAlignment="1">
      <alignment horizontal="center"/>
    </xf>
    <xf numFmtId="4" fontId="14" fillId="0" borderId="6" xfId="2" applyNumberFormat="1" applyFont="1" applyBorder="1"/>
    <xf numFmtId="0" fontId="7" fillId="7" borderId="0" xfId="2" applyFont="1" applyFill="1" applyAlignment="1">
      <alignment horizontal="center" wrapText="1"/>
    </xf>
    <xf numFmtId="0" fontId="7" fillId="0" borderId="6" xfId="2" applyFont="1" applyBorder="1" applyAlignment="1">
      <alignment horizontal="right" wrapText="1"/>
    </xf>
    <xf numFmtId="0" fontId="7" fillId="0" borderId="27" xfId="2" applyFont="1" applyBorder="1" applyAlignment="1">
      <alignment horizontal="center" wrapText="1"/>
    </xf>
    <xf numFmtId="0" fontId="14" fillId="0" borderId="6" xfId="2" applyFont="1" applyBorder="1" applyAlignment="1">
      <alignment horizontal="left" wrapText="1" indent="4"/>
    </xf>
    <xf numFmtId="3" fontId="7" fillId="0" borderId="6" xfId="2" applyNumberFormat="1" applyFont="1" applyBorder="1" applyAlignment="1">
      <alignment horizontal="right" wrapText="1"/>
    </xf>
    <xf numFmtId="0" fontId="7" fillId="0" borderId="52" xfId="2" applyFont="1" applyBorder="1" applyAlignment="1">
      <alignment wrapText="1"/>
    </xf>
    <xf numFmtId="0" fontId="7" fillId="0" borderId="52" xfId="2" applyFont="1" applyBorder="1" applyAlignment="1">
      <alignment horizontal="center"/>
    </xf>
    <xf numFmtId="0" fontId="7" fillId="0" borderId="53" xfId="2" applyFont="1" applyBorder="1" applyAlignment="1">
      <alignment horizontal="center"/>
    </xf>
    <xf numFmtId="0" fontId="7" fillId="0" borderId="54" xfId="2" applyFont="1" applyBorder="1" applyAlignment="1">
      <alignment horizontal="center"/>
    </xf>
    <xf numFmtId="3" fontId="7" fillId="0" borderId="52" xfId="2" applyNumberFormat="1" applyFont="1" applyBorder="1" applyAlignment="1">
      <alignment horizontal="right" wrapText="1"/>
    </xf>
    <xf numFmtId="0" fontId="7" fillId="0" borderId="54" xfId="2" applyFont="1" applyBorder="1" applyAlignment="1">
      <alignment horizontal="center" wrapText="1"/>
    </xf>
    <xf numFmtId="3" fontId="7" fillId="0" borderId="6" xfId="2" applyNumberFormat="1" applyFont="1" applyBorder="1" applyAlignment="1">
      <alignment horizontal="right"/>
    </xf>
    <xf numFmtId="3" fontId="7" fillId="0" borderId="27" xfId="2" applyNumberFormat="1" applyFont="1" applyBorder="1" applyAlignment="1">
      <alignment horizontal="right"/>
    </xf>
    <xf numFmtId="3" fontId="7" fillId="0" borderId="55" xfId="2" applyNumberFormat="1" applyFont="1" applyBorder="1" applyAlignment="1">
      <alignment horizontal="right" wrapText="1"/>
    </xf>
    <xf numFmtId="0" fontId="7" fillId="0" borderId="28" xfId="2" applyFont="1" applyBorder="1" applyAlignment="1">
      <alignment horizontal="center" wrapText="1"/>
    </xf>
    <xf numFmtId="0" fontId="7" fillId="0" borderId="26" xfId="2" applyFont="1" applyBorder="1" applyAlignment="1">
      <alignment horizontal="center"/>
    </xf>
    <xf numFmtId="0" fontId="7" fillId="0" borderId="56" xfId="2" applyFont="1" applyBorder="1" applyAlignment="1">
      <alignment horizontal="center"/>
    </xf>
    <xf numFmtId="0" fontId="7" fillId="0" borderId="20" xfId="2" applyFont="1" applyBorder="1" applyAlignment="1">
      <alignment horizontal="center"/>
    </xf>
    <xf numFmtId="0" fontId="39" fillId="0" borderId="26" xfId="2" applyFont="1" applyBorder="1" applyAlignment="1">
      <alignment horizontal="right" wrapText="1"/>
    </xf>
    <xf numFmtId="0" fontId="39" fillId="0" borderId="56" xfId="2" applyFont="1" applyBorder="1" applyAlignment="1">
      <alignment horizontal="center" wrapText="1"/>
    </xf>
    <xf numFmtId="0" fontId="7" fillId="0" borderId="55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28" xfId="2" applyFont="1" applyBorder="1" applyAlignment="1">
      <alignment horizontal="center"/>
    </xf>
    <xf numFmtId="0" fontId="7" fillId="0" borderId="14" xfId="2" applyFont="1" applyBorder="1" applyAlignment="1">
      <alignment wrapText="1"/>
    </xf>
    <xf numFmtId="3" fontId="14" fillId="0" borderId="26" xfId="2" applyNumberFormat="1" applyFont="1" applyBorder="1" applyAlignment="1">
      <alignment horizontal="right"/>
    </xf>
    <xf numFmtId="0" fontId="14" fillId="0" borderId="56" xfId="2" applyFont="1" applyBorder="1" applyAlignment="1">
      <alignment horizontal="left"/>
    </xf>
    <xf numFmtId="0" fontId="7" fillId="0" borderId="26" xfId="2" applyFont="1" applyBorder="1" applyAlignment="1">
      <alignment horizontal="right" wrapText="1"/>
    </xf>
    <xf numFmtId="0" fontId="7" fillId="0" borderId="56" xfId="2" applyFont="1" applyBorder="1" applyAlignment="1">
      <alignment horizontal="center" wrapText="1"/>
    </xf>
    <xf numFmtId="0" fontId="14" fillId="0" borderId="57" xfId="2" applyFont="1" applyBorder="1" applyAlignment="1">
      <alignment horizontal="left" wrapText="1" indent="4"/>
    </xf>
    <xf numFmtId="3" fontId="14" fillId="0" borderId="26" xfId="2" applyNumberFormat="1" applyFont="1" applyBorder="1" applyAlignment="1">
      <alignment horizontal="right" wrapText="1"/>
    </xf>
    <xf numFmtId="0" fontId="14" fillId="0" borderId="56" xfId="2" applyFont="1" applyBorder="1" applyAlignment="1">
      <alignment horizontal="left" wrapText="1"/>
    </xf>
    <xf numFmtId="0" fontId="14" fillId="0" borderId="26" xfId="2" applyFont="1" applyBorder="1" applyAlignment="1">
      <alignment horizontal="left" wrapText="1"/>
    </xf>
    <xf numFmtId="0" fontId="14" fillId="0" borderId="20" xfId="2" applyFont="1" applyBorder="1" applyAlignment="1">
      <alignment horizontal="left" wrapText="1"/>
    </xf>
    <xf numFmtId="3" fontId="14" fillId="7" borderId="6" xfId="2" applyNumberFormat="1" applyFont="1" applyFill="1" applyBorder="1"/>
    <xf numFmtId="0" fontId="14" fillId="7" borderId="0" xfId="2" applyFont="1" applyFill="1"/>
    <xf numFmtId="165" fontId="7" fillId="0" borderId="5" xfId="2" applyNumberFormat="1" applyFont="1" applyBorder="1" applyAlignment="1">
      <alignment horizontal="right"/>
    </xf>
    <xf numFmtId="0" fontId="7" fillId="0" borderId="51" xfId="2" applyFont="1" applyBorder="1"/>
    <xf numFmtId="0" fontId="14" fillId="0" borderId="55" xfId="2" applyFont="1" applyBorder="1" applyAlignment="1">
      <alignment horizontal="left" wrapText="1"/>
    </xf>
    <xf numFmtId="0" fontId="14" fillId="0" borderId="3" xfId="2" applyFont="1" applyBorder="1" applyAlignment="1">
      <alignment horizontal="left" wrapText="1"/>
    </xf>
    <xf numFmtId="0" fontId="14" fillId="0" borderId="28" xfId="2" applyFont="1" applyBorder="1" applyAlignment="1">
      <alignment horizontal="left" wrapText="1"/>
    </xf>
    <xf numFmtId="0" fontId="7" fillId="0" borderId="26" xfId="2" applyFont="1" applyBorder="1" applyAlignment="1">
      <alignment wrapText="1"/>
    </xf>
    <xf numFmtId="0" fontId="7" fillId="0" borderId="55" xfId="2" applyFont="1" applyBorder="1" applyAlignment="1">
      <alignment wrapText="1"/>
    </xf>
    <xf numFmtId="0" fontId="21" fillId="0" borderId="6" xfId="2" applyFont="1" applyBorder="1" applyAlignment="1">
      <alignment horizontal="left"/>
    </xf>
    <xf numFmtId="0" fontId="21" fillId="0" borderId="27" xfId="2" applyFont="1" applyBorder="1" applyAlignment="1">
      <alignment horizontal="left"/>
    </xf>
    <xf numFmtId="0" fontId="21" fillId="0" borderId="0" xfId="2" applyFont="1" applyAlignment="1">
      <alignment horizontal="left"/>
    </xf>
    <xf numFmtId="0" fontId="14" fillId="6" borderId="6" xfId="2" applyFont="1" applyFill="1" applyBorder="1"/>
    <xf numFmtId="0" fontId="14" fillId="6" borderId="27" xfId="2" applyFont="1" applyFill="1" applyBorder="1"/>
    <xf numFmtId="0" fontId="14" fillId="7" borderId="6" xfId="2" applyFont="1" applyFill="1" applyBorder="1"/>
    <xf numFmtId="4" fontId="7" fillId="0" borderId="5" xfId="2" applyNumberFormat="1" applyFont="1" applyBorder="1" applyAlignment="1">
      <alignment horizontal="right" wrapText="1"/>
    </xf>
    <xf numFmtId="0" fontId="21" fillId="0" borderId="55" xfId="2" applyFont="1" applyBorder="1" applyAlignment="1">
      <alignment horizontal="left"/>
    </xf>
    <xf numFmtId="3" fontId="7" fillId="0" borderId="8" xfId="2" applyNumberFormat="1" applyFont="1" applyBorder="1" applyAlignment="1">
      <alignment horizontal="right" wrapText="1"/>
    </xf>
    <xf numFmtId="0" fontId="7" fillId="0" borderId="58" xfId="2" applyFont="1" applyBorder="1"/>
    <xf numFmtId="0" fontId="21" fillId="0" borderId="26" xfId="2" applyFont="1" applyBorder="1" applyAlignment="1">
      <alignment horizontal="left"/>
    </xf>
    <xf numFmtId="0" fontId="14" fillId="6" borderId="26" xfId="2" applyFont="1" applyFill="1" applyBorder="1"/>
    <xf numFmtId="0" fontId="14" fillId="6" borderId="56" xfId="2" applyFont="1" applyFill="1" applyBorder="1"/>
    <xf numFmtId="167" fontId="14" fillId="6" borderId="26" xfId="2" applyNumberFormat="1" applyFont="1" applyFill="1" applyBorder="1"/>
    <xf numFmtId="0" fontId="14" fillId="0" borderId="26" xfId="2" applyFont="1" applyBorder="1" applyAlignment="1">
      <alignment wrapText="1"/>
    </xf>
    <xf numFmtId="0" fontId="14" fillId="0" borderId="6" xfId="2" applyFont="1" applyBorder="1" applyAlignment="1">
      <alignment wrapText="1"/>
    </xf>
    <xf numFmtId="0" fontId="14" fillId="0" borderId="27" xfId="2" applyFont="1" applyBorder="1" applyAlignment="1">
      <alignment wrapText="1"/>
    </xf>
    <xf numFmtId="3" fontId="14" fillId="6" borderId="56" xfId="2" applyNumberFormat="1" applyFont="1" applyFill="1" applyBorder="1"/>
    <xf numFmtId="0" fontId="14" fillId="0" borderId="55" xfId="2" applyFont="1" applyBorder="1" applyAlignment="1">
      <alignment wrapText="1"/>
    </xf>
    <xf numFmtId="0" fontId="7" fillId="0" borderId="27" xfId="2" applyFont="1" applyBorder="1"/>
    <xf numFmtId="0" fontId="14" fillId="0" borderId="6" xfId="2" applyFont="1" applyBorder="1" applyAlignment="1">
      <alignment horizontal="left" wrapText="1"/>
    </xf>
    <xf numFmtId="0" fontId="14" fillId="0" borderId="27" xfId="2" applyFont="1" applyBorder="1" applyAlignment="1">
      <alignment horizontal="left" wrapText="1"/>
    </xf>
    <xf numFmtId="0" fontId="14" fillId="0" borderId="0" xfId="2" applyFont="1" applyAlignment="1">
      <alignment horizontal="left" wrapText="1"/>
    </xf>
    <xf numFmtId="3" fontId="7" fillId="0" borderId="5" xfId="2" applyNumberFormat="1" applyFont="1" applyBorder="1" applyAlignment="1">
      <alignment horizontal="right" wrapText="1"/>
    </xf>
    <xf numFmtId="0" fontId="14" fillId="0" borderId="26" xfId="2" applyFont="1" applyBorder="1" applyAlignment="1">
      <alignment horizontal="left"/>
    </xf>
    <xf numFmtId="0" fontId="14" fillId="0" borderId="6" xfId="2" applyFont="1" applyBorder="1" applyAlignment="1">
      <alignment horizontal="left"/>
    </xf>
    <xf numFmtId="0" fontId="14" fillId="0" borderId="27" xfId="2" applyFont="1" applyBorder="1" applyAlignment="1">
      <alignment horizontal="left"/>
    </xf>
    <xf numFmtId="0" fontId="14" fillId="0" borderId="0" xfId="2" applyFont="1" applyAlignment="1">
      <alignment horizontal="left"/>
    </xf>
    <xf numFmtId="4" fontId="14" fillId="6" borderId="26" xfId="2" applyNumberFormat="1" applyFont="1" applyFill="1" applyBorder="1"/>
    <xf numFmtId="3" fontId="14" fillId="0" borderId="6" xfId="2" applyNumberFormat="1" applyFont="1" applyBorder="1" applyAlignment="1">
      <alignment horizontal="right"/>
    </xf>
    <xf numFmtId="3" fontId="14" fillId="0" borderId="27" xfId="2" applyNumberFormat="1" applyFont="1" applyBorder="1" applyAlignment="1">
      <alignment horizontal="right"/>
    </xf>
    <xf numFmtId="3" fontId="14" fillId="7" borderId="0" xfId="2" applyNumberFormat="1" applyFont="1" applyFill="1" applyAlignment="1">
      <alignment horizontal="right"/>
    </xf>
    <xf numFmtId="0" fontId="14" fillId="0" borderId="26" xfId="2" applyFont="1" applyBorder="1"/>
    <xf numFmtId="0" fontId="14" fillId="0" borderId="56" xfId="2" applyFont="1" applyBorder="1"/>
    <xf numFmtId="0" fontId="14" fillId="0" borderId="20" xfId="2" applyFont="1" applyBorder="1"/>
    <xf numFmtId="3" fontId="14" fillId="6" borderId="26" xfId="2" applyNumberFormat="1" applyFont="1" applyFill="1" applyBorder="1"/>
    <xf numFmtId="0" fontId="14" fillId="0" borderId="55" xfId="2" applyFont="1" applyBorder="1" applyAlignment="1">
      <alignment horizontal="left" indent="3"/>
    </xf>
    <xf numFmtId="3" fontId="14" fillId="0" borderId="26" xfId="2" applyNumberFormat="1" applyFont="1" applyBorder="1"/>
    <xf numFmtId="3" fontId="14" fillId="0" borderId="56" xfId="2" applyNumberFormat="1" applyFont="1" applyBorder="1"/>
    <xf numFmtId="0" fontId="14" fillId="0" borderId="6" xfId="2" applyFont="1" applyBorder="1" applyAlignment="1">
      <alignment horizontal="right" wrapText="1"/>
    </xf>
    <xf numFmtId="0" fontId="14" fillId="0" borderId="14" xfId="2" applyFont="1" applyBorder="1" applyAlignment="1">
      <alignment wrapText="1"/>
    </xf>
    <xf numFmtId="3" fontId="14" fillId="7" borderId="26" xfId="2" applyNumberFormat="1" applyFont="1" applyFill="1" applyBorder="1"/>
    <xf numFmtId="0" fontId="14" fillId="7" borderId="20" xfId="2" applyFont="1" applyFill="1" applyBorder="1"/>
    <xf numFmtId="4" fontId="7" fillId="0" borderId="26" xfId="2" applyNumberFormat="1" applyFont="1" applyBorder="1" applyAlignment="1">
      <alignment horizontal="right" wrapText="1"/>
    </xf>
    <xf numFmtId="0" fontId="7" fillId="0" borderId="62" xfId="2" applyFont="1" applyBorder="1"/>
    <xf numFmtId="0" fontId="14" fillId="0" borderId="63" xfId="0" applyFont="1" applyBorder="1" applyAlignment="1">
      <alignment horizontal="left" vertical="center" indent="3"/>
    </xf>
    <xf numFmtId="0" fontId="7" fillId="0" borderId="64" xfId="2" applyFont="1" applyBorder="1"/>
    <xf numFmtId="0" fontId="14" fillId="0" borderId="5" xfId="2" applyFont="1" applyBorder="1" applyAlignment="1">
      <alignment wrapText="1"/>
    </xf>
    <xf numFmtId="3" fontId="7" fillId="0" borderId="5" xfId="3" applyNumberFormat="1" applyFont="1" applyBorder="1"/>
    <xf numFmtId="0" fontId="14" fillId="0" borderId="51" xfId="2" applyFont="1" applyBorder="1" applyAlignment="1">
      <alignment horizontal="left" wrapText="1"/>
    </xf>
    <xf numFmtId="0" fontId="14" fillId="0" borderId="5" xfId="2" applyFont="1" applyBorder="1" applyAlignment="1">
      <alignment horizontal="left" wrapText="1"/>
    </xf>
    <xf numFmtId="0" fontId="14" fillId="0" borderId="11" xfId="2" applyFont="1" applyBorder="1" applyAlignment="1">
      <alignment horizontal="left" wrapText="1"/>
    </xf>
    <xf numFmtId="0" fontId="14" fillId="0" borderId="8" xfId="2" applyFont="1" applyBorder="1" applyAlignment="1">
      <alignment wrapText="1"/>
    </xf>
    <xf numFmtId="0" fontId="14" fillId="0" borderId="8" xfId="2" applyFont="1" applyBorder="1" applyAlignment="1">
      <alignment horizontal="left" wrapText="1"/>
    </xf>
    <xf numFmtId="0" fontId="14" fillId="0" borderId="59" xfId="2" applyFont="1" applyBorder="1" applyAlignment="1">
      <alignment horizontal="left" wrapText="1"/>
    </xf>
    <xf numFmtId="0" fontId="14" fillId="0" borderId="58" xfId="2" applyFont="1" applyBorder="1" applyAlignment="1">
      <alignment horizontal="left" wrapText="1"/>
    </xf>
    <xf numFmtId="3" fontId="7" fillId="0" borderId="41" xfId="2" applyNumberFormat="1" applyFont="1" applyBorder="1" applyAlignment="1">
      <alignment horizontal="right" wrapText="1"/>
    </xf>
    <xf numFmtId="0" fontId="19" fillId="8" borderId="8" xfId="2" applyFont="1" applyFill="1" applyBorder="1" applyAlignment="1">
      <alignment horizontal="left" wrapText="1"/>
    </xf>
    <xf numFmtId="0" fontId="2" fillId="0" borderId="0" xfId="1" applyFont="1" applyAlignment="1">
      <alignment horizontal="left"/>
    </xf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6" fillId="0" borderId="5" xfId="2" applyFont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14" fontId="7" fillId="0" borderId="34" xfId="2" applyNumberFormat="1" applyFont="1" applyBorder="1" applyAlignment="1">
      <alignment horizontal="center" vertical="center" wrapText="1"/>
    </xf>
    <xf numFmtId="14" fontId="7" fillId="0" borderId="31" xfId="2" applyNumberFormat="1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14" fontId="7" fillId="0" borderId="39" xfId="2" applyNumberFormat="1" applyFont="1" applyBorder="1" applyAlignment="1">
      <alignment horizontal="center" vertical="center" wrapText="1"/>
    </xf>
    <xf numFmtId="14" fontId="7" fillId="0" borderId="16" xfId="2" applyNumberFormat="1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9" fillId="11" borderId="66" xfId="2" applyFont="1" applyFill="1" applyBorder="1" applyAlignment="1">
      <alignment horizontal="center" vertical="center" wrapText="1"/>
    </xf>
    <xf numFmtId="14" fontId="7" fillId="11" borderId="31" xfId="2" applyNumberFormat="1" applyFont="1" applyFill="1" applyBorder="1" applyAlignment="1">
      <alignment horizontal="center" vertical="center" wrapText="1"/>
    </xf>
    <xf numFmtId="0" fontId="7" fillId="11" borderId="32" xfId="2" applyFont="1" applyFill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11" borderId="18" xfId="2" applyFont="1" applyFill="1" applyBorder="1" applyAlignment="1">
      <alignment horizontal="left" vertical="center" wrapText="1"/>
    </xf>
    <xf numFmtId="0" fontId="8" fillId="0" borderId="30" xfId="2" applyFont="1" applyBorder="1" applyAlignment="1">
      <alignment horizontal="center" vertical="center" wrapText="1"/>
    </xf>
    <xf numFmtId="0" fontId="8" fillId="0" borderId="51" xfId="2" applyFont="1" applyBorder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10" fillId="0" borderId="35" xfId="2" applyFont="1" applyBorder="1"/>
    <xf numFmtId="3" fontId="10" fillId="0" borderId="37" xfId="2" applyNumberFormat="1" applyFont="1" applyBorder="1"/>
    <xf numFmtId="3" fontId="10" fillId="0" borderId="24" xfId="2" applyNumberFormat="1" applyFont="1" applyBorder="1"/>
    <xf numFmtId="3" fontId="10" fillId="0" borderId="63" xfId="2" applyNumberFormat="1" applyFont="1" applyBorder="1"/>
    <xf numFmtId="3" fontId="10" fillId="0" borderId="23" xfId="2" applyNumberFormat="1" applyFont="1" applyBorder="1"/>
    <xf numFmtId="3" fontId="10" fillId="0" borderId="17" xfId="2" applyNumberFormat="1" applyFont="1" applyBorder="1"/>
    <xf numFmtId="3" fontId="9" fillId="11" borderId="67" xfId="2" applyNumberFormat="1" applyFont="1" applyFill="1" applyBorder="1"/>
    <xf numFmtId="3" fontId="9" fillId="11" borderId="24" xfId="2" applyNumberFormat="1" applyFont="1" applyFill="1" applyBorder="1"/>
    <xf numFmtId="3" fontId="10" fillId="11" borderId="37" xfId="2" applyNumberFormat="1" applyFont="1" applyFill="1" applyBorder="1"/>
    <xf numFmtId="3" fontId="8" fillId="11" borderId="24" xfId="2" applyNumberFormat="1" applyFont="1" applyFill="1" applyBorder="1"/>
    <xf numFmtId="3" fontId="10" fillId="11" borderId="63" xfId="2" applyNumberFormat="1" applyFont="1" applyFill="1" applyBorder="1"/>
    <xf numFmtId="3" fontId="10" fillId="0" borderId="45" xfId="2" applyNumberFormat="1" applyFont="1" applyBorder="1"/>
    <xf numFmtId="3" fontId="10" fillId="0" borderId="68" xfId="2" applyNumberFormat="1" applyFont="1" applyBorder="1"/>
    <xf numFmtId="0" fontId="10" fillId="0" borderId="0" xfId="2" applyFont="1"/>
    <xf numFmtId="0" fontId="10" fillId="0" borderId="36" xfId="2" applyFont="1" applyBorder="1"/>
    <xf numFmtId="3" fontId="10" fillId="0" borderId="7" xfId="2" applyNumberFormat="1" applyFont="1" applyBorder="1"/>
    <xf numFmtId="3" fontId="10" fillId="0" borderId="46" xfId="2" applyNumberFormat="1" applyFont="1" applyBorder="1"/>
    <xf numFmtId="3" fontId="10" fillId="0" borderId="12" xfId="2" applyNumberFormat="1" applyFont="1" applyBorder="1"/>
    <xf numFmtId="3" fontId="10" fillId="0" borderId="1" xfId="2" applyNumberFormat="1" applyFont="1" applyBorder="1"/>
    <xf numFmtId="3" fontId="9" fillId="11" borderId="60" xfId="2" applyNumberFormat="1" applyFont="1" applyFill="1" applyBorder="1"/>
    <xf numFmtId="3" fontId="9" fillId="11" borderId="7" xfId="2" applyNumberFormat="1" applyFont="1" applyFill="1" applyBorder="1"/>
    <xf numFmtId="3" fontId="10" fillId="11" borderId="7" xfId="2" applyNumberFormat="1" applyFont="1" applyFill="1" applyBorder="1"/>
    <xf numFmtId="3" fontId="8" fillId="11" borderId="7" xfId="2" applyNumberFormat="1" applyFont="1" applyFill="1" applyBorder="1"/>
    <xf numFmtId="3" fontId="10" fillId="11" borderId="46" xfId="2" applyNumberFormat="1" applyFont="1" applyFill="1" applyBorder="1"/>
    <xf numFmtId="3" fontId="10" fillId="0" borderId="47" xfId="2" applyNumberFormat="1" applyFont="1" applyBorder="1"/>
    <xf numFmtId="0" fontId="10" fillId="0" borderId="21" xfId="2" applyFont="1" applyBorder="1"/>
    <xf numFmtId="3" fontId="10" fillId="0" borderId="15" xfId="2" applyNumberFormat="1" applyFont="1" applyBorder="1"/>
    <xf numFmtId="3" fontId="10" fillId="0" borderId="14" xfId="2" applyNumberFormat="1" applyFont="1" applyBorder="1"/>
    <xf numFmtId="3" fontId="10" fillId="0" borderId="25" xfId="2" applyNumberFormat="1" applyFont="1" applyBorder="1"/>
    <xf numFmtId="3" fontId="10" fillId="0" borderId="9" xfId="2" applyNumberFormat="1" applyFont="1" applyBorder="1"/>
    <xf numFmtId="3" fontId="10" fillId="0" borderId="10" xfId="2" applyNumberFormat="1" applyFont="1" applyBorder="1"/>
    <xf numFmtId="3" fontId="10" fillId="11" borderId="15" xfId="2" applyNumberFormat="1" applyFont="1" applyFill="1" applyBorder="1"/>
    <xf numFmtId="3" fontId="8" fillId="11" borderId="15" xfId="2" applyNumberFormat="1" applyFont="1" applyFill="1" applyBorder="1"/>
    <xf numFmtId="3" fontId="10" fillId="11" borderId="14" xfId="2" applyNumberFormat="1" applyFont="1" applyFill="1" applyBorder="1"/>
    <xf numFmtId="3" fontId="10" fillId="0" borderId="50" xfId="2" applyNumberFormat="1" applyFont="1" applyBorder="1"/>
    <xf numFmtId="3" fontId="10" fillId="0" borderId="49" xfId="2" applyNumberFormat="1" applyFont="1" applyBorder="1"/>
    <xf numFmtId="0" fontId="12" fillId="0" borderId="4" xfId="2" applyFont="1" applyBorder="1"/>
    <xf numFmtId="3" fontId="12" fillId="0" borderId="32" xfId="2" applyNumberFormat="1" applyFont="1" applyBorder="1"/>
    <xf numFmtId="3" fontId="12" fillId="0" borderId="69" xfId="2" applyNumberFormat="1" applyFont="1" applyBorder="1"/>
    <xf numFmtId="3" fontId="9" fillId="11" borderId="32" xfId="2" applyNumberFormat="1" applyFont="1" applyFill="1" applyBorder="1"/>
    <xf numFmtId="3" fontId="12" fillId="11" borderId="32" xfId="2" applyNumberFormat="1" applyFont="1" applyFill="1" applyBorder="1"/>
    <xf numFmtId="3" fontId="8" fillId="11" borderId="32" xfId="2" applyNumberFormat="1" applyFont="1" applyFill="1" applyBorder="1"/>
    <xf numFmtId="3" fontId="12" fillId="0" borderId="70" xfId="2" applyNumberFormat="1" applyFont="1" applyBorder="1"/>
    <xf numFmtId="3" fontId="12" fillId="0" borderId="71" xfId="2" applyNumberFormat="1" applyFont="1" applyBorder="1"/>
    <xf numFmtId="3" fontId="12" fillId="0" borderId="72" xfId="2" applyNumberFormat="1" applyFont="1" applyBorder="1"/>
    <xf numFmtId="0" fontId="12" fillId="0" borderId="0" xfId="2" applyFont="1"/>
    <xf numFmtId="3" fontId="9" fillId="11" borderId="28" xfId="2" applyNumberFormat="1" applyFont="1" applyFill="1" applyBorder="1"/>
    <xf numFmtId="3" fontId="9" fillId="11" borderId="37" xfId="2" applyNumberFormat="1" applyFont="1" applyFill="1" applyBorder="1"/>
    <xf numFmtId="3" fontId="8" fillId="11" borderId="37" xfId="2" applyNumberFormat="1" applyFont="1" applyFill="1" applyBorder="1"/>
    <xf numFmtId="0" fontId="25" fillId="0" borderId="36" xfId="2" applyFont="1" applyBorder="1"/>
    <xf numFmtId="3" fontId="25" fillId="0" borderId="37" xfId="2" applyNumberFormat="1" applyFont="1" applyBorder="1"/>
    <xf numFmtId="3" fontId="25" fillId="0" borderId="63" xfId="2" applyNumberFormat="1" applyFont="1" applyBorder="1"/>
    <xf numFmtId="3" fontId="25" fillId="0" borderId="12" xfId="2" applyNumberFormat="1" applyFont="1" applyBorder="1"/>
    <xf numFmtId="3" fontId="25" fillId="0" borderId="1" xfId="2" applyNumberFormat="1" applyFont="1" applyBorder="1"/>
    <xf numFmtId="3" fontId="25" fillId="0" borderId="7" xfId="2" applyNumberFormat="1" applyFont="1" applyBorder="1"/>
    <xf numFmtId="3" fontId="26" fillId="11" borderId="28" xfId="2" applyNumberFormat="1" applyFont="1" applyFill="1" applyBorder="1"/>
    <xf numFmtId="3" fontId="26" fillId="11" borderId="37" xfId="2" applyNumberFormat="1" applyFont="1" applyFill="1" applyBorder="1"/>
    <xf numFmtId="3" fontId="25" fillId="11" borderId="37" xfId="2" applyNumberFormat="1" applyFont="1" applyFill="1" applyBorder="1"/>
    <xf numFmtId="3" fontId="27" fillId="11" borderId="37" xfId="2" applyNumberFormat="1" applyFont="1" applyFill="1" applyBorder="1"/>
    <xf numFmtId="3" fontId="25" fillId="11" borderId="63" xfId="2" applyNumberFormat="1" applyFont="1" applyFill="1" applyBorder="1"/>
    <xf numFmtId="3" fontId="25" fillId="0" borderId="46" xfId="2" applyNumberFormat="1" applyFont="1" applyBorder="1"/>
    <xf numFmtId="0" fontId="28" fillId="0" borderId="0" xfId="2" applyFont="1"/>
    <xf numFmtId="0" fontId="11" fillId="0" borderId="36" xfId="2" applyFont="1" applyBorder="1" applyAlignment="1">
      <alignment horizontal="left" wrapText="1" indent="2"/>
    </xf>
    <xf numFmtId="3" fontId="11" fillId="0" borderId="7" xfId="2" applyNumberFormat="1" applyFont="1" applyBorder="1"/>
    <xf numFmtId="3" fontId="11" fillId="0" borderId="46" xfId="2" applyNumberFormat="1" applyFont="1" applyBorder="1"/>
    <xf numFmtId="3" fontId="11" fillId="0" borderId="12" xfId="2" applyNumberFormat="1" applyFont="1" applyBorder="1"/>
    <xf numFmtId="3" fontId="11" fillId="0" borderId="1" xfId="2" applyNumberFormat="1" applyFont="1" applyBorder="1"/>
    <xf numFmtId="3" fontId="11" fillId="11" borderId="7" xfId="2" applyNumberFormat="1" applyFont="1" applyFill="1" applyBorder="1"/>
    <xf numFmtId="3" fontId="11" fillId="11" borderId="46" xfId="2" applyNumberFormat="1" applyFont="1" applyFill="1" applyBorder="1"/>
    <xf numFmtId="3" fontId="11" fillId="0" borderId="47" xfId="2" applyNumberFormat="1" applyFont="1" applyBorder="1"/>
    <xf numFmtId="3" fontId="11" fillId="0" borderId="15" xfId="2" applyNumberFormat="1" applyFont="1" applyBorder="1"/>
    <xf numFmtId="3" fontId="11" fillId="0" borderId="14" xfId="2" applyNumberFormat="1" applyFont="1" applyBorder="1"/>
    <xf numFmtId="3" fontId="11" fillId="0" borderId="25" xfId="2" applyNumberFormat="1" applyFont="1" applyBorder="1"/>
    <xf numFmtId="3" fontId="11" fillId="0" borderId="9" xfId="2" applyNumberFormat="1" applyFont="1" applyBorder="1"/>
    <xf numFmtId="3" fontId="11" fillId="0" borderId="10" xfId="2" applyNumberFormat="1" applyFont="1" applyBorder="1"/>
    <xf numFmtId="3" fontId="11" fillId="11" borderId="15" xfId="2" applyNumberFormat="1" applyFont="1" applyFill="1" applyBorder="1"/>
    <xf numFmtId="3" fontId="11" fillId="11" borderId="14" xfId="2" applyNumberFormat="1" applyFont="1" applyFill="1" applyBorder="1"/>
    <xf numFmtId="3" fontId="11" fillId="0" borderId="50" xfId="2" applyNumberFormat="1" applyFont="1" applyBorder="1"/>
    <xf numFmtId="3" fontId="11" fillId="0" borderId="49" xfId="2" applyNumberFormat="1" applyFont="1" applyBorder="1"/>
    <xf numFmtId="3" fontId="12" fillId="0" borderId="42" xfId="2" applyNumberFormat="1" applyFont="1" applyBorder="1"/>
    <xf numFmtId="3" fontId="12" fillId="0" borderId="41" xfId="2" applyNumberFormat="1" applyFont="1" applyBorder="1"/>
    <xf numFmtId="3" fontId="12" fillId="0" borderId="13" xfId="2" applyNumberFormat="1" applyFont="1" applyBorder="1"/>
    <xf numFmtId="3" fontId="12" fillId="0" borderId="43" xfId="2" applyNumberFormat="1" applyFont="1" applyBorder="1"/>
    <xf numFmtId="0" fontId="12" fillId="0" borderId="30" xfId="2" applyFont="1" applyBorder="1"/>
    <xf numFmtId="3" fontId="12" fillId="0" borderId="18" xfId="2" applyNumberFormat="1" applyFont="1" applyBorder="1"/>
    <xf numFmtId="3" fontId="9" fillId="11" borderId="18" xfId="2" applyNumberFormat="1" applyFont="1" applyFill="1" applyBorder="1"/>
    <xf numFmtId="3" fontId="12" fillId="11" borderId="18" xfId="2" applyNumberFormat="1" applyFont="1" applyFill="1" applyBorder="1"/>
    <xf numFmtId="3" fontId="8" fillId="11" borderId="18" xfId="2" applyNumberFormat="1" applyFont="1" applyFill="1" applyBorder="1"/>
    <xf numFmtId="3" fontId="12" fillId="0" borderId="30" xfId="2" applyNumberFormat="1" applyFont="1" applyBorder="1"/>
    <xf numFmtId="3" fontId="12" fillId="0" borderId="39" xfId="2" applyNumberFormat="1" applyFont="1" applyBorder="1"/>
    <xf numFmtId="3" fontId="12" fillId="0" borderId="16" xfId="2" applyNumberFormat="1" applyFont="1" applyBorder="1"/>
    <xf numFmtId="0" fontId="10" fillId="0" borderId="35" xfId="2" applyFont="1" applyBorder="1" applyAlignment="1">
      <alignment wrapText="1"/>
    </xf>
    <xf numFmtId="3" fontId="10" fillId="0" borderId="18" xfId="2" applyNumberFormat="1" applyFont="1" applyBorder="1"/>
    <xf numFmtId="3" fontId="10" fillId="11" borderId="24" xfId="2" applyNumberFormat="1" applyFont="1" applyFill="1" applyBorder="1"/>
    <xf numFmtId="3" fontId="10" fillId="0" borderId="30" xfId="2" applyNumberFormat="1" applyFont="1" applyBorder="1"/>
    <xf numFmtId="3" fontId="10" fillId="0" borderId="16" xfId="2" applyNumberFormat="1" applyFont="1" applyBorder="1"/>
    <xf numFmtId="3" fontId="10" fillId="11" borderId="68" xfId="2" applyNumberFormat="1" applyFont="1" applyFill="1" applyBorder="1"/>
    <xf numFmtId="0" fontId="11" fillId="0" borderId="36" xfId="2" applyFont="1" applyBorder="1" applyAlignment="1">
      <alignment horizontal="left" indent="2"/>
    </xf>
    <xf numFmtId="3" fontId="24" fillId="0" borderId="7" xfId="2" applyNumberFormat="1" applyFont="1" applyBorder="1"/>
    <xf numFmtId="3" fontId="24" fillId="0" borderId="46" xfId="2" applyNumberFormat="1" applyFont="1" applyBorder="1"/>
    <xf numFmtId="3" fontId="24" fillId="11" borderId="7" xfId="2" applyNumberFormat="1" applyFont="1" applyFill="1" applyBorder="1"/>
    <xf numFmtId="3" fontId="8" fillId="11" borderId="46" xfId="2" applyNumberFormat="1" applyFont="1" applyFill="1" applyBorder="1"/>
    <xf numFmtId="3" fontId="24" fillId="0" borderId="1" xfId="2" applyNumberFormat="1" applyFont="1" applyBorder="1"/>
    <xf numFmtId="0" fontId="11" fillId="0" borderId="40" xfId="2" applyFont="1" applyBorder="1" applyAlignment="1">
      <alignment horizontal="left" indent="2"/>
    </xf>
    <xf numFmtId="3" fontId="24" fillId="0" borderId="10" xfId="2" applyNumberFormat="1" applyFont="1" applyBorder="1"/>
    <xf numFmtId="3" fontId="24" fillId="0" borderId="49" xfId="2" applyNumberFormat="1" applyFont="1" applyBorder="1"/>
    <xf numFmtId="3" fontId="9" fillId="11" borderId="73" xfId="2" applyNumberFormat="1" applyFont="1" applyFill="1" applyBorder="1"/>
    <xf numFmtId="3" fontId="9" fillId="11" borderId="10" xfId="2" applyNumberFormat="1" applyFont="1" applyFill="1" applyBorder="1"/>
    <xf numFmtId="3" fontId="24" fillId="11" borderId="10" xfId="2" applyNumberFormat="1" applyFont="1" applyFill="1" applyBorder="1"/>
    <xf numFmtId="3" fontId="8" fillId="11" borderId="10" xfId="2" applyNumberFormat="1" applyFont="1" applyFill="1" applyBorder="1"/>
    <xf numFmtId="3" fontId="8" fillId="11" borderId="49" xfId="2" applyNumberFormat="1" applyFont="1" applyFill="1" applyBorder="1"/>
    <xf numFmtId="3" fontId="24" fillId="0" borderId="9" xfId="2" applyNumberFormat="1" applyFont="1" applyBorder="1"/>
    <xf numFmtId="3" fontId="12" fillId="0" borderId="4" xfId="2" applyNumberFormat="1" applyFont="1" applyBorder="1"/>
    <xf numFmtId="0" fontId="12" fillId="0" borderId="41" xfId="2" applyFont="1" applyBorder="1"/>
    <xf numFmtId="3" fontId="9" fillId="11" borderId="42" xfId="2" applyNumberFormat="1" applyFont="1" applyFill="1" applyBorder="1"/>
    <xf numFmtId="3" fontId="12" fillId="11" borderId="42" xfId="2" applyNumberFormat="1" applyFont="1" applyFill="1" applyBorder="1"/>
    <xf numFmtId="3" fontId="8" fillId="11" borderId="42" xfId="2" applyNumberFormat="1" applyFont="1" applyFill="1" applyBorder="1"/>
    <xf numFmtId="0" fontId="9" fillId="0" borderId="0" xfId="2" applyFont="1"/>
    <xf numFmtId="0" fontId="6" fillId="0" borderId="30" xfId="2" applyFont="1" applyBorder="1" applyAlignment="1">
      <alignment horizontal="center" vertical="center" wrapText="1"/>
    </xf>
    <xf numFmtId="0" fontId="10" fillId="0" borderId="23" xfId="2" applyFont="1" applyBorder="1" applyAlignment="1">
      <alignment wrapText="1"/>
    </xf>
    <xf numFmtId="0" fontId="10" fillId="0" borderId="17" xfId="2" applyFont="1" applyBorder="1" applyAlignment="1">
      <alignment wrapText="1"/>
    </xf>
    <xf numFmtId="0" fontId="10" fillId="0" borderId="24" xfId="2" applyFont="1" applyBorder="1" applyAlignment="1">
      <alignment wrapText="1"/>
    </xf>
    <xf numFmtId="0" fontId="7" fillId="0" borderId="33" xfId="2" applyFont="1" applyBorder="1" applyAlignment="1">
      <alignment horizontal="center" vertical="center" wrapText="1"/>
    </xf>
    <xf numFmtId="14" fontId="7" fillId="0" borderId="25" xfId="2" applyNumberFormat="1" applyFont="1" applyBorder="1" applyAlignment="1">
      <alignment horizontal="center" vertical="center" wrapText="1"/>
    </xf>
    <xf numFmtId="14" fontId="7" fillId="0" borderId="9" xfId="2" applyNumberFormat="1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14" fontId="7" fillId="0" borderId="2" xfId="2" applyNumberFormat="1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9" fillId="11" borderId="34" xfId="2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11" borderId="4" xfId="2" applyFont="1" applyFill="1" applyBorder="1" applyAlignment="1">
      <alignment horizontal="right" vertical="center" wrapText="1"/>
    </xf>
    <xf numFmtId="0" fontId="8" fillId="0" borderId="25" xfId="2" applyFont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1" fillId="0" borderId="36" xfId="2" applyFont="1" applyBorder="1"/>
    <xf numFmtId="3" fontId="10" fillId="11" borderId="10" xfId="2" applyNumberFormat="1" applyFont="1" applyFill="1" applyBorder="1"/>
    <xf numFmtId="0" fontId="10" fillId="0" borderId="44" xfId="2" applyFont="1" applyBorder="1"/>
    <xf numFmtId="3" fontId="11" fillId="11" borderId="10" xfId="2" applyNumberFormat="1" applyFont="1" applyFill="1" applyBorder="1"/>
    <xf numFmtId="0" fontId="8" fillId="0" borderId="4" xfId="2" applyFont="1" applyBorder="1" applyAlignment="1">
      <alignment wrapText="1"/>
    </xf>
    <xf numFmtId="3" fontId="8" fillId="0" borderId="32" xfId="2" applyNumberFormat="1" applyFont="1" applyBorder="1"/>
    <xf numFmtId="3" fontId="8" fillId="0" borderId="34" xfId="2" applyNumberFormat="1" applyFont="1" applyBorder="1"/>
    <xf numFmtId="3" fontId="8" fillId="0" borderId="31" xfId="2" applyNumberFormat="1" applyFont="1" applyBorder="1"/>
    <xf numFmtId="3" fontId="3" fillId="0" borderId="0" xfId="2" applyNumberFormat="1" applyFont="1"/>
    <xf numFmtId="0" fontId="8" fillId="0" borderId="35" xfId="2" applyFont="1" applyBorder="1"/>
    <xf numFmtId="4" fontId="8" fillId="0" borderId="45" xfId="2" applyNumberFormat="1" applyFont="1" applyBorder="1"/>
    <xf numFmtId="4" fontId="8" fillId="0" borderId="23" xfId="2" applyNumberFormat="1" applyFont="1" applyBorder="1"/>
    <xf numFmtId="4" fontId="8" fillId="0" borderId="75" xfId="2" applyNumberFormat="1" applyFont="1" applyBorder="1"/>
    <xf numFmtId="4" fontId="8" fillId="0" borderId="67" xfId="2" applyNumberFormat="1" applyFont="1" applyBorder="1"/>
    <xf numFmtId="4" fontId="8" fillId="11" borderId="35" xfId="2" applyNumberFormat="1" applyFont="1" applyFill="1" applyBorder="1"/>
    <xf numFmtId="4" fontId="8" fillId="11" borderId="45" xfId="2" applyNumberFormat="1" applyFont="1" applyFill="1" applyBorder="1"/>
    <xf numFmtId="4" fontId="8" fillId="11" borderId="23" xfId="2" applyNumberFormat="1" applyFont="1" applyFill="1" applyBorder="1"/>
    <xf numFmtId="4" fontId="8" fillId="11" borderId="17" xfId="2" applyNumberFormat="1" applyFont="1" applyFill="1" applyBorder="1"/>
    <xf numFmtId="4" fontId="8" fillId="11" borderId="24" xfId="2" applyNumberFormat="1" applyFont="1" applyFill="1" applyBorder="1"/>
    <xf numFmtId="3" fontId="8" fillId="0" borderId="0" xfId="2" applyNumberFormat="1" applyFont="1"/>
    <xf numFmtId="4" fontId="8" fillId="0" borderId="0" xfId="2" applyNumberFormat="1" applyFont="1"/>
    <xf numFmtId="0" fontId="8" fillId="0" borderId="0" xfId="2" applyFont="1"/>
    <xf numFmtId="3" fontId="13" fillId="0" borderId="36" xfId="2" applyNumberFormat="1" applyFont="1" applyBorder="1" applyAlignment="1">
      <alignment horizontal="center"/>
    </xf>
    <xf numFmtId="4" fontId="13" fillId="0" borderId="47" xfId="2" applyNumberFormat="1" applyFont="1" applyBorder="1"/>
    <xf numFmtId="4" fontId="13" fillId="0" borderId="46" xfId="2" applyNumberFormat="1" applyFont="1" applyBorder="1"/>
    <xf numFmtId="4" fontId="13" fillId="0" borderId="76" xfId="2" applyNumberFormat="1" applyFont="1" applyBorder="1"/>
    <xf numFmtId="4" fontId="13" fillId="0" borderId="19" xfId="2" applyNumberFormat="1" applyFont="1" applyBorder="1"/>
    <xf numFmtId="4" fontId="13" fillId="0" borderId="60" xfId="2" applyNumberFormat="1" applyFont="1" applyBorder="1"/>
    <xf numFmtId="4" fontId="13" fillId="11" borderId="36" xfId="2" applyNumberFormat="1" applyFont="1" applyFill="1" applyBorder="1"/>
    <xf numFmtId="4" fontId="13" fillId="11" borderId="47" xfId="2" applyNumberFormat="1" applyFont="1" applyFill="1" applyBorder="1"/>
    <xf numFmtId="4" fontId="13" fillId="11" borderId="12" xfId="2" applyNumberFormat="1" applyFont="1" applyFill="1" applyBorder="1"/>
    <xf numFmtId="4" fontId="13" fillId="11" borderId="1" xfId="2" applyNumberFormat="1" applyFont="1" applyFill="1" applyBorder="1"/>
    <xf numFmtId="4" fontId="13" fillId="11" borderId="7" xfId="2" applyNumberFormat="1" applyFont="1" applyFill="1" applyBorder="1"/>
    <xf numFmtId="3" fontId="13" fillId="0" borderId="0" xfId="2" applyNumberFormat="1" applyFont="1"/>
    <xf numFmtId="4" fontId="13" fillId="0" borderId="0" xfId="2" applyNumberFormat="1" applyFont="1"/>
    <xf numFmtId="0" fontId="13" fillId="0" borderId="0" xfId="2" applyFont="1"/>
    <xf numFmtId="3" fontId="8" fillId="0" borderId="40" xfId="2" applyNumberFormat="1" applyFont="1" applyBorder="1"/>
    <xf numFmtId="4" fontId="8" fillId="0" borderId="50" xfId="2" applyNumberFormat="1" applyFont="1" applyBorder="1"/>
    <xf numFmtId="4" fontId="13" fillId="0" borderId="49" xfId="2" applyNumberFormat="1" applyFont="1" applyBorder="1"/>
    <xf numFmtId="4" fontId="8" fillId="0" borderId="61" xfId="2" applyNumberFormat="1" applyFont="1" applyBorder="1"/>
    <xf numFmtId="4" fontId="8" fillId="0" borderId="48" xfId="2" applyNumberFormat="1" applyFont="1" applyBorder="1"/>
    <xf numFmtId="4" fontId="8" fillId="0" borderId="49" xfId="2" applyNumberFormat="1" applyFont="1" applyBorder="1"/>
    <xf numFmtId="4" fontId="8" fillId="0" borderId="73" xfId="2" applyNumberFormat="1" applyFont="1" applyBorder="1"/>
    <xf numFmtId="4" fontId="8" fillId="11" borderId="40" xfId="2" applyNumberFormat="1" applyFont="1" applyFill="1" applyBorder="1"/>
    <xf numFmtId="4" fontId="8" fillId="11" borderId="50" xfId="2" applyNumberFormat="1" applyFont="1" applyFill="1" applyBorder="1"/>
    <xf numFmtId="4" fontId="8" fillId="11" borderId="25" xfId="2" applyNumberFormat="1" applyFont="1" applyFill="1" applyBorder="1"/>
    <xf numFmtId="4" fontId="8" fillId="11" borderId="9" xfId="2" applyNumberFormat="1" applyFont="1" applyFill="1" applyBorder="1"/>
    <xf numFmtId="4" fontId="8" fillId="11" borderId="10" xfId="2" applyNumberFormat="1" applyFont="1" applyFill="1" applyBorder="1"/>
    <xf numFmtId="0" fontId="7" fillId="0" borderId="23" xfId="2" applyFont="1" applyBorder="1" applyAlignment="1">
      <alignment horizontal="center" wrapText="1"/>
    </xf>
    <xf numFmtId="0" fontId="7" fillId="0" borderId="17" xfId="2" applyFont="1" applyBorder="1" applyAlignment="1">
      <alignment horizontal="center" wrapText="1"/>
    </xf>
    <xf numFmtId="0" fontId="8" fillId="0" borderId="17" xfId="2" applyFont="1" applyBorder="1" applyAlignment="1">
      <alignment horizontal="center" vertical="center" wrapText="1"/>
    </xf>
    <xf numFmtId="14" fontId="7" fillId="0" borderId="17" xfId="2" applyNumberFormat="1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9" xfId="2" applyFont="1" applyBorder="1" applyAlignment="1">
      <alignment vertical="center" wrapText="1"/>
    </xf>
    <xf numFmtId="0" fontId="7" fillId="0" borderId="10" xfId="2" applyFont="1" applyBorder="1" applyAlignment="1">
      <alignment vertical="center" wrapText="1"/>
    </xf>
    <xf numFmtId="0" fontId="14" fillId="0" borderId="0" xfId="2" applyFont="1" applyAlignment="1">
      <alignment horizontal="left" vertical="top" wrapText="1"/>
    </xf>
    <xf numFmtId="0" fontId="14" fillId="0" borderId="0" xfId="2" applyFont="1" applyAlignment="1">
      <alignment vertical="top" wrapText="1"/>
    </xf>
    <xf numFmtId="3" fontId="14" fillId="0" borderId="0" xfId="2" applyNumberFormat="1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7" fillId="0" borderId="34" xfId="2" applyFont="1" applyBorder="1" applyAlignment="1">
      <alignment vertical="top" wrapText="1"/>
    </xf>
    <xf numFmtId="0" fontId="7" fillId="0" borderId="31" xfId="2" applyFont="1" applyBorder="1" applyAlignment="1">
      <alignment horizontal="left" vertical="top" wrapText="1"/>
    </xf>
    <xf numFmtId="3" fontId="7" fillId="0" borderId="31" xfId="2" applyNumberFormat="1" applyFont="1" applyBorder="1" applyAlignment="1">
      <alignment vertical="center" wrapText="1"/>
    </xf>
    <xf numFmtId="0" fontId="7" fillId="0" borderId="31" xfId="2" applyFont="1" applyBorder="1" applyAlignment="1">
      <alignment vertical="center" wrapText="1"/>
    </xf>
    <xf numFmtId="3" fontId="7" fillId="0" borderId="32" xfId="2" applyNumberFormat="1" applyFont="1" applyBorder="1" applyAlignment="1">
      <alignment vertical="center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horizontal="left" vertical="top" wrapText="1"/>
    </xf>
    <xf numFmtId="3" fontId="7" fillId="0" borderId="0" xfId="2" applyNumberFormat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23" xfId="2" applyFont="1" applyBorder="1" applyAlignment="1">
      <alignment vertical="top" wrapText="1"/>
    </xf>
    <xf numFmtId="0" fontId="7" fillId="0" borderId="17" xfId="2" applyFont="1" applyBorder="1" applyAlignment="1">
      <alignment horizontal="left" vertical="top" wrapText="1"/>
    </xf>
    <xf numFmtId="3" fontId="7" fillId="0" borderId="17" xfId="2" applyNumberFormat="1" applyFont="1" applyBorder="1" applyAlignment="1">
      <alignment horizontal="right" vertical="center" wrapText="1"/>
    </xf>
    <xf numFmtId="0" fontId="7" fillId="0" borderId="17" xfId="2" applyFont="1" applyBorder="1" applyAlignment="1">
      <alignment horizontal="right" vertical="center" wrapText="1"/>
    </xf>
    <xf numFmtId="3" fontId="7" fillId="0" borderId="24" xfId="2" applyNumberFormat="1" applyFont="1" applyBorder="1" applyAlignment="1">
      <alignment horizontal="right" vertical="center" wrapText="1"/>
    </xf>
    <xf numFmtId="0" fontId="14" fillId="0" borderId="12" xfId="2" applyFont="1" applyBorder="1" applyAlignment="1">
      <alignment vertical="top" wrapText="1"/>
    </xf>
    <xf numFmtId="0" fontId="14" fillId="0" borderId="1" xfId="2" applyFont="1" applyBorder="1" applyAlignment="1">
      <alignment vertical="top" wrapText="1"/>
    </xf>
    <xf numFmtId="3" fontId="14" fillId="0" borderId="1" xfId="2" applyNumberFormat="1" applyFont="1" applyBorder="1" applyAlignment="1">
      <alignment horizontal="right" vertical="center" wrapText="1"/>
    </xf>
    <xf numFmtId="3" fontId="14" fillId="0" borderId="7" xfId="2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wrapText="1"/>
    </xf>
    <xf numFmtId="0" fontId="7" fillId="0" borderId="25" xfId="2" applyFont="1" applyBorder="1" applyAlignment="1">
      <alignment vertical="top" wrapText="1"/>
    </xf>
    <xf numFmtId="0" fontId="16" fillId="0" borderId="9" xfId="2" applyFont="1" applyBorder="1" applyAlignment="1">
      <alignment horizontal="left" vertical="top" wrapText="1"/>
    </xf>
    <xf numFmtId="3" fontId="16" fillId="0" borderId="9" xfId="2" applyNumberFormat="1" applyFont="1" applyBorder="1" applyAlignment="1">
      <alignment horizontal="right" vertical="center" wrapText="1"/>
    </xf>
    <xf numFmtId="3" fontId="14" fillId="0" borderId="0" xfId="2" applyNumberFormat="1" applyFont="1" applyAlignment="1">
      <alignment horizontal="right" vertical="center" wrapText="1"/>
    </xf>
    <xf numFmtId="0" fontId="14" fillId="0" borderId="0" xfId="2" applyFont="1" applyAlignment="1">
      <alignment horizontal="right" vertical="center" wrapText="1"/>
    </xf>
    <xf numFmtId="3" fontId="7" fillId="0" borderId="31" xfId="2" applyNumberFormat="1" applyFont="1" applyBorder="1" applyAlignment="1">
      <alignment horizontal="right" vertical="center" wrapText="1"/>
    </xf>
    <xf numFmtId="3" fontId="7" fillId="0" borderId="0" xfId="2" applyNumberFormat="1" applyFont="1" applyAlignment="1">
      <alignment horizontal="right" vertical="center" wrapText="1"/>
    </xf>
    <xf numFmtId="0" fontId="7" fillId="0" borderId="0" xfId="2" applyFont="1" applyAlignment="1">
      <alignment horizontal="right" vertical="center" wrapText="1"/>
    </xf>
    <xf numFmtId="0" fontId="14" fillId="0" borderId="2" xfId="2" applyFont="1" applyBorder="1" applyAlignment="1">
      <alignment vertical="top" wrapText="1"/>
    </xf>
    <xf numFmtId="3" fontId="14" fillId="0" borderId="2" xfId="2" applyNumberFormat="1" applyFont="1" applyBorder="1" applyAlignment="1">
      <alignment horizontal="right" vertical="center" wrapText="1"/>
    </xf>
    <xf numFmtId="0" fontId="23" fillId="0" borderId="34" xfId="2" applyFont="1" applyBorder="1" applyAlignment="1">
      <alignment vertical="top" wrapText="1"/>
    </xf>
    <xf numFmtId="0" fontId="20" fillId="0" borderId="31" xfId="2" applyFont="1" applyBorder="1" applyAlignment="1">
      <alignment vertical="top" wrapText="1"/>
    </xf>
    <xf numFmtId="3" fontId="20" fillId="0" borderId="31" xfId="2" applyNumberFormat="1" applyFont="1" applyBorder="1" applyAlignment="1">
      <alignment horizontal="right" vertical="center" wrapText="1"/>
    </xf>
    <xf numFmtId="0" fontId="23" fillId="0" borderId="0" xfId="2" applyFont="1" applyAlignment="1">
      <alignment vertical="top" wrapText="1"/>
    </xf>
    <xf numFmtId="0" fontId="14" fillId="0" borderId="23" xfId="2" applyFont="1" applyBorder="1" applyAlignment="1">
      <alignment vertical="top" wrapText="1"/>
    </xf>
    <xf numFmtId="0" fontId="7" fillId="0" borderId="17" xfId="2" applyFont="1" applyBorder="1" applyAlignment="1">
      <alignment vertical="top" wrapText="1"/>
    </xf>
    <xf numFmtId="3" fontId="14" fillId="0" borderId="17" xfId="2" applyNumberFormat="1" applyFont="1" applyBorder="1" applyAlignment="1">
      <alignment horizontal="right" vertical="center" wrapText="1"/>
    </xf>
    <xf numFmtId="0" fontId="14" fillId="0" borderId="17" xfId="2" applyFont="1" applyBorder="1" applyAlignment="1">
      <alignment horizontal="right" vertical="center" wrapText="1"/>
    </xf>
    <xf numFmtId="3" fontId="14" fillId="0" borderId="24" xfId="2" applyNumberFormat="1" applyFont="1" applyBorder="1" applyAlignment="1">
      <alignment horizontal="right" vertical="center" wrapText="1"/>
    </xf>
    <xf numFmtId="0" fontId="7" fillId="0" borderId="1" xfId="2" applyFont="1" applyBorder="1" applyAlignment="1">
      <alignment vertical="top" wrapText="1"/>
    </xf>
    <xf numFmtId="3" fontId="2" fillId="0" borderId="1" xfId="2" applyNumberFormat="1" applyFont="1" applyBorder="1" applyAlignment="1">
      <alignment horizontal="right" vertical="center" wrapText="1"/>
    </xf>
    <xf numFmtId="0" fontId="14" fillId="0" borderId="25" xfId="2" applyFont="1" applyBorder="1" applyAlignment="1">
      <alignment vertical="top" wrapText="1"/>
    </xf>
    <xf numFmtId="0" fontId="7" fillId="0" borderId="9" xfId="2" applyFont="1" applyBorder="1" applyAlignment="1">
      <alignment vertical="top" wrapText="1"/>
    </xf>
    <xf numFmtId="3" fontId="2" fillId="0" borderId="9" xfId="2" applyNumberFormat="1" applyFont="1" applyBorder="1" applyAlignment="1">
      <alignment horizontal="right" vertical="center" wrapText="1"/>
    </xf>
    <xf numFmtId="3" fontId="14" fillId="0" borderId="0" xfId="2" applyNumberFormat="1" applyFont="1" applyAlignment="1">
      <alignment horizontal="right" vertical="top" wrapText="1"/>
    </xf>
    <xf numFmtId="0" fontId="14" fillId="0" borderId="0" xfId="2" applyFont="1" applyAlignment="1">
      <alignment horizontal="right" vertical="top" wrapText="1"/>
    </xf>
    <xf numFmtId="0" fontId="1" fillId="0" borderId="0" xfId="2" applyAlignment="1">
      <alignment wrapText="1"/>
    </xf>
    <xf numFmtId="0" fontId="1" fillId="0" borderId="0" xfId="2"/>
    <xf numFmtId="3" fontId="1" fillId="0" borderId="0" xfId="2" applyNumberFormat="1"/>
    <xf numFmtId="0" fontId="7" fillId="0" borderId="0" xfId="2" applyFont="1" applyAlignment="1">
      <alignment horizontal="center" wrapText="1"/>
    </xf>
    <xf numFmtId="0" fontId="7" fillId="12" borderId="23" xfId="2" applyFont="1" applyFill="1" applyBorder="1" applyAlignment="1">
      <alignment horizontal="center"/>
    </xf>
    <xf numFmtId="0" fontId="7" fillId="12" borderId="17" xfId="2" applyFont="1" applyFill="1" applyBorder="1" applyAlignment="1">
      <alignment horizontal="center" wrapText="1"/>
    </xf>
    <xf numFmtId="0" fontId="8" fillId="12" borderId="17" xfId="2" applyFont="1" applyFill="1" applyBorder="1" applyAlignment="1">
      <alignment horizontal="right" wrapText="1"/>
    </xf>
    <xf numFmtId="14" fontId="7" fillId="12" borderId="17" xfId="2" applyNumberFormat="1" applyFont="1" applyFill="1" applyBorder="1" applyAlignment="1">
      <alignment horizontal="center" wrapText="1"/>
    </xf>
    <xf numFmtId="0" fontId="7" fillId="12" borderId="24" xfId="2" applyFont="1" applyFill="1" applyBorder="1" applyAlignment="1">
      <alignment horizontal="center" wrapText="1"/>
    </xf>
    <xf numFmtId="0" fontId="7" fillId="0" borderId="12" xfId="2" applyFont="1" applyBorder="1" applyAlignment="1">
      <alignment vertical="top"/>
    </xf>
    <xf numFmtId="0" fontId="14" fillId="0" borderId="1" xfId="2" applyFont="1" applyBorder="1" applyAlignment="1">
      <alignment vertical="top"/>
    </xf>
    <xf numFmtId="0" fontId="14" fillId="0" borderId="7" xfId="2" applyFont="1" applyBorder="1" applyAlignment="1">
      <alignment vertical="top"/>
    </xf>
    <xf numFmtId="0" fontId="14" fillId="0" borderId="0" xfId="2" applyFont="1" applyAlignment="1">
      <alignment vertical="top"/>
    </xf>
    <xf numFmtId="1" fontId="14" fillId="0" borderId="12" xfId="5" applyNumberFormat="1" applyFont="1" applyBorder="1" applyAlignment="1">
      <alignment horizontal="left" vertical="top"/>
    </xf>
    <xf numFmtId="0" fontId="14" fillId="0" borderId="1" xfId="5" applyFont="1" applyBorder="1" applyAlignment="1">
      <alignment horizontal="left" vertical="top" wrapText="1" indent="1"/>
    </xf>
    <xf numFmtId="3" fontId="14" fillId="0" borderId="1" xfId="5" applyNumberFormat="1" applyFont="1" applyBorder="1" applyAlignment="1">
      <alignment horizontal="right" vertical="top"/>
    </xf>
    <xf numFmtId="3" fontId="14" fillId="0" borderId="1" xfId="2" applyNumberFormat="1" applyFont="1" applyBorder="1" applyAlignment="1">
      <alignment vertical="top"/>
    </xf>
    <xf numFmtId="3" fontId="14" fillId="0" borderId="7" xfId="2" applyNumberFormat="1" applyFont="1" applyBorder="1" applyAlignment="1">
      <alignment vertical="top"/>
    </xf>
    <xf numFmtId="0" fontId="14" fillId="0" borderId="1" xfId="2" applyFont="1" applyBorder="1" applyAlignment="1">
      <alignment horizontal="left" vertical="top" wrapText="1" indent="1"/>
    </xf>
    <xf numFmtId="0" fontId="14" fillId="0" borderId="2" xfId="2" applyFont="1" applyBorder="1" applyAlignment="1">
      <alignment horizontal="left" vertical="top" wrapText="1" indent="1"/>
    </xf>
    <xf numFmtId="3" fontId="14" fillId="0" borderId="2" xfId="2" applyNumberFormat="1" applyFont="1" applyBorder="1" applyAlignment="1">
      <alignment vertical="top"/>
    </xf>
    <xf numFmtId="1" fontId="2" fillId="12" borderId="12" xfId="5" applyNumberFormat="1" applyFont="1" applyFill="1" applyBorder="1" applyAlignment="1">
      <alignment horizontal="left" vertical="top"/>
    </xf>
    <xf numFmtId="0" fontId="2" fillId="12" borderId="2" xfId="2" applyFont="1" applyFill="1" applyBorder="1" applyAlignment="1">
      <alignment horizontal="left" vertical="top" wrapText="1" indent="1"/>
    </xf>
    <xf numFmtId="3" fontId="2" fillId="12" borderId="2" xfId="2" applyNumberFormat="1" applyFont="1" applyFill="1" applyBorder="1" applyAlignment="1">
      <alignment vertical="top"/>
    </xf>
    <xf numFmtId="1" fontId="2" fillId="12" borderId="22" xfId="5" applyNumberFormat="1" applyFont="1" applyFill="1" applyBorder="1" applyAlignment="1">
      <alignment horizontal="left" vertical="top"/>
    </xf>
    <xf numFmtId="0" fontId="14" fillId="12" borderId="25" xfId="5" applyFont="1" applyFill="1" applyBorder="1" applyAlignment="1">
      <alignment horizontal="left" vertical="top"/>
    </xf>
    <xf numFmtId="0" fontId="7" fillId="12" borderId="9" xfId="2" applyFont="1" applyFill="1" applyBorder="1" applyAlignment="1">
      <alignment vertical="top" wrapText="1"/>
    </xf>
    <xf numFmtId="3" fontId="7" fillId="12" borderId="9" xfId="2" applyNumberFormat="1" applyFont="1" applyFill="1" applyBorder="1" applyAlignment="1">
      <alignment horizontal="right" vertical="top"/>
    </xf>
    <xf numFmtId="0" fontId="14" fillId="0" borderId="0" xfId="5" applyFont="1" applyAlignment="1">
      <alignment horizontal="left" vertical="top"/>
    </xf>
    <xf numFmtId="3" fontId="7" fillId="0" borderId="0" xfId="2" applyNumberFormat="1" applyFont="1" applyAlignment="1">
      <alignment horizontal="right" vertical="top"/>
    </xf>
    <xf numFmtId="0" fontId="7" fillId="12" borderId="23" xfId="2" applyFont="1" applyFill="1" applyBorder="1" applyAlignment="1">
      <alignment vertical="top"/>
    </xf>
    <xf numFmtId="0" fontId="7" fillId="12" borderId="17" xfId="2" applyFont="1" applyFill="1" applyBorder="1" applyAlignment="1">
      <alignment vertical="top" wrapText="1"/>
    </xf>
    <xf numFmtId="1" fontId="14" fillId="0" borderId="12" xfId="5" applyNumberFormat="1" applyFont="1" applyBorder="1" applyAlignment="1">
      <alignment horizontal="left" vertical="center"/>
    </xf>
    <xf numFmtId="0" fontId="14" fillId="0" borderId="1" xfId="2" applyFont="1" applyBorder="1" applyAlignment="1">
      <alignment horizontal="left" vertical="center" wrapText="1" indent="1"/>
    </xf>
    <xf numFmtId="3" fontId="14" fillId="0" borderId="1" xfId="2" applyNumberFormat="1" applyFont="1" applyBorder="1" applyAlignment="1">
      <alignment vertical="center"/>
    </xf>
    <xf numFmtId="3" fontId="14" fillId="0" borderId="7" xfId="2" applyNumberFormat="1" applyFont="1" applyBorder="1" applyAlignment="1">
      <alignment vertical="center"/>
    </xf>
    <xf numFmtId="0" fontId="7" fillId="0" borderId="0" xfId="2" applyFont="1" applyAlignment="1">
      <alignment vertical="top"/>
    </xf>
    <xf numFmtId="0" fontId="22" fillId="0" borderId="1" xfId="0" applyFont="1" applyBorder="1" applyAlignment="1">
      <alignment horizontal="left" vertical="center" wrapText="1" indent="1"/>
    </xf>
    <xf numFmtId="0" fontId="14" fillId="12" borderId="25" xfId="2" applyFont="1" applyFill="1" applyBorder="1" applyAlignment="1">
      <alignment vertical="top"/>
    </xf>
    <xf numFmtId="0" fontId="7" fillId="0" borderId="34" xfId="2" applyFont="1" applyBorder="1" applyAlignment="1">
      <alignment vertical="top"/>
    </xf>
    <xf numFmtId="0" fontId="7" fillId="0" borderId="31" xfId="2" applyFont="1" applyBorder="1" applyAlignment="1">
      <alignment vertical="top" wrapText="1"/>
    </xf>
    <xf numFmtId="3" fontId="7" fillId="0" borderId="31" xfId="2" applyNumberFormat="1" applyFont="1" applyBorder="1" applyAlignment="1">
      <alignment vertical="top"/>
    </xf>
    <xf numFmtId="0" fontId="14" fillId="0" borderId="31" xfId="2" applyFont="1" applyBorder="1" applyAlignment="1">
      <alignment vertical="top"/>
    </xf>
    <xf numFmtId="0" fontId="14" fillId="0" borderId="32" xfId="2" applyFont="1" applyBorder="1" applyAlignment="1">
      <alignment vertical="top"/>
    </xf>
    <xf numFmtId="3" fontId="7" fillId="0" borderId="0" xfId="2" applyNumberFormat="1" applyFont="1" applyAlignment="1">
      <alignment vertical="top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0" fontId="7" fillId="0" borderId="31" xfId="2" applyFont="1" applyBorder="1" applyAlignment="1">
      <alignment vertical="top"/>
    </xf>
    <xf numFmtId="0" fontId="7" fillId="0" borderId="32" xfId="2" applyFont="1" applyBorder="1" applyAlignment="1">
      <alignment vertical="top"/>
    </xf>
    <xf numFmtId="0" fontId="14" fillId="0" borderId="0" xfId="2" applyFont="1" applyAlignment="1">
      <alignment horizontal="left" vertical="top"/>
    </xf>
    <xf numFmtId="3" fontId="14" fillId="0" borderId="0" xfId="2" applyNumberFormat="1" applyFont="1" applyAlignment="1">
      <alignment vertical="top"/>
    </xf>
    <xf numFmtId="0" fontId="7" fillId="0" borderId="23" xfId="2" applyFont="1" applyBorder="1" applyAlignment="1">
      <alignment vertical="top"/>
    </xf>
    <xf numFmtId="3" fontId="7" fillId="0" borderId="17" xfId="2" applyNumberFormat="1" applyFont="1" applyBorder="1" applyAlignment="1">
      <alignment vertical="top"/>
    </xf>
    <xf numFmtId="0" fontId="7" fillId="0" borderId="17" xfId="2" applyFont="1" applyBorder="1" applyAlignment="1">
      <alignment vertical="top"/>
    </xf>
    <xf numFmtId="0" fontId="7" fillId="0" borderId="24" xfId="2" applyFont="1" applyBorder="1" applyAlignment="1">
      <alignment vertical="top"/>
    </xf>
    <xf numFmtId="0" fontId="2" fillId="0" borderId="12" xfId="2" applyFont="1" applyBorder="1" applyAlignment="1">
      <alignment vertical="top"/>
    </xf>
    <xf numFmtId="0" fontId="7" fillId="0" borderId="1" xfId="2" applyFont="1" applyBorder="1" applyAlignment="1">
      <alignment horizontal="left" vertical="top" wrapText="1"/>
    </xf>
    <xf numFmtId="3" fontId="7" fillId="0" borderId="1" xfId="2" applyNumberFormat="1" applyFont="1" applyBorder="1" applyAlignment="1">
      <alignment vertical="top"/>
    </xf>
    <xf numFmtId="0" fontId="14" fillId="0" borderId="12" xfId="2" applyFont="1" applyBorder="1" applyAlignment="1">
      <alignment vertical="top"/>
    </xf>
    <xf numFmtId="0" fontId="2" fillId="0" borderId="1" xfId="2" applyFont="1" applyBorder="1" applyAlignment="1">
      <alignment vertical="top" wrapText="1"/>
    </xf>
    <xf numFmtId="3" fontId="2" fillId="0" borderId="1" xfId="2" applyNumberFormat="1" applyFont="1" applyBorder="1" applyAlignment="1">
      <alignment horizontal="right" vertical="top"/>
    </xf>
    <xf numFmtId="0" fontId="14" fillId="0" borderId="25" xfId="2" applyFont="1" applyBorder="1" applyAlignment="1">
      <alignment vertical="top"/>
    </xf>
    <xf numFmtId="0" fontId="2" fillId="0" borderId="9" xfId="2" applyFont="1" applyBorder="1" applyAlignment="1">
      <alignment vertical="top" wrapText="1"/>
    </xf>
    <xf numFmtId="3" fontId="2" fillId="0" borderId="9" xfId="2" applyNumberFormat="1" applyFont="1" applyBorder="1" applyAlignment="1">
      <alignment horizontal="right" vertical="top"/>
    </xf>
    <xf numFmtId="0" fontId="14" fillId="0" borderId="34" xfId="2" applyFont="1" applyBorder="1" applyAlignment="1">
      <alignment vertical="top"/>
    </xf>
    <xf numFmtId="0" fontId="2" fillId="10" borderId="11" xfId="2" applyFont="1" applyFill="1" applyBorder="1" applyAlignment="1">
      <alignment wrapText="1"/>
    </xf>
    <xf numFmtId="0" fontId="16" fillId="0" borderId="0" xfId="2" applyFont="1" applyAlignment="1">
      <alignment wrapText="1"/>
    </xf>
    <xf numFmtId="0" fontId="2" fillId="10" borderId="0" xfId="2" applyFont="1" applyFill="1" applyAlignment="1">
      <alignment wrapText="1"/>
    </xf>
    <xf numFmtId="3" fontId="2" fillId="10" borderId="0" xfId="2" applyNumberFormat="1" applyFont="1" applyFill="1"/>
    <xf numFmtId="0" fontId="16" fillId="10" borderId="0" xfId="2" applyFont="1" applyFill="1" applyAlignment="1">
      <alignment wrapText="1"/>
    </xf>
    <xf numFmtId="3" fontId="7" fillId="10" borderId="0" xfId="2" applyNumberFormat="1" applyFont="1" applyFill="1" applyAlignment="1">
      <alignment horizontal="right"/>
    </xf>
    <xf numFmtId="0" fontId="2" fillId="10" borderId="59" xfId="2" applyFont="1" applyFill="1" applyBorder="1" applyAlignment="1">
      <alignment wrapText="1"/>
    </xf>
    <xf numFmtId="0" fontId="42" fillId="0" borderId="0" xfId="2" applyFont="1" applyAlignment="1">
      <alignment wrapText="1"/>
    </xf>
    <xf numFmtId="0" fontId="14" fillId="10" borderId="11" xfId="2" applyFont="1" applyFill="1" applyBorder="1" applyAlignment="1">
      <alignment vertical="top" wrapText="1"/>
    </xf>
    <xf numFmtId="3" fontId="2" fillId="10" borderId="0" xfId="2" applyNumberFormat="1" applyFont="1" applyFill="1" applyAlignment="1">
      <alignment horizontal="right"/>
    </xf>
    <xf numFmtId="3" fontId="43" fillId="0" borderId="0" xfId="0" applyNumberFormat="1" applyFont="1"/>
    <xf numFmtId="0" fontId="2" fillId="0" borderId="0" xfId="2" applyFont="1" applyAlignment="1">
      <alignment wrapText="1"/>
    </xf>
    <xf numFmtId="0" fontId="33" fillId="0" borderId="0" xfId="0" applyFont="1" applyAlignment="1">
      <alignment horizontal="justify" vertical="center" wrapText="1"/>
    </xf>
    <xf numFmtId="0" fontId="37" fillId="0" borderId="0" xfId="0" applyFont="1" applyAlignment="1">
      <alignment horizontal="justify" vertical="center" wrapText="1"/>
    </xf>
    <xf numFmtId="0" fontId="2" fillId="0" borderId="0" xfId="7" applyFont="1"/>
    <xf numFmtId="0" fontId="2" fillId="0" borderId="0" xfId="7" applyFont="1" applyAlignment="1">
      <alignment wrapText="1"/>
    </xf>
    <xf numFmtId="0" fontId="1" fillId="0" borderId="0" xfId="8"/>
    <xf numFmtId="0" fontId="14" fillId="0" borderId="0" xfId="8" applyFont="1"/>
    <xf numFmtId="170" fontId="14" fillId="0" borderId="0" xfId="8" applyNumberFormat="1" applyFont="1"/>
    <xf numFmtId="0" fontId="14" fillId="0" borderId="0" xfId="8" applyFont="1" applyAlignment="1">
      <alignment wrapText="1"/>
    </xf>
    <xf numFmtId="0" fontId="7" fillId="0" borderId="0" xfId="8" applyFont="1"/>
    <xf numFmtId="0" fontId="14" fillId="0" borderId="23" xfId="8" applyFont="1" applyBorder="1" applyAlignment="1">
      <alignment horizontal="center" wrapText="1"/>
    </xf>
    <xf numFmtId="0" fontId="14" fillId="0" borderId="17" xfId="8" applyFont="1" applyBorder="1" applyAlignment="1">
      <alignment horizontal="center" wrapText="1"/>
    </xf>
    <xf numFmtId="0" fontId="7" fillId="0" borderId="16" xfId="8" applyFont="1" applyBorder="1" applyAlignment="1">
      <alignment horizontal="center" wrapText="1"/>
    </xf>
    <xf numFmtId="0" fontId="7" fillId="0" borderId="24" xfId="8" applyFont="1" applyBorder="1" applyAlignment="1">
      <alignment horizontal="center" wrapText="1"/>
    </xf>
    <xf numFmtId="170" fontId="14" fillId="0" borderId="0" xfId="8" applyNumberFormat="1" applyFont="1" applyAlignment="1">
      <alignment horizontal="center" wrapText="1"/>
    </xf>
    <xf numFmtId="0" fontId="14" fillId="0" borderId="0" xfId="8" applyFont="1" applyAlignment="1">
      <alignment horizontal="center" wrapText="1"/>
    </xf>
    <xf numFmtId="0" fontId="14" fillId="0" borderId="12" xfId="8" applyFont="1" applyBorder="1"/>
    <xf numFmtId="0" fontId="14" fillId="0" borderId="1" xfId="8" applyFont="1" applyBorder="1" applyAlignment="1">
      <alignment wrapText="1"/>
    </xf>
    <xf numFmtId="3" fontId="14" fillId="0" borderId="1" xfId="8" applyNumberFormat="1" applyFont="1" applyBorder="1"/>
    <xf numFmtId="3" fontId="7" fillId="0" borderId="7" xfId="8" applyNumberFormat="1" applyFont="1" applyBorder="1"/>
    <xf numFmtId="0" fontId="7" fillId="0" borderId="1" xfId="8" applyFont="1" applyBorder="1" applyAlignment="1">
      <alignment wrapText="1"/>
    </xf>
    <xf numFmtId="3" fontId="7" fillId="0" borderId="1" xfId="8" applyNumberFormat="1" applyFont="1" applyBorder="1"/>
    <xf numFmtId="0" fontId="14" fillId="0" borderId="22" xfId="8" applyFont="1" applyBorder="1"/>
    <xf numFmtId="0" fontId="14" fillId="0" borderId="2" xfId="8" applyFont="1" applyBorder="1" applyAlignment="1">
      <alignment wrapText="1"/>
    </xf>
    <xf numFmtId="3" fontId="14" fillId="0" borderId="2" xfId="8" applyNumberFormat="1" applyFont="1" applyBorder="1"/>
    <xf numFmtId="3" fontId="7" fillId="0" borderId="15" xfId="8" applyNumberFormat="1" applyFont="1" applyBorder="1"/>
    <xf numFmtId="0" fontId="14" fillId="0" borderId="34" xfId="8" applyFont="1" applyBorder="1"/>
    <xf numFmtId="0" fontId="7" fillId="0" borderId="31" xfId="8" applyFont="1" applyBorder="1" applyAlignment="1">
      <alignment wrapText="1"/>
    </xf>
    <xf numFmtId="3" fontId="7" fillId="0" borderId="31" xfId="8" applyNumberFormat="1" applyFont="1" applyBorder="1"/>
    <xf numFmtId="3" fontId="7" fillId="0" borderId="32" xfId="8" applyNumberFormat="1" applyFont="1" applyBorder="1"/>
    <xf numFmtId="0" fontId="14" fillId="0" borderId="6" xfId="8" applyFont="1" applyBorder="1"/>
    <xf numFmtId="0" fontId="7" fillId="0" borderId="0" xfId="8" applyFont="1" applyAlignment="1">
      <alignment wrapText="1"/>
    </xf>
    <xf numFmtId="3" fontId="7" fillId="0" borderId="0" xfId="8" applyNumberFormat="1" applyFont="1"/>
    <xf numFmtId="3" fontId="7" fillId="0" borderId="27" xfId="8" applyNumberFormat="1" applyFont="1" applyBorder="1"/>
    <xf numFmtId="0" fontId="14" fillId="0" borderId="23" xfId="8" applyFont="1" applyBorder="1"/>
    <xf numFmtId="0" fontId="14" fillId="0" borderId="17" xfId="8" applyFont="1" applyBorder="1" applyAlignment="1">
      <alignment wrapText="1"/>
    </xf>
    <xf numFmtId="3" fontId="7" fillId="0" borderId="24" xfId="8" applyNumberFormat="1" applyFont="1" applyBorder="1"/>
    <xf numFmtId="170" fontId="7" fillId="0" borderId="0" xfId="8" applyNumberFormat="1" applyFont="1"/>
    <xf numFmtId="0" fontId="31" fillId="0" borderId="0" xfId="8" applyFont="1" applyAlignment="1">
      <alignment horizontal="center"/>
    </xf>
    <xf numFmtId="0" fontId="2" fillId="0" borderId="17" xfId="8" applyFont="1" applyBorder="1" applyAlignment="1">
      <alignment horizontal="center" wrapText="1"/>
    </xf>
    <xf numFmtId="3" fontId="14" fillId="0" borderId="29" xfId="8" applyNumberFormat="1" applyFont="1" applyBorder="1"/>
    <xf numFmtId="0" fontId="14" fillId="0" borderId="25" xfId="8" applyFont="1" applyBorder="1"/>
    <xf numFmtId="0" fontId="7" fillId="0" borderId="9" xfId="8" applyFont="1" applyBorder="1" applyAlignment="1">
      <alignment wrapText="1"/>
    </xf>
    <xf numFmtId="3" fontId="7" fillId="0" borderId="9" xfId="8" applyNumberFormat="1" applyFont="1" applyBorder="1"/>
    <xf numFmtId="3" fontId="7" fillId="0" borderId="10" xfId="8" applyNumberFormat="1" applyFont="1" applyBorder="1"/>
    <xf numFmtId="0" fontId="7" fillId="0" borderId="17" xfId="8" applyFont="1" applyBorder="1" applyAlignment="1">
      <alignment horizontal="center" wrapText="1"/>
    </xf>
    <xf numFmtId="0" fontId="14" fillId="0" borderId="12" xfId="8" applyFont="1" applyBorder="1" applyAlignment="1">
      <alignment wrapText="1"/>
    </xf>
    <xf numFmtId="3" fontId="14" fillId="0" borderId="1" xfId="8" applyNumberFormat="1" applyFont="1" applyBorder="1" applyAlignment="1">
      <alignment wrapText="1"/>
    </xf>
    <xf numFmtId="3" fontId="7" fillId="0" borderId="7" xfId="8" applyNumberFormat="1" applyFont="1" applyBorder="1" applyAlignment="1">
      <alignment wrapText="1"/>
    </xf>
    <xf numFmtId="170" fontId="7" fillId="0" borderId="0" xfId="8" applyNumberFormat="1" applyFont="1" applyAlignment="1">
      <alignment wrapText="1"/>
    </xf>
    <xf numFmtId="3" fontId="14" fillId="0" borderId="0" xfId="5" applyNumberFormat="1" applyFont="1" applyAlignment="1">
      <alignment horizontal="right" vertical="top"/>
    </xf>
    <xf numFmtId="170" fontId="14" fillId="0" borderId="0" xfId="8" applyNumberFormat="1" applyFont="1" applyAlignment="1">
      <alignment wrapText="1"/>
    </xf>
    <xf numFmtId="3" fontId="7" fillId="0" borderId="1" xfId="8" applyNumberFormat="1" applyFont="1" applyBorder="1" applyAlignment="1">
      <alignment wrapText="1"/>
    </xf>
    <xf numFmtId="0" fontId="14" fillId="0" borderId="25" xfId="8" applyFont="1" applyBorder="1" applyAlignment="1">
      <alignment wrapText="1"/>
    </xf>
    <xf numFmtId="3" fontId="7" fillId="0" borderId="9" xfId="8" applyNumberFormat="1" applyFont="1" applyBorder="1" applyAlignment="1">
      <alignment wrapText="1"/>
    </xf>
    <xf numFmtId="3" fontId="7" fillId="0" borderId="10" xfId="8" applyNumberFormat="1" applyFont="1" applyBorder="1" applyAlignment="1">
      <alignment wrapText="1"/>
    </xf>
    <xf numFmtId="0" fontId="1" fillId="0" borderId="0" xfId="8" applyAlignment="1">
      <alignment wrapText="1"/>
    </xf>
    <xf numFmtId="3" fontId="14" fillId="0" borderId="2" xfId="8" applyNumberFormat="1" applyFont="1" applyBorder="1" applyAlignment="1">
      <alignment wrapText="1"/>
    </xf>
    <xf numFmtId="3" fontId="14" fillId="0" borderId="29" xfId="8" applyNumberFormat="1" applyFont="1" applyBorder="1" applyAlignment="1">
      <alignment wrapText="1"/>
    </xf>
    <xf numFmtId="0" fontId="14" fillId="0" borderId="6" xfId="8" applyFont="1" applyBorder="1" applyAlignment="1">
      <alignment wrapText="1"/>
    </xf>
    <xf numFmtId="3" fontId="7" fillId="0" borderId="0" xfId="8" applyNumberFormat="1" applyFont="1" applyAlignment="1">
      <alignment wrapText="1"/>
    </xf>
    <xf numFmtId="3" fontId="7" fillId="0" borderId="27" xfId="8" applyNumberFormat="1" applyFont="1" applyBorder="1" applyAlignment="1">
      <alignment wrapText="1"/>
    </xf>
    <xf numFmtId="0" fontId="14" fillId="0" borderId="23" xfId="8" applyFont="1" applyBorder="1" applyAlignment="1">
      <alignment wrapText="1"/>
    </xf>
    <xf numFmtId="0" fontId="14" fillId="0" borderId="45" xfId="8" applyFont="1" applyBorder="1" applyAlignment="1">
      <alignment wrapText="1"/>
    </xf>
    <xf numFmtId="3" fontId="14" fillId="0" borderId="17" xfId="8" applyNumberFormat="1" applyFont="1" applyBorder="1" applyAlignment="1">
      <alignment wrapText="1"/>
    </xf>
    <xf numFmtId="3" fontId="7" fillId="0" borderId="24" xfId="8" applyNumberFormat="1" applyFont="1" applyBorder="1" applyAlignment="1">
      <alignment wrapText="1"/>
    </xf>
    <xf numFmtId="0" fontId="14" fillId="0" borderId="47" xfId="8" applyFont="1" applyBorder="1" applyAlignment="1">
      <alignment wrapText="1"/>
    </xf>
    <xf numFmtId="3" fontId="14" fillId="0" borderId="7" xfId="8" applyNumberFormat="1" applyFont="1" applyBorder="1" applyAlignment="1">
      <alignment wrapText="1"/>
    </xf>
    <xf numFmtId="0" fontId="7" fillId="0" borderId="47" xfId="8" applyFont="1" applyBorder="1" applyAlignment="1">
      <alignment wrapText="1"/>
    </xf>
    <xf numFmtId="0" fontId="7" fillId="0" borderId="50" xfId="8" applyFont="1" applyBorder="1" applyAlignment="1">
      <alignment wrapText="1"/>
    </xf>
    <xf numFmtId="0" fontId="7" fillId="0" borderId="0" xfId="3" applyFont="1" applyAlignment="1">
      <alignment horizontal="center"/>
    </xf>
    <xf numFmtId="3" fontId="7" fillId="7" borderId="55" xfId="2" applyNumberFormat="1" applyFont="1" applyFill="1" applyBorder="1" applyAlignment="1">
      <alignment horizontal="right"/>
    </xf>
    <xf numFmtId="3" fontId="7" fillId="7" borderId="60" xfId="2" applyNumberFormat="1" applyFont="1" applyFill="1" applyBorder="1" applyAlignment="1">
      <alignment horizontal="right"/>
    </xf>
    <xf numFmtId="3" fontId="23" fillId="0" borderId="55" xfId="2" applyNumberFormat="1" applyFont="1" applyBorder="1" applyAlignment="1">
      <alignment horizontal="center"/>
    </xf>
    <xf numFmtId="3" fontId="23" fillId="0" borderId="3" xfId="2" applyNumberFormat="1" applyFont="1" applyBorder="1" applyAlignment="1">
      <alignment horizontal="center"/>
    </xf>
    <xf numFmtId="3" fontId="23" fillId="0" borderId="29" xfId="2" applyNumberFormat="1" applyFont="1" applyBorder="1" applyAlignment="1">
      <alignment horizontal="center"/>
    </xf>
    <xf numFmtId="3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3" fillId="0" borderId="25" xfId="2" applyFont="1" applyBorder="1" applyAlignment="1">
      <alignment horizontal="center"/>
    </xf>
    <xf numFmtId="0" fontId="23" fillId="0" borderId="9" xfId="2" applyFont="1" applyBorder="1" applyAlignment="1">
      <alignment horizontal="center"/>
    </xf>
    <xf numFmtId="3" fontId="23" fillId="0" borderId="9" xfId="2" applyNumberFormat="1" applyFont="1" applyBorder="1" applyAlignment="1">
      <alignment horizontal="center" wrapText="1"/>
    </xf>
    <xf numFmtId="3" fontId="14" fillId="6" borderId="8" xfId="2" applyNumberFormat="1" applyFont="1" applyFill="1" applyBorder="1" applyAlignment="1">
      <alignment horizontal="right"/>
    </xf>
    <xf numFmtId="0" fontId="14" fillId="6" borderId="58" xfId="2" applyFont="1" applyFill="1" applyBorder="1" applyAlignment="1">
      <alignment horizontal="right"/>
    </xf>
    <xf numFmtId="3" fontId="14" fillId="7" borderId="8" xfId="2" applyNumberFormat="1" applyFont="1" applyFill="1" applyBorder="1" applyAlignment="1">
      <alignment horizontal="right"/>
    </xf>
    <xf numFmtId="3" fontId="14" fillId="7" borderId="59" xfId="2" applyNumberFormat="1" applyFont="1" applyFill="1" applyBorder="1" applyAlignment="1">
      <alignment horizontal="right"/>
    </xf>
    <xf numFmtId="3" fontId="7" fillId="0" borderId="55" xfId="2" applyNumberFormat="1" applyFont="1" applyBorder="1" applyAlignment="1">
      <alignment horizontal="right"/>
    </xf>
    <xf numFmtId="3" fontId="7" fillId="0" borderId="28" xfId="2" applyNumberFormat="1" applyFont="1" applyBorder="1" applyAlignment="1">
      <alignment horizontal="right"/>
    </xf>
    <xf numFmtId="3" fontId="7" fillId="6" borderId="55" xfId="2" applyNumberFormat="1" applyFont="1" applyFill="1" applyBorder="1" applyAlignment="1">
      <alignment horizontal="right"/>
    </xf>
    <xf numFmtId="3" fontId="7" fillId="6" borderId="28" xfId="2" applyNumberFormat="1" applyFont="1" applyFill="1" applyBorder="1" applyAlignment="1">
      <alignment horizontal="right"/>
    </xf>
    <xf numFmtId="3" fontId="7" fillId="7" borderId="28" xfId="2" applyNumberFormat="1" applyFont="1" applyFill="1" applyBorder="1" applyAlignment="1">
      <alignment horizontal="right"/>
    </xf>
    <xf numFmtId="166" fontId="14" fillId="0" borderId="8" xfId="4" applyNumberFormat="1" applyFont="1" applyFill="1" applyBorder="1" applyAlignment="1">
      <alignment horizontal="center" wrapText="1"/>
    </xf>
    <xf numFmtId="166" fontId="14" fillId="0" borderId="58" xfId="4" applyNumberFormat="1" applyFont="1" applyFill="1" applyBorder="1" applyAlignment="1">
      <alignment horizontal="center" wrapText="1"/>
    </xf>
    <xf numFmtId="3" fontId="14" fillId="0" borderId="8" xfId="2" applyNumberFormat="1" applyFont="1" applyBorder="1" applyAlignment="1">
      <alignment horizontal="right" wrapText="1"/>
    </xf>
    <xf numFmtId="3" fontId="14" fillId="0" borderId="58" xfId="2" applyNumberFormat="1" applyFont="1" applyBorder="1" applyAlignment="1">
      <alignment horizontal="right" wrapText="1"/>
    </xf>
    <xf numFmtId="3" fontId="14" fillId="0" borderId="8" xfId="2" applyNumberFormat="1" applyFont="1" applyBorder="1" applyAlignment="1">
      <alignment horizontal="center" wrapText="1"/>
    </xf>
    <xf numFmtId="3" fontId="14" fillId="0" borderId="58" xfId="2" applyNumberFormat="1" applyFont="1" applyBorder="1" applyAlignment="1">
      <alignment horizontal="center" wrapText="1"/>
    </xf>
    <xf numFmtId="3" fontId="14" fillId="6" borderId="58" xfId="2" applyNumberFormat="1" applyFont="1" applyFill="1" applyBorder="1" applyAlignment="1">
      <alignment horizontal="right"/>
    </xf>
    <xf numFmtId="0" fontId="7" fillId="0" borderId="53" xfId="2" applyFont="1" applyBorder="1" applyAlignment="1">
      <alignment horizontal="center" wrapText="1"/>
    </xf>
    <xf numFmtId="0" fontId="7" fillId="0" borderId="54" xfId="2" applyFont="1" applyBorder="1" applyAlignment="1">
      <alignment horizontal="center" wrapText="1"/>
    </xf>
    <xf numFmtId="166" fontId="14" fillId="0" borderId="6" xfId="4" applyNumberFormat="1" applyFont="1" applyFill="1" applyBorder="1" applyAlignment="1">
      <alignment horizontal="center" wrapText="1"/>
    </xf>
    <xf numFmtId="166" fontId="14" fillId="0" borderId="27" xfId="4" applyNumberFormat="1" applyFont="1" applyFill="1" applyBorder="1" applyAlignment="1">
      <alignment horizontal="center" wrapText="1"/>
    </xf>
    <xf numFmtId="3" fontId="14" fillId="0" borderId="6" xfId="2" applyNumberFormat="1" applyFont="1" applyBorder="1" applyAlignment="1">
      <alignment horizontal="right" wrapText="1"/>
    </xf>
    <xf numFmtId="3" fontId="14" fillId="0" borderId="27" xfId="2" applyNumberFormat="1" applyFont="1" applyBorder="1" applyAlignment="1">
      <alignment horizontal="right" wrapText="1"/>
    </xf>
    <xf numFmtId="3" fontId="14" fillId="6" borderId="6" xfId="2" applyNumberFormat="1" applyFont="1" applyFill="1" applyBorder="1" applyAlignment="1">
      <alignment horizontal="right"/>
    </xf>
    <xf numFmtId="0" fontId="14" fillId="6" borderId="27" xfId="2" applyFont="1" applyFill="1" applyBorder="1" applyAlignment="1">
      <alignment horizontal="right"/>
    </xf>
    <xf numFmtId="3" fontId="14" fillId="7" borderId="6" xfId="2" applyNumberFormat="1" applyFont="1" applyFill="1" applyBorder="1" applyAlignment="1">
      <alignment horizontal="right"/>
    </xf>
    <xf numFmtId="3" fontId="14" fillId="7" borderId="0" xfId="2" applyNumberFormat="1" applyFont="1" applyFill="1" applyAlignment="1">
      <alignment horizontal="right"/>
    </xf>
    <xf numFmtId="166" fontId="14" fillId="0" borderId="55" xfId="4" applyNumberFormat="1" applyFont="1" applyFill="1" applyBorder="1" applyAlignment="1">
      <alignment horizontal="center" wrapText="1"/>
    </xf>
    <xf numFmtId="166" fontId="14" fillId="0" borderId="28" xfId="4" applyNumberFormat="1" applyFont="1" applyFill="1" applyBorder="1" applyAlignment="1">
      <alignment horizontal="center" wrapText="1"/>
    </xf>
    <xf numFmtId="3" fontId="14" fillId="0" borderId="55" xfId="2" applyNumberFormat="1" applyFont="1" applyBorder="1" applyAlignment="1">
      <alignment horizontal="right" wrapText="1"/>
    </xf>
    <xf numFmtId="3" fontId="14" fillId="0" borderId="28" xfId="2" applyNumberFormat="1" applyFont="1" applyBorder="1" applyAlignment="1">
      <alignment horizontal="right" wrapText="1"/>
    </xf>
    <xf numFmtId="3" fontId="14" fillId="6" borderId="55" xfId="2" applyNumberFormat="1" applyFont="1" applyFill="1" applyBorder="1" applyAlignment="1">
      <alignment horizontal="right"/>
    </xf>
    <xf numFmtId="0" fontId="14" fillId="6" borderId="28" xfId="2" applyFont="1" applyFill="1" applyBorder="1" applyAlignment="1">
      <alignment horizontal="right"/>
    </xf>
    <xf numFmtId="3" fontId="14" fillId="7" borderId="55" xfId="2" applyNumberFormat="1" applyFont="1" applyFill="1" applyBorder="1" applyAlignment="1">
      <alignment horizontal="right"/>
    </xf>
    <xf numFmtId="3" fontId="14" fillId="7" borderId="3" xfId="2" applyNumberFormat="1" applyFont="1" applyFill="1" applyBorder="1" applyAlignment="1">
      <alignment horizontal="right"/>
    </xf>
    <xf numFmtId="3" fontId="14" fillId="6" borderId="55" xfId="2" applyNumberFormat="1" applyFont="1" applyFill="1" applyBorder="1"/>
    <xf numFmtId="3" fontId="14" fillId="6" borderId="28" xfId="2" applyNumberFormat="1" applyFont="1" applyFill="1" applyBorder="1"/>
    <xf numFmtId="3" fontId="14" fillId="0" borderId="6" xfId="2" applyNumberFormat="1" applyFont="1" applyBorder="1" applyAlignment="1">
      <alignment horizontal="center" wrapText="1"/>
    </xf>
    <xf numFmtId="3" fontId="14" fillId="0" borderId="27" xfId="2" applyNumberFormat="1" applyFont="1" applyBorder="1" applyAlignment="1">
      <alignment horizontal="center" wrapText="1"/>
    </xf>
    <xf numFmtId="3" fontId="14" fillId="0" borderId="55" xfId="2" applyNumberFormat="1" applyFont="1" applyBorder="1" applyAlignment="1">
      <alignment horizontal="right"/>
    </xf>
    <xf numFmtId="3" fontId="14" fillId="0" borderId="28" xfId="2" applyNumberFormat="1" applyFont="1" applyBorder="1" applyAlignment="1">
      <alignment horizontal="right"/>
    </xf>
    <xf numFmtId="0" fontId="14" fillId="0" borderId="55" xfId="2" applyFont="1" applyBorder="1" applyAlignment="1">
      <alignment horizontal="center" wrapText="1"/>
    </xf>
    <xf numFmtId="0" fontId="14" fillId="0" borderId="3" xfId="2" applyFont="1" applyBorder="1" applyAlignment="1">
      <alignment horizontal="center" wrapText="1"/>
    </xf>
    <xf numFmtId="0" fontId="14" fillId="0" borderId="28" xfId="2" applyFont="1" applyBorder="1" applyAlignment="1">
      <alignment horizontal="center" wrapText="1"/>
    </xf>
    <xf numFmtId="0" fontId="14" fillId="6" borderId="28" xfId="2" applyFont="1" applyFill="1" applyBorder="1"/>
    <xf numFmtId="3" fontId="14" fillId="6" borderId="28" xfId="2" applyNumberFormat="1" applyFont="1" applyFill="1" applyBorder="1" applyAlignment="1">
      <alignment horizontal="right"/>
    </xf>
    <xf numFmtId="3" fontId="14" fillId="6" borderId="55" xfId="2" applyNumberFormat="1" applyFont="1" applyFill="1" applyBorder="1" applyAlignment="1">
      <alignment horizontal="center"/>
    </xf>
    <xf numFmtId="3" fontId="14" fillId="6" borderId="28" xfId="2" applyNumberFormat="1" applyFont="1" applyFill="1" applyBorder="1" applyAlignment="1">
      <alignment horizontal="center"/>
    </xf>
    <xf numFmtId="0" fontId="14" fillId="0" borderId="28" xfId="2" applyFont="1" applyBorder="1" applyAlignment="1">
      <alignment horizontal="right"/>
    </xf>
    <xf numFmtId="3" fontId="14" fillId="7" borderId="28" xfId="2" applyNumberFormat="1" applyFont="1" applyFill="1" applyBorder="1" applyAlignment="1">
      <alignment horizontal="right"/>
    </xf>
    <xf numFmtId="3" fontId="14" fillId="6" borderId="27" xfId="2" applyNumberFormat="1" applyFont="1" applyFill="1" applyBorder="1" applyAlignment="1">
      <alignment horizontal="right"/>
    </xf>
    <xf numFmtId="0" fontId="7" fillId="0" borderId="59" xfId="2" applyFont="1" applyBorder="1" applyAlignment="1">
      <alignment horizontal="center" wrapText="1"/>
    </xf>
    <xf numFmtId="0" fontId="7" fillId="0" borderId="58" xfId="2" applyFont="1" applyBorder="1" applyAlignment="1">
      <alignment horizontal="center" wrapText="1"/>
    </xf>
    <xf numFmtId="0" fontId="14" fillId="0" borderId="6" xfId="2" applyFont="1" applyBorder="1" applyAlignment="1">
      <alignment horizontal="center"/>
    </xf>
    <xf numFmtId="0" fontId="14" fillId="0" borderId="27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4" fillId="0" borderId="26" xfId="2" applyFont="1" applyBorder="1" applyAlignment="1">
      <alignment horizontal="left" wrapText="1"/>
    </xf>
    <xf numFmtId="0" fontId="1" fillId="0" borderId="55" xfId="2" applyBorder="1"/>
    <xf numFmtId="0" fontId="21" fillId="0" borderId="55" xfId="2" applyFont="1" applyBorder="1" applyAlignment="1">
      <alignment horizontal="center"/>
    </xf>
    <xf numFmtId="0" fontId="21" fillId="0" borderId="28" xfId="2" applyFont="1" applyBorder="1" applyAlignment="1">
      <alignment horizontal="center"/>
    </xf>
    <xf numFmtId="0" fontId="21" fillId="0" borderId="3" xfId="2" applyFont="1" applyBorder="1" applyAlignment="1">
      <alignment horizontal="center"/>
    </xf>
    <xf numFmtId="0" fontId="7" fillId="6" borderId="55" xfId="2" applyFont="1" applyFill="1" applyBorder="1" applyAlignment="1">
      <alignment horizontal="center" wrapText="1"/>
    </xf>
    <xf numFmtId="0" fontId="7" fillId="6" borderId="28" xfId="2" applyFont="1" applyFill="1" applyBorder="1" applyAlignment="1">
      <alignment horizontal="center" wrapText="1"/>
    </xf>
    <xf numFmtId="0" fontId="7" fillId="0" borderId="11" xfId="2" applyFont="1" applyBorder="1" applyAlignment="1">
      <alignment horizontal="center" wrapText="1"/>
    </xf>
    <xf numFmtId="0" fontId="7" fillId="0" borderId="51" xfId="2" applyFont="1" applyBorder="1" applyAlignment="1">
      <alignment horizontal="center" wrapText="1"/>
    </xf>
    <xf numFmtId="3" fontId="14" fillId="0" borderId="55" xfId="2" applyNumberFormat="1" applyFont="1" applyBorder="1"/>
    <xf numFmtId="0" fontId="14" fillId="0" borderId="28" xfId="2" applyFont="1" applyBorder="1"/>
    <xf numFmtId="0" fontId="7" fillId="0" borderId="21" xfId="2" applyFont="1" applyBorder="1" applyAlignment="1">
      <alignment horizontal="left" wrapText="1"/>
    </xf>
    <xf numFmtId="0" fontId="7" fillId="0" borderId="44" xfId="2" applyFont="1" applyBorder="1" applyAlignment="1">
      <alignment horizontal="left" wrapText="1"/>
    </xf>
    <xf numFmtId="0" fontId="7" fillId="6" borderId="26" xfId="2" applyFont="1" applyFill="1" applyBorder="1" applyAlignment="1">
      <alignment horizontal="center" wrapText="1"/>
    </xf>
    <xf numFmtId="0" fontId="7" fillId="6" borderId="56" xfId="2" applyFont="1" applyFill="1" applyBorder="1" applyAlignment="1">
      <alignment horizontal="center" wrapText="1"/>
    </xf>
    <xf numFmtId="0" fontId="14" fillId="0" borderId="26" xfId="2" applyFont="1" applyBorder="1" applyAlignment="1">
      <alignment horizontal="left" wrapText="1" indent="4"/>
    </xf>
    <xf numFmtId="0" fontId="14" fillId="0" borderId="55" xfId="2" applyFont="1" applyBorder="1" applyAlignment="1">
      <alignment horizontal="left" wrapText="1" indent="4"/>
    </xf>
    <xf numFmtId="0" fontId="14" fillId="0" borderId="26" xfId="2" applyFont="1" applyBorder="1" applyAlignment="1">
      <alignment horizontal="left" wrapText="1" indent="4" shrinkToFit="1"/>
    </xf>
    <xf numFmtId="0" fontId="14" fillId="0" borderId="55" xfId="2" applyFont="1" applyBorder="1" applyAlignment="1">
      <alignment horizontal="left" wrapText="1" indent="4" shrinkToFit="1"/>
    </xf>
    <xf numFmtId="3" fontId="7" fillId="0" borderId="52" xfId="2" applyNumberFormat="1" applyFont="1" applyBorder="1" applyAlignment="1">
      <alignment horizontal="right"/>
    </xf>
    <xf numFmtId="3" fontId="7" fillId="0" borderId="54" xfId="2" applyNumberFormat="1" applyFont="1" applyBorder="1" applyAlignment="1">
      <alignment horizontal="right"/>
    </xf>
    <xf numFmtId="0" fontId="14" fillId="0" borderId="6" xfId="2" applyFont="1" applyBorder="1" applyAlignment="1">
      <alignment horizontal="left" wrapText="1" indent="4"/>
    </xf>
    <xf numFmtId="0" fontId="7" fillId="0" borderId="55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28" xfId="2" applyFont="1" applyBorder="1" applyAlignment="1">
      <alignment horizontal="center"/>
    </xf>
    <xf numFmtId="0" fontId="7" fillId="0" borderId="5" xfId="2" applyFont="1" applyBorder="1" applyAlignment="1">
      <alignment horizontal="center" wrapText="1"/>
    </xf>
    <xf numFmtId="3" fontId="7" fillId="0" borderId="53" xfId="2" applyNumberFormat="1" applyFont="1" applyBorder="1" applyAlignment="1">
      <alignment horizontal="center" wrapText="1"/>
    </xf>
    <xf numFmtId="3" fontId="14" fillId="0" borderId="6" xfId="2" applyNumberFormat="1" applyFont="1" applyBorder="1" applyAlignment="1">
      <alignment horizontal="right"/>
    </xf>
    <xf numFmtId="3" fontId="14" fillId="0" borderId="0" xfId="2" applyNumberFormat="1" applyFont="1" applyAlignment="1">
      <alignment horizontal="right"/>
    </xf>
    <xf numFmtId="0" fontId="7" fillId="6" borderId="6" xfId="2" applyFont="1" applyFill="1" applyBorder="1" applyAlignment="1">
      <alignment horizontal="center" wrapText="1"/>
    </xf>
    <xf numFmtId="0" fontId="7" fillId="6" borderId="27" xfId="2" applyFont="1" applyFill="1" applyBorder="1" applyAlignment="1">
      <alignment horizontal="center" wrapText="1"/>
    </xf>
    <xf numFmtId="0" fontId="20" fillId="0" borderId="0" xfId="2" applyFont="1" applyAlignment="1">
      <alignment horizontal="center" vertical="top"/>
    </xf>
    <xf numFmtId="0" fontId="7" fillId="6" borderId="5" xfId="2" applyFont="1" applyFill="1" applyBorder="1" applyAlignment="1">
      <alignment horizontal="center" wrapText="1"/>
    </xf>
    <xf numFmtId="0" fontId="7" fillId="6" borderId="51" xfId="2" applyFont="1" applyFill="1" applyBorder="1" applyAlignment="1">
      <alignment horizontal="center" wrapText="1"/>
    </xf>
    <xf numFmtId="0" fontId="7" fillId="7" borderId="5" xfId="2" applyFont="1" applyFill="1" applyBorder="1" applyAlignment="1">
      <alignment horizontal="center" wrapText="1"/>
    </xf>
    <xf numFmtId="0" fontId="7" fillId="7" borderId="11" xfId="2" applyFont="1" applyFill="1" applyBorder="1" applyAlignment="1">
      <alignment horizontal="center" wrapText="1"/>
    </xf>
    <xf numFmtId="0" fontId="8" fillId="0" borderId="52" xfId="2" applyFont="1" applyBorder="1" applyAlignment="1">
      <alignment horizontal="center" wrapText="1"/>
    </xf>
    <xf numFmtId="0" fontId="8" fillId="0" borderId="53" xfId="2" applyFont="1" applyBorder="1" applyAlignment="1">
      <alignment horizontal="center" wrapText="1"/>
    </xf>
    <xf numFmtId="0" fontId="10" fillId="0" borderId="23" xfId="2" applyFont="1" applyBorder="1" applyAlignment="1">
      <alignment horizontal="center" wrapText="1"/>
    </xf>
    <xf numFmtId="0" fontId="10" fillId="0" borderId="17" xfId="2" applyFont="1" applyBorder="1" applyAlignment="1">
      <alignment horizontal="center" wrapText="1"/>
    </xf>
    <xf numFmtId="0" fontId="10" fillId="0" borderId="24" xfId="2" applyFont="1" applyBorder="1" applyAlignment="1">
      <alignment horizontal="center" wrapText="1"/>
    </xf>
    <xf numFmtId="0" fontId="8" fillId="0" borderId="54" xfId="2" applyFont="1" applyBorder="1" applyAlignment="1">
      <alignment horizontal="center" wrapText="1"/>
    </xf>
    <xf numFmtId="0" fontId="10" fillId="0" borderId="52" xfId="2" applyFont="1" applyBorder="1" applyAlignment="1">
      <alignment horizontal="center" wrapText="1"/>
    </xf>
    <xf numFmtId="0" fontId="10" fillId="0" borderId="53" xfId="2" applyFont="1" applyBorder="1" applyAlignment="1">
      <alignment horizontal="center" wrapText="1"/>
    </xf>
    <xf numFmtId="0" fontId="10" fillId="0" borderId="54" xfId="2" applyFont="1" applyBorder="1" applyAlignment="1">
      <alignment horizontal="center" wrapText="1"/>
    </xf>
    <xf numFmtId="0" fontId="7" fillId="0" borderId="52" xfId="2" applyFont="1" applyBorder="1" applyAlignment="1">
      <alignment horizontal="center" wrapText="1"/>
    </xf>
    <xf numFmtId="0" fontId="8" fillId="0" borderId="23" xfId="2" applyFont="1" applyBorder="1" applyAlignment="1">
      <alignment horizontal="center" wrapText="1"/>
    </xf>
    <xf numFmtId="0" fontId="8" fillId="0" borderId="17" xfId="2" applyFont="1" applyBorder="1" applyAlignment="1">
      <alignment horizontal="center" wrapText="1"/>
    </xf>
    <xf numFmtId="0" fontId="8" fillId="0" borderId="24" xfId="2" applyFont="1" applyBorder="1" applyAlignment="1">
      <alignment horizontal="center" wrapText="1"/>
    </xf>
    <xf numFmtId="0" fontId="8" fillId="0" borderId="65" xfId="2" applyFont="1" applyBorder="1" applyAlignment="1">
      <alignment horizontal="center" wrapText="1"/>
    </xf>
    <xf numFmtId="0" fontId="9" fillId="11" borderId="66" xfId="2" applyFont="1" applyFill="1" applyBorder="1" applyAlignment="1">
      <alignment horizontal="center" wrapText="1"/>
    </xf>
    <xf numFmtId="0" fontId="9" fillId="11" borderId="11" xfId="2" applyFont="1" applyFill="1" applyBorder="1" applyAlignment="1">
      <alignment horizontal="center" wrapText="1"/>
    </xf>
    <xf numFmtId="0" fontId="9" fillId="11" borderId="74" xfId="2" applyFont="1" applyFill="1" applyBorder="1" applyAlignment="1">
      <alignment horizontal="center" wrapText="1"/>
    </xf>
    <xf numFmtId="0" fontId="8" fillId="0" borderId="33" xfId="2" applyFont="1" applyBorder="1" applyAlignment="1">
      <alignment horizontal="center" wrapText="1"/>
    </xf>
    <xf numFmtId="0" fontId="8" fillId="11" borderId="52" xfId="2" applyFont="1" applyFill="1" applyBorder="1" applyAlignment="1">
      <alignment horizontal="center" wrapText="1"/>
    </xf>
    <xf numFmtId="0" fontId="8" fillId="11" borderId="53" xfId="2" applyFont="1" applyFill="1" applyBorder="1" applyAlignment="1">
      <alignment horizontal="center" wrapText="1"/>
    </xf>
    <xf numFmtId="0" fontId="8" fillId="11" borderId="54" xfId="2" applyFont="1" applyFill="1" applyBorder="1" applyAlignment="1">
      <alignment horizontal="center" wrapText="1"/>
    </xf>
    <xf numFmtId="0" fontId="9" fillId="11" borderId="33" xfId="2" applyFont="1" applyFill="1" applyBorder="1" applyAlignment="1">
      <alignment horizontal="center" wrapText="1"/>
    </xf>
    <xf numFmtId="0" fontId="9" fillId="11" borderId="53" xfId="2" applyFont="1" applyFill="1" applyBorder="1" applyAlignment="1">
      <alignment horizontal="center" wrapText="1"/>
    </xf>
    <xf numFmtId="0" fontId="9" fillId="11" borderId="65" xfId="2" applyFont="1" applyFill="1" applyBorder="1" applyAlignment="1">
      <alignment horizontal="center" wrapText="1"/>
    </xf>
    <xf numFmtId="0" fontId="9" fillId="0" borderId="0" xfId="2" applyFont="1" applyAlignment="1">
      <alignment horizontal="left" wrapText="1"/>
    </xf>
    <xf numFmtId="0" fontId="7" fillId="0" borderId="0" xfId="2" applyFont="1" applyAlignment="1">
      <alignment horizontal="center" wrapText="1"/>
    </xf>
    <xf numFmtId="0" fontId="33" fillId="0" borderId="7" xfId="0" applyFont="1" applyBorder="1" applyAlignment="1">
      <alignment horizontal="justify" vertical="center" wrapText="1"/>
    </xf>
    <xf numFmtId="0" fontId="33" fillId="0" borderId="10" xfId="0" applyFont="1" applyBorder="1" applyAlignment="1">
      <alignment horizontal="justify" vertical="center" wrapText="1"/>
    </xf>
    <xf numFmtId="0" fontId="37" fillId="0" borderId="48" xfId="0" applyFont="1" applyBorder="1" applyAlignment="1">
      <alignment horizontal="left" vertical="center" wrapText="1"/>
    </xf>
    <xf numFmtId="0" fontId="37" fillId="0" borderId="61" xfId="0" applyFont="1" applyBorder="1" applyAlignment="1">
      <alignment horizontal="left" vertical="center" wrapText="1"/>
    </xf>
    <xf numFmtId="0" fontId="37" fillId="0" borderId="50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justify" vertical="center" wrapText="1"/>
    </xf>
    <xf numFmtId="0" fontId="33" fillId="0" borderId="50" xfId="0" applyFont="1" applyBorder="1" applyAlignment="1">
      <alignment horizontal="justify" vertical="center" wrapText="1"/>
    </xf>
    <xf numFmtId="0" fontId="33" fillId="0" borderId="1" xfId="0" applyFont="1" applyBorder="1" applyAlignment="1">
      <alignment horizontal="justify" vertical="center" wrapText="1"/>
    </xf>
    <xf numFmtId="0" fontId="33" fillId="0" borderId="9" xfId="0" applyFont="1" applyBorder="1" applyAlignment="1">
      <alignment horizontal="justify" vertical="center" wrapText="1"/>
    </xf>
    <xf numFmtId="0" fontId="36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7" fillId="0" borderId="5" xfId="0" applyFont="1" applyBorder="1" applyAlignment="1">
      <alignment horizontal="justify" vertical="center" wrapText="1"/>
    </xf>
    <xf numFmtId="0" fontId="37" fillId="0" borderId="11" xfId="0" applyFont="1" applyBorder="1" applyAlignment="1">
      <alignment horizontal="justify" vertical="center" wrapText="1"/>
    </xf>
    <xf numFmtId="0" fontId="37" fillId="0" borderId="51" xfId="0" applyFont="1" applyBorder="1" applyAlignment="1">
      <alignment horizontal="justify" vertical="center" wrapText="1"/>
    </xf>
    <xf numFmtId="0" fontId="37" fillId="0" borderId="6" xfId="0" applyFont="1" applyBorder="1" applyAlignment="1">
      <alignment horizontal="justify" vertical="center" wrapText="1"/>
    </xf>
    <xf numFmtId="0" fontId="37" fillId="0" borderId="0" xfId="0" applyFont="1" applyAlignment="1">
      <alignment horizontal="justify" vertical="center" wrapText="1"/>
    </xf>
    <xf numFmtId="0" fontId="37" fillId="0" borderId="27" xfId="0" applyFont="1" applyBorder="1" applyAlignment="1">
      <alignment horizontal="justify" vertical="center" wrapText="1"/>
    </xf>
    <xf numFmtId="0" fontId="37" fillId="0" borderId="8" xfId="0" applyFont="1" applyBorder="1" applyAlignment="1">
      <alignment horizontal="justify" vertical="center" wrapText="1"/>
    </xf>
    <xf numFmtId="0" fontId="37" fillId="0" borderId="59" xfId="0" applyFont="1" applyBorder="1" applyAlignment="1">
      <alignment horizontal="justify" vertical="center" wrapText="1"/>
    </xf>
    <xf numFmtId="0" fontId="37" fillId="0" borderId="58" xfId="0" applyFont="1" applyBorder="1" applyAlignment="1">
      <alignment horizontal="justify" vertical="center" wrapText="1"/>
    </xf>
    <xf numFmtId="0" fontId="37" fillId="0" borderId="52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justify" vertical="center" wrapText="1"/>
    </xf>
    <xf numFmtId="0" fontId="37" fillId="0" borderId="9" xfId="0" applyFont="1" applyBorder="1" applyAlignment="1">
      <alignment horizontal="justify" vertical="center" wrapText="1"/>
    </xf>
    <xf numFmtId="0" fontId="9" fillId="0" borderId="0" xfId="2" applyFont="1" applyAlignment="1">
      <alignment horizontal="center" wrapText="1"/>
    </xf>
    <xf numFmtId="0" fontId="1" fillId="0" borderId="0" xfId="2" applyAlignment="1">
      <alignment horizontal="center" wrapText="1"/>
    </xf>
    <xf numFmtId="0" fontId="12" fillId="0" borderId="0" xfId="2" applyFont="1" applyAlignment="1">
      <alignment horizontal="center" wrapText="1"/>
    </xf>
    <xf numFmtId="0" fontId="31" fillId="9" borderId="0" xfId="8" applyFont="1" applyFill="1" applyAlignment="1">
      <alignment horizontal="center" wrapText="1"/>
    </xf>
    <xf numFmtId="0" fontId="31" fillId="9" borderId="0" xfId="8" applyFont="1" applyFill="1" applyAlignment="1">
      <alignment horizontal="center"/>
    </xf>
  </cellXfs>
  <cellStyles count="9">
    <cellStyle name="Ezres" xfId="6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 2_mellékletek 2013. III. névi rendelethez Kőszeg" xfId="8" xr:uid="{00000000-0005-0000-0000-000004000000}"/>
    <cellStyle name="Normál_2013. költségvetés mell" xfId="3" xr:uid="{00000000-0005-0000-0000-000005000000}"/>
    <cellStyle name="Normál_2013. költségvetés mell Bozsok" xfId="7" xr:uid="{00000000-0005-0000-0000-000006000000}"/>
    <cellStyle name="Normál_melléklet összesen_2012. koncepció kiegészítő táblázatok" xfId="5" xr:uid="{00000000-0005-0000-0000-000007000000}"/>
    <cellStyle name="Normál_R_2MELL" xfId="1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ll&#233;kletek%20a%203_2019_II.15.%20&#246;nkorm&#225;nyzat%20rendelethez%20m&#243;dos&#237;t&#225;s&#225;ho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 melléklet "/>
      <sheetName val="2. melléklet"/>
      <sheetName val="3. melléklet "/>
      <sheetName val="4. melléklet"/>
      <sheetName val="5. melléklet "/>
      <sheetName val="6. melléklet"/>
      <sheetName val="7. melléklet"/>
    </sheetNames>
    <sheetDataSet>
      <sheetData sheetId="0"/>
      <sheetData sheetId="1"/>
      <sheetData sheetId="2"/>
      <sheetData sheetId="3">
        <row r="24">
          <cell r="C24">
            <v>234846964</v>
          </cell>
        </row>
      </sheetData>
      <sheetData sheetId="4">
        <row r="6">
          <cell r="C6">
            <v>19344767</v>
          </cell>
        </row>
        <row r="7">
          <cell r="C7">
            <v>985520</v>
          </cell>
        </row>
        <row r="8">
          <cell r="C8">
            <v>148201</v>
          </cell>
        </row>
        <row r="14">
          <cell r="D14">
            <v>21425340</v>
          </cell>
        </row>
        <row r="15">
          <cell r="C15">
            <v>127000</v>
          </cell>
        </row>
        <row r="17">
          <cell r="D17">
            <v>407000</v>
          </cell>
        </row>
        <row r="21">
          <cell r="C21">
            <v>38231779</v>
          </cell>
        </row>
        <row r="22">
          <cell r="C22">
            <v>27369078</v>
          </cell>
        </row>
        <row r="23">
          <cell r="C23">
            <v>81361276</v>
          </cell>
        </row>
        <row r="24">
          <cell r="C24">
            <v>59513343</v>
          </cell>
          <cell r="D24">
            <v>63498288</v>
          </cell>
        </row>
        <row r="25">
          <cell r="C25">
            <v>5500000</v>
          </cell>
          <cell r="D25">
            <v>5500000</v>
          </cell>
        </row>
        <row r="26">
          <cell r="C26">
            <v>1266000</v>
          </cell>
          <cell r="D26">
            <v>1266000</v>
          </cell>
        </row>
        <row r="27">
          <cell r="C27">
            <v>1000000</v>
          </cell>
          <cell r="D27">
            <v>1000000</v>
          </cell>
        </row>
        <row r="28">
          <cell r="D28">
            <v>4685853</v>
          </cell>
        </row>
        <row r="29">
          <cell r="D29">
            <v>2602286</v>
          </cell>
        </row>
        <row r="30">
          <cell r="D30">
            <v>39803756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4720-6A31-4105-ACB6-B928FA69D63D}">
  <sheetPr>
    <tabColor rgb="FF00B050"/>
  </sheetPr>
  <dimension ref="A1:F50"/>
  <sheetViews>
    <sheetView tabSelected="1" view="pageBreakPreview" zoomScaleNormal="100" zoomScaleSheetLayoutView="100" workbookViewId="0">
      <selection activeCell="A2" sqref="A2:F2"/>
    </sheetView>
  </sheetViews>
  <sheetFormatPr defaultColWidth="9.109375" defaultRowHeight="13.2" x14ac:dyDescent="0.25"/>
  <cols>
    <col min="1" max="1" width="2.88671875" style="106" customWidth="1"/>
    <col min="2" max="2" width="72.44140625" style="108" customWidth="1"/>
    <col min="3" max="4" width="13.6640625" style="107" customWidth="1"/>
    <col min="5" max="5" width="13.88671875" style="107" customWidth="1"/>
    <col min="6" max="6" width="10.33203125" style="106" customWidth="1"/>
    <col min="7" max="16384" width="9.109375" style="106"/>
  </cols>
  <sheetData>
    <row r="1" spans="1:6" s="129" customFormat="1" ht="15" customHeight="1" x14ac:dyDescent="0.3">
      <c r="A1" s="132"/>
      <c r="B1" s="131" t="s">
        <v>335</v>
      </c>
      <c r="C1" s="130"/>
      <c r="D1" s="130"/>
      <c r="E1" s="130"/>
    </row>
    <row r="2" spans="1:6" x14ac:dyDescent="0.25">
      <c r="A2" s="656" t="s">
        <v>357</v>
      </c>
      <c r="B2" s="656"/>
      <c r="C2" s="656"/>
      <c r="D2" s="656"/>
      <c r="E2" s="656"/>
      <c r="F2" s="656"/>
    </row>
    <row r="3" spans="1:6" s="126" customFormat="1" ht="33" x14ac:dyDescent="0.3">
      <c r="B3" s="128" t="s">
        <v>51</v>
      </c>
      <c r="C3" s="127" t="s">
        <v>285</v>
      </c>
      <c r="D3" s="127" t="s">
        <v>284</v>
      </c>
      <c r="E3" s="127" t="s">
        <v>356</v>
      </c>
      <c r="F3" s="126" t="s">
        <v>355</v>
      </c>
    </row>
    <row r="4" spans="1:6" s="109" customFormat="1" ht="19.5" customHeight="1" x14ac:dyDescent="0.25">
      <c r="A4" s="109" t="s">
        <v>277</v>
      </c>
      <c r="B4" s="125"/>
    </row>
    <row r="5" spans="1:6" s="123" customFormat="1" ht="19.5" customHeight="1" x14ac:dyDescent="0.25">
      <c r="B5" s="124" t="s">
        <v>354</v>
      </c>
      <c r="C5" s="2">
        <f>C6+C7+C12+C15+C13+C14</f>
        <v>45870527</v>
      </c>
      <c r="D5" s="2">
        <f>D6+D7+D12+D15+D13+D14</f>
        <v>48983460</v>
      </c>
      <c r="E5" s="2">
        <f>E6+E7+E12+E15+E13+E14</f>
        <v>49026600</v>
      </c>
      <c r="F5" s="2">
        <f t="shared" ref="F5:F35" si="0">+E5-D5</f>
        <v>43140</v>
      </c>
    </row>
    <row r="6" spans="1:6" ht="19.5" customHeight="1" x14ac:dyDescent="0.25">
      <c r="B6" s="117" t="s">
        <v>52</v>
      </c>
      <c r="C6" s="107">
        <v>34029400</v>
      </c>
      <c r="D6" s="107">
        <v>33800400</v>
      </c>
      <c r="E6" s="107">
        <v>33800400</v>
      </c>
      <c r="F6" s="107">
        <f t="shared" si="0"/>
        <v>0</v>
      </c>
    </row>
    <row r="7" spans="1:6" ht="19.5" customHeight="1" x14ac:dyDescent="0.25">
      <c r="B7" s="117" t="s">
        <v>53</v>
      </c>
      <c r="C7" s="107">
        <f>C8+C9+C10+C11</f>
        <v>11320627</v>
      </c>
      <c r="D7" s="107">
        <f>D8+D9+D10+D11</f>
        <v>14696860</v>
      </c>
      <c r="E7" s="107">
        <f>E8+E9+E10+E11</f>
        <v>14696860</v>
      </c>
      <c r="F7" s="107">
        <f t="shared" si="0"/>
        <v>0</v>
      </c>
    </row>
    <row r="8" spans="1:6" ht="19.5" customHeight="1" x14ac:dyDescent="0.25">
      <c r="B8" s="122" t="s">
        <v>54</v>
      </c>
      <c r="C8" s="121">
        <f>5942950-3933046</f>
        <v>2009904</v>
      </c>
      <c r="D8" s="121">
        <v>5179347</v>
      </c>
      <c r="E8" s="121">
        <v>5179347</v>
      </c>
      <c r="F8" s="121">
        <f t="shared" si="0"/>
        <v>0</v>
      </c>
    </row>
    <row r="9" spans="1:6" ht="19.5" customHeight="1" x14ac:dyDescent="0.25">
      <c r="B9" s="122" t="s">
        <v>55</v>
      </c>
      <c r="C9" s="121">
        <v>5824000</v>
      </c>
      <c r="D9" s="121">
        <v>5856000</v>
      </c>
      <c r="E9" s="121">
        <v>5856000</v>
      </c>
      <c r="F9" s="121">
        <f t="shared" si="0"/>
        <v>0</v>
      </c>
    </row>
    <row r="10" spans="1:6" ht="19.5" customHeight="1" x14ac:dyDescent="0.25">
      <c r="B10" s="122" t="s">
        <v>56</v>
      </c>
      <c r="C10" s="121">
        <v>694623</v>
      </c>
      <c r="D10" s="121">
        <v>694623</v>
      </c>
      <c r="E10" s="121">
        <v>694623</v>
      </c>
      <c r="F10" s="121">
        <f t="shared" si="0"/>
        <v>0</v>
      </c>
    </row>
    <row r="11" spans="1:6" ht="19.5" customHeight="1" x14ac:dyDescent="0.25">
      <c r="B11" s="122" t="s">
        <v>57</v>
      </c>
      <c r="C11" s="121">
        <v>2792100</v>
      </c>
      <c r="D11" s="121">
        <v>2966890</v>
      </c>
      <c r="E11" s="121">
        <v>2966890</v>
      </c>
      <c r="F11" s="121">
        <f t="shared" si="0"/>
        <v>0</v>
      </c>
    </row>
    <row r="12" spans="1:6" ht="19.5" customHeight="1" x14ac:dyDescent="0.25">
      <c r="B12" s="117" t="s">
        <v>58</v>
      </c>
      <c r="C12" s="107">
        <f>7335900-7335900</f>
        <v>0</v>
      </c>
      <c r="D12" s="107">
        <f>7335900-7335900</f>
        <v>0</v>
      </c>
      <c r="E12" s="107">
        <f>7335900-7335900</f>
        <v>0</v>
      </c>
      <c r="F12" s="107">
        <f t="shared" si="0"/>
        <v>0</v>
      </c>
    </row>
    <row r="13" spans="1:6" ht="19.5" customHeight="1" x14ac:dyDescent="0.25">
      <c r="B13" s="117" t="s">
        <v>59</v>
      </c>
      <c r="C13" s="107">
        <f>10200-10200</f>
        <v>0</v>
      </c>
      <c r="D13" s="107">
        <f>10200-10200</f>
        <v>0</v>
      </c>
      <c r="E13" s="107">
        <f>10200-10200</f>
        <v>0</v>
      </c>
      <c r="F13" s="107">
        <f t="shared" si="0"/>
        <v>0</v>
      </c>
    </row>
    <row r="14" spans="1:6" ht="19.5" customHeight="1" x14ac:dyDescent="0.25">
      <c r="B14" s="117" t="s">
        <v>353</v>
      </c>
      <c r="E14" s="107">
        <v>43140</v>
      </c>
      <c r="F14" s="107">
        <f t="shared" si="0"/>
        <v>43140</v>
      </c>
    </row>
    <row r="15" spans="1:6" ht="19.5" customHeight="1" x14ac:dyDescent="0.25">
      <c r="B15" s="117" t="s">
        <v>60</v>
      </c>
      <c r="C15" s="107">
        <v>520500</v>
      </c>
      <c r="D15" s="107">
        <v>486200</v>
      </c>
      <c r="E15" s="107">
        <v>486200</v>
      </c>
      <c r="F15" s="107">
        <f t="shared" si="0"/>
        <v>0</v>
      </c>
    </row>
    <row r="16" spans="1:6" ht="19.5" customHeight="1" x14ac:dyDescent="0.25">
      <c r="B16" s="118" t="s">
        <v>352</v>
      </c>
      <c r="C16" s="2">
        <f>SUM(C17:C25)</f>
        <v>80006067</v>
      </c>
      <c r="D16" s="2">
        <f>SUM(D17:D25)</f>
        <v>83450117</v>
      </c>
      <c r="E16" s="2">
        <f>SUM(E17:E25)</f>
        <v>83450117</v>
      </c>
      <c r="F16" s="2">
        <f t="shared" si="0"/>
        <v>0</v>
      </c>
    </row>
    <row r="17" spans="2:6" ht="19.5" customHeight="1" x14ac:dyDescent="0.25">
      <c r="B17" s="117" t="s">
        <v>61</v>
      </c>
      <c r="C17" s="107">
        <v>36825000</v>
      </c>
      <c r="D17" s="119">
        <v>38177767</v>
      </c>
      <c r="E17" s="119">
        <v>38177767</v>
      </c>
      <c r="F17" s="119">
        <f t="shared" si="0"/>
        <v>0</v>
      </c>
    </row>
    <row r="18" spans="2:6" ht="19.5" customHeight="1" x14ac:dyDescent="0.25">
      <c r="B18" s="117" t="s">
        <v>62</v>
      </c>
      <c r="C18" s="107">
        <v>10290000</v>
      </c>
      <c r="D18" s="107">
        <v>10290000</v>
      </c>
      <c r="E18" s="107">
        <v>10290000</v>
      </c>
      <c r="F18" s="107">
        <f t="shared" si="0"/>
        <v>0</v>
      </c>
    </row>
    <row r="19" spans="2:6" ht="19.5" customHeight="1" x14ac:dyDescent="0.25">
      <c r="B19" s="117" t="s">
        <v>63</v>
      </c>
      <c r="C19" s="107">
        <v>16350300</v>
      </c>
      <c r="D19" s="119">
        <v>15591683</v>
      </c>
      <c r="E19" s="119">
        <v>15591683</v>
      </c>
      <c r="F19" s="119">
        <f t="shared" si="0"/>
        <v>0</v>
      </c>
    </row>
    <row r="20" spans="2:6" ht="19.5" customHeight="1" x14ac:dyDescent="0.25">
      <c r="B20" s="117" t="s">
        <v>64</v>
      </c>
      <c r="C20" s="107">
        <v>5145000</v>
      </c>
      <c r="D20" s="107">
        <v>5145000</v>
      </c>
      <c r="E20" s="107">
        <v>5145000</v>
      </c>
      <c r="F20" s="107">
        <f t="shared" si="0"/>
        <v>0</v>
      </c>
    </row>
    <row r="21" spans="2:6" ht="19.5" customHeight="1" x14ac:dyDescent="0.25">
      <c r="B21" s="117" t="s">
        <v>65</v>
      </c>
      <c r="F21" s="107">
        <f t="shared" si="0"/>
        <v>0</v>
      </c>
    </row>
    <row r="22" spans="2:6" ht="19.5" customHeight="1" x14ac:dyDescent="0.25">
      <c r="B22" s="120" t="s">
        <v>66</v>
      </c>
      <c r="C22" s="107">
        <v>7353000</v>
      </c>
      <c r="D22" s="119">
        <v>9155600</v>
      </c>
      <c r="E22" s="119">
        <v>9155600</v>
      </c>
      <c r="F22" s="119">
        <f t="shared" si="0"/>
        <v>0</v>
      </c>
    </row>
    <row r="23" spans="2:6" ht="19.5" customHeight="1" x14ac:dyDescent="0.25">
      <c r="B23" s="120" t="s">
        <v>67</v>
      </c>
      <c r="C23" s="107">
        <v>3240767</v>
      </c>
      <c r="D23" s="119">
        <v>3733667</v>
      </c>
      <c r="E23" s="119">
        <v>3733667</v>
      </c>
      <c r="F23" s="119">
        <f t="shared" si="0"/>
        <v>0</v>
      </c>
    </row>
    <row r="24" spans="2:6" ht="19.5" customHeight="1" x14ac:dyDescent="0.25">
      <c r="B24" s="117" t="s">
        <v>68</v>
      </c>
      <c r="C24" s="107">
        <v>802000</v>
      </c>
      <c r="D24" s="119">
        <v>793400</v>
      </c>
      <c r="E24" s="119">
        <v>793400</v>
      </c>
      <c r="F24" s="119">
        <f t="shared" si="0"/>
        <v>0</v>
      </c>
    </row>
    <row r="25" spans="2:6" ht="19.5" customHeight="1" x14ac:dyDescent="0.25">
      <c r="B25" s="117" t="s">
        <v>287</v>
      </c>
      <c r="D25" s="119">
        <v>563000</v>
      </c>
      <c r="E25" s="119">
        <v>563000</v>
      </c>
      <c r="F25" s="119">
        <f t="shared" si="0"/>
        <v>0</v>
      </c>
    </row>
    <row r="26" spans="2:6" ht="19.5" customHeight="1" x14ac:dyDescent="0.25">
      <c r="B26" s="118" t="s">
        <v>351</v>
      </c>
      <c r="C26" s="2">
        <f>SUM(C27:C35)</f>
        <v>35851198</v>
      </c>
      <c r="D26" s="2">
        <f>SUM(D27:D35)</f>
        <v>33136966</v>
      </c>
      <c r="E26" s="2">
        <f>SUM(E27:E35)</f>
        <v>33876466</v>
      </c>
      <c r="F26" s="2">
        <f t="shared" si="0"/>
        <v>739500</v>
      </c>
    </row>
    <row r="27" spans="2:6" ht="19.5" customHeight="1" x14ac:dyDescent="0.25">
      <c r="B27" s="117" t="s">
        <v>350</v>
      </c>
      <c r="E27" s="107">
        <v>739500</v>
      </c>
      <c r="F27" s="107">
        <f t="shared" si="0"/>
        <v>739500</v>
      </c>
    </row>
    <row r="28" spans="2:6" ht="19.5" customHeight="1" x14ac:dyDescent="0.25">
      <c r="B28" s="117" t="s">
        <v>69</v>
      </c>
      <c r="C28" s="107">
        <v>15294000</v>
      </c>
      <c r="D28" s="107">
        <v>6939134</v>
      </c>
      <c r="E28" s="107">
        <v>6939134</v>
      </c>
      <c r="F28" s="107">
        <f t="shared" si="0"/>
        <v>0</v>
      </c>
    </row>
    <row r="29" spans="2:6" ht="27.75" customHeight="1" x14ac:dyDescent="0.25">
      <c r="B29" s="117" t="s">
        <v>286</v>
      </c>
      <c r="D29" s="107">
        <v>3400000</v>
      </c>
      <c r="E29" s="107">
        <v>3400000</v>
      </c>
      <c r="F29" s="107">
        <f t="shared" si="0"/>
        <v>0</v>
      </c>
    </row>
    <row r="30" spans="2:6" ht="19.5" customHeight="1" x14ac:dyDescent="0.25">
      <c r="B30" s="117" t="s">
        <v>70</v>
      </c>
      <c r="C30" s="107">
        <v>1992960</v>
      </c>
      <c r="D30" s="107">
        <v>1992960</v>
      </c>
      <c r="E30" s="107">
        <v>1992960</v>
      </c>
      <c r="F30" s="107">
        <f t="shared" si="0"/>
        <v>0</v>
      </c>
    </row>
    <row r="31" spans="2:6" ht="26.25" customHeight="1" x14ac:dyDescent="0.25">
      <c r="B31" s="117" t="s">
        <v>71</v>
      </c>
      <c r="C31" s="107">
        <v>50000</v>
      </c>
      <c r="D31" s="107">
        <v>50000</v>
      </c>
      <c r="E31" s="107">
        <v>50000</v>
      </c>
      <c r="F31" s="107">
        <f t="shared" si="0"/>
        <v>0</v>
      </c>
    </row>
    <row r="32" spans="2:6" ht="26.25" customHeight="1" x14ac:dyDescent="0.25">
      <c r="B32" s="117" t="s">
        <v>72</v>
      </c>
      <c r="C32" s="107">
        <v>2310000</v>
      </c>
      <c r="D32" s="107">
        <v>3300000</v>
      </c>
      <c r="E32" s="107">
        <v>3300000</v>
      </c>
      <c r="F32" s="107">
        <f t="shared" si="0"/>
        <v>0</v>
      </c>
    </row>
    <row r="33" spans="1:6" ht="26.25" customHeight="1" x14ac:dyDescent="0.25">
      <c r="B33" s="117" t="s">
        <v>73</v>
      </c>
      <c r="C33" s="107">
        <v>2616000</v>
      </c>
      <c r="D33" s="107">
        <v>2616000</v>
      </c>
      <c r="E33" s="107">
        <v>2616000</v>
      </c>
      <c r="F33" s="107">
        <f t="shared" si="0"/>
        <v>0</v>
      </c>
    </row>
    <row r="34" spans="1:6" ht="23.25" customHeight="1" x14ac:dyDescent="0.25">
      <c r="B34" s="117" t="s">
        <v>74</v>
      </c>
      <c r="C34" s="107">
        <v>10488000</v>
      </c>
      <c r="D34" s="107">
        <v>10564000</v>
      </c>
      <c r="E34" s="107">
        <v>10564000</v>
      </c>
      <c r="F34" s="107">
        <f t="shared" si="0"/>
        <v>0</v>
      </c>
    </row>
    <row r="35" spans="1:6" ht="23.25" customHeight="1" x14ac:dyDescent="0.25">
      <c r="B35" s="117" t="s">
        <v>75</v>
      </c>
      <c r="C35" s="107">
        <v>3100238</v>
      </c>
      <c r="D35" s="107">
        <v>4274872</v>
      </c>
      <c r="E35" s="107">
        <v>4274872</v>
      </c>
      <c r="F35" s="107">
        <f t="shared" si="0"/>
        <v>0</v>
      </c>
    </row>
    <row r="36" spans="1:6" ht="23.25" customHeight="1" x14ac:dyDescent="0.25">
      <c r="B36" s="118" t="s">
        <v>349</v>
      </c>
      <c r="C36" s="2">
        <f>SUM(C37:C39)</f>
        <v>3287570</v>
      </c>
      <c r="D36" s="2">
        <f>SUM(D37:D39)</f>
        <v>3253690</v>
      </c>
      <c r="E36" s="2">
        <f>SUM(E37:E39)</f>
        <v>4157144</v>
      </c>
      <c r="F36" s="2">
        <f>SUM(F37:F39)</f>
        <v>903454</v>
      </c>
    </row>
    <row r="37" spans="1:6" ht="23.25" customHeight="1" x14ac:dyDescent="0.25">
      <c r="B37" s="117" t="s">
        <v>76</v>
      </c>
      <c r="C37" s="107">
        <v>3287570</v>
      </c>
      <c r="D37" s="107">
        <f>1210*2689</f>
        <v>3253690</v>
      </c>
      <c r="E37" s="107">
        <f>1210*2689</f>
        <v>3253690</v>
      </c>
      <c r="F37" s="107">
        <f>+E37-D37</f>
        <v>0</v>
      </c>
    </row>
    <row r="38" spans="1:6" ht="23.25" customHeight="1" x14ac:dyDescent="0.25">
      <c r="B38" s="117" t="s">
        <v>348</v>
      </c>
      <c r="E38" s="107">
        <v>305000</v>
      </c>
      <c r="F38" s="107">
        <f>+E38-D38</f>
        <v>305000</v>
      </c>
    </row>
    <row r="39" spans="1:6" ht="23.25" customHeight="1" x14ac:dyDescent="0.25">
      <c r="B39" s="117" t="s">
        <v>347</v>
      </c>
      <c r="E39" s="107">
        <v>598454</v>
      </c>
      <c r="F39" s="107">
        <f>+E39-D39</f>
        <v>598454</v>
      </c>
    </row>
    <row r="40" spans="1:6" ht="23.25" customHeight="1" x14ac:dyDescent="0.25">
      <c r="B40" s="118" t="s">
        <v>77</v>
      </c>
      <c r="C40" s="2">
        <v>11279146</v>
      </c>
      <c r="D40" s="2">
        <v>8034103</v>
      </c>
      <c r="E40" s="2">
        <v>8034103</v>
      </c>
      <c r="F40" s="2">
        <f>+E40-D40</f>
        <v>0</v>
      </c>
    </row>
    <row r="41" spans="1:6" ht="23.25" customHeight="1" x14ac:dyDescent="0.25">
      <c r="B41" s="118" t="s">
        <v>346</v>
      </c>
      <c r="C41" s="2">
        <f>SUM(C42:C42)</f>
        <v>0</v>
      </c>
      <c r="D41" s="2">
        <f>SUM(D42:D42)</f>
        <v>0</v>
      </c>
      <c r="E41" s="2">
        <f>SUM(E42:E42)</f>
        <v>5904000</v>
      </c>
      <c r="F41" s="2">
        <f>SUM(F42:F42)</f>
        <v>5904000</v>
      </c>
    </row>
    <row r="42" spans="1:6" ht="23.25" customHeight="1" x14ac:dyDescent="0.25">
      <c r="B42" s="117" t="s">
        <v>345</v>
      </c>
      <c r="E42" s="107">
        <v>5904000</v>
      </c>
      <c r="F42" s="107">
        <f>+E42-D42</f>
        <v>5904000</v>
      </c>
    </row>
    <row r="43" spans="1:6" s="115" customFormat="1" ht="27.6" x14ac:dyDescent="0.25">
      <c r="B43" s="116" t="s">
        <v>78</v>
      </c>
      <c r="C43" s="3">
        <f>C5+C16+C26+C36+C41</f>
        <v>165015362</v>
      </c>
      <c r="D43" s="3">
        <f>D5+D16+D26+D36+D41</f>
        <v>168824233</v>
      </c>
      <c r="E43" s="3">
        <f>E5+E16+E26+E36+E41</f>
        <v>176414327</v>
      </c>
      <c r="F43" s="3">
        <f>+E43-D43</f>
        <v>7590094</v>
      </c>
    </row>
    <row r="44" spans="1:6" s="114" customFormat="1" ht="31.2" x14ac:dyDescent="0.3">
      <c r="A44" s="4"/>
      <c r="B44" s="5" t="s">
        <v>344</v>
      </c>
      <c r="C44" s="6">
        <f>+C43</f>
        <v>165015362</v>
      </c>
      <c r="D44" s="6">
        <f>+D43</f>
        <v>168824233</v>
      </c>
      <c r="E44" s="6">
        <f>+E43</f>
        <v>176414327</v>
      </c>
      <c r="F44" s="6">
        <f>+F43</f>
        <v>7590094</v>
      </c>
    </row>
    <row r="45" spans="1:6" ht="13.35" customHeight="1" x14ac:dyDescent="0.25"/>
    <row r="46" spans="1:6" ht="13.35" customHeight="1" x14ac:dyDescent="0.25">
      <c r="B46" s="113"/>
    </row>
    <row r="47" spans="1:6" s="109" customFormat="1" ht="13.35" customHeight="1" x14ac:dyDescent="0.25">
      <c r="B47" s="111"/>
      <c r="C47" s="110"/>
      <c r="D47" s="110"/>
      <c r="E47" s="110"/>
    </row>
    <row r="48" spans="1:6" s="109" customFormat="1" ht="13.35" customHeight="1" x14ac:dyDescent="0.25">
      <c r="B48" s="112"/>
      <c r="C48" s="110"/>
      <c r="D48" s="110"/>
      <c r="E48" s="110"/>
    </row>
    <row r="49" spans="2:5" s="109" customFormat="1" ht="13.35" customHeight="1" x14ac:dyDescent="0.25">
      <c r="B49" s="111"/>
      <c r="C49" s="110"/>
      <c r="D49" s="110"/>
      <c r="E49" s="110"/>
    </row>
    <row r="50" spans="2:5" ht="13.35" customHeight="1" x14ac:dyDescent="0.25"/>
  </sheetData>
  <mergeCells count="1">
    <mergeCell ref="A2:F2"/>
  </mergeCells>
  <pageMargins left="0.78740157480314965" right="0.70866141732283472" top="0.55118110236220474" bottom="0.55118110236220474" header="0.31496062992125984" footer="0.31496062992125984"/>
  <pageSetup paperSize="9" orientation="landscape" horizontalDpi="300" verticalDpi="300" r:id="rId1"/>
  <headerFooter alignWithMargins="0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D6A9C-6F2C-49CF-AFD4-6D7C8BB5197E}">
  <sheetPr>
    <tabColor rgb="FF00B050"/>
  </sheetPr>
  <dimension ref="A1:S71"/>
  <sheetViews>
    <sheetView view="pageBreakPreview" zoomScaleNormal="100" zoomScaleSheetLayoutView="100" workbookViewId="0">
      <pane xSplit="1" ySplit="6" topLeftCell="B7" activePane="bottomRight" state="frozen"/>
      <selection activeCell="B42" sqref="B42"/>
      <selection pane="topRight" activeCell="B42" sqref="B42"/>
      <selection pane="bottomLeft" activeCell="B42" sqref="B42"/>
      <selection pane="bottomRight" activeCell="A9" sqref="A9"/>
    </sheetView>
  </sheetViews>
  <sheetFormatPr defaultColWidth="9.109375" defaultRowHeight="13.2" x14ac:dyDescent="0.25"/>
  <cols>
    <col min="1" max="1" width="46.109375" style="19" customWidth="1"/>
    <col min="2" max="2" width="10.88671875" style="19" customWidth="1"/>
    <col min="3" max="3" width="2.5546875" style="19" bestFit="1" customWidth="1"/>
    <col min="4" max="4" width="10.33203125" style="19" customWidth="1"/>
    <col min="5" max="5" width="2.88671875" style="19" customWidth="1"/>
    <col min="6" max="6" width="10" style="19" customWidth="1"/>
    <col min="7" max="7" width="2.88671875" style="19" customWidth="1"/>
    <col min="8" max="8" width="11.44140625" style="19" customWidth="1"/>
    <col min="9" max="9" width="3.33203125" style="19" customWidth="1"/>
    <col min="10" max="10" width="9.33203125" style="19" customWidth="1"/>
    <col min="11" max="11" width="2.5546875" style="19" bestFit="1" customWidth="1"/>
    <col min="12" max="12" width="8.5546875" style="19" customWidth="1"/>
    <col min="13" max="13" width="2.5546875" style="19" customWidth="1"/>
    <col min="14" max="14" width="7.44140625" style="19" customWidth="1"/>
    <col min="15" max="15" width="2.5546875" style="19" customWidth="1"/>
    <col min="16" max="16" width="8.33203125" style="19" customWidth="1"/>
    <col min="17" max="17" width="3.6640625" style="19" customWidth="1"/>
    <col min="18" max="18" width="12.109375" style="136" customWidth="1"/>
    <col min="19" max="19" width="5.5546875" style="136" customWidth="1"/>
    <col min="20" max="16384" width="9.109375" style="19"/>
  </cols>
  <sheetData>
    <row r="1" spans="1:19" ht="27.6" x14ac:dyDescent="0.25">
      <c r="A1" s="133" t="s">
        <v>336</v>
      </c>
      <c r="B1" s="753" t="s">
        <v>303</v>
      </c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  <c r="R1" s="753"/>
      <c r="S1" s="134"/>
    </row>
    <row r="2" spans="1:19" ht="15.6" x14ac:dyDescent="0.25">
      <c r="B2" s="753" t="s">
        <v>283</v>
      </c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  <c r="N2" s="753"/>
      <c r="O2" s="753"/>
      <c r="P2" s="753"/>
      <c r="Q2" s="753"/>
      <c r="R2" s="753"/>
      <c r="S2" s="134"/>
    </row>
    <row r="3" spans="1:19" ht="8.25" customHeight="1" thickBot="1" x14ac:dyDescent="0.3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</row>
    <row r="4" spans="1:19" s="138" customFormat="1" ht="75.75" customHeight="1" thickBot="1" x14ac:dyDescent="0.3">
      <c r="A4" s="137" t="s">
        <v>51</v>
      </c>
      <c r="B4" s="747" t="s">
        <v>9</v>
      </c>
      <c r="C4" s="730"/>
      <c r="D4" s="747" t="s">
        <v>7</v>
      </c>
      <c r="E4" s="729"/>
      <c r="F4" s="747" t="s">
        <v>331</v>
      </c>
      <c r="G4" s="730"/>
      <c r="H4" s="747" t="s">
        <v>79</v>
      </c>
      <c r="I4" s="730"/>
      <c r="J4" s="754" t="s">
        <v>80</v>
      </c>
      <c r="K4" s="755"/>
      <c r="L4" s="754" t="s">
        <v>81</v>
      </c>
      <c r="M4" s="755"/>
      <c r="N4" s="754" t="s">
        <v>82</v>
      </c>
      <c r="O4" s="755"/>
      <c r="P4" s="756" t="s">
        <v>83</v>
      </c>
      <c r="Q4" s="757"/>
      <c r="R4" s="747" t="s">
        <v>358</v>
      </c>
      <c r="S4" s="730"/>
    </row>
    <row r="5" spans="1:19" s="138" customFormat="1" ht="20.25" customHeight="1" thickBot="1" x14ac:dyDescent="0.3">
      <c r="A5" s="139" t="s">
        <v>84</v>
      </c>
      <c r="B5" s="140"/>
      <c r="C5" s="140"/>
      <c r="D5" s="140"/>
      <c r="E5" s="140"/>
      <c r="F5" s="140"/>
      <c r="G5" s="140"/>
      <c r="H5" s="140"/>
      <c r="I5" s="140"/>
      <c r="J5" s="141"/>
      <c r="K5" s="141"/>
      <c r="L5" s="141"/>
      <c r="M5" s="141"/>
      <c r="N5" s="141"/>
      <c r="O5" s="141"/>
      <c r="P5" s="142"/>
      <c r="Q5" s="142"/>
      <c r="R5" s="683"/>
      <c r="S5" s="684"/>
    </row>
    <row r="6" spans="1:19" s="138" customFormat="1" ht="20.25" customHeight="1" thickBot="1" x14ac:dyDescent="0.3">
      <c r="A6" s="139" t="s">
        <v>359</v>
      </c>
      <c r="B6" s="143"/>
      <c r="C6" s="143"/>
      <c r="D6" s="143"/>
      <c r="E6" s="143"/>
      <c r="F6" s="143"/>
      <c r="G6" s="143"/>
      <c r="H6" s="143"/>
      <c r="I6" s="143"/>
      <c r="J6" s="144"/>
      <c r="K6" s="144"/>
      <c r="L6" s="144"/>
      <c r="M6" s="144"/>
      <c r="N6" s="144"/>
      <c r="O6" s="144"/>
      <c r="P6" s="145"/>
      <c r="Q6" s="145"/>
      <c r="R6" s="748">
        <f>R8+R9+R22+R23</f>
        <v>49026600</v>
      </c>
      <c r="S6" s="684"/>
    </row>
    <row r="7" spans="1:19" s="138" customFormat="1" x14ac:dyDescent="0.25">
      <c r="A7" s="146" t="s">
        <v>52</v>
      </c>
      <c r="B7" s="147"/>
      <c r="C7" s="148"/>
      <c r="D7" s="149">
        <v>7.38</v>
      </c>
      <c r="E7" s="22" t="s">
        <v>85</v>
      </c>
      <c r="F7" s="147"/>
      <c r="G7" s="148"/>
      <c r="H7" s="147"/>
      <c r="I7" s="148"/>
      <c r="J7" s="101"/>
      <c r="K7" s="102"/>
      <c r="L7" s="101"/>
      <c r="M7" s="102"/>
      <c r="N7" s="101"/>
      <c r="O7" s="102"/>
      <c r="P7" s="7"/>
      <c r="Q7" s="150"/>
      <c r="R7" s="151"/>
      <c r="S7" s="152"/>
    </row>
    <row r="8" spans="1:19" s="138" customFormat="1" ht="15" customHeight="1" thickBot="1" x14ac:dyDescent="0.3">
      <c r="A8" s="153" t="s">
        <v>86</v>
      </c>
      <c r="B8" s="147"/>
      <c r="C8" s="148"/>
      <c r="D8" s="749">
        <f>ROUND(D7*4580000,0)</f>
        <v>33800400</v>
      </c>
      <c r="E8" s="750"/>
      <c r="F8" s="147"/>
      <c r="G8" s="148"/>
      <c r="H8" s="147"/>
      <c r="I8" s="148"/>
      <c r="J8" s="751"/>
      <c r="K8" s="752"/>
      <c r="L8" s="751"/>
      <c r="M8" s="752"/>
      <c r="N8" s="751"/>
      <c r="O8" s="752"/>
      <c r="P8" s="7">
        <f>J8+L8+N8</f>
        <v>0</v>
      </c>
      <c r="Q8" s="150" t="s">
        <v>87</v>
      </c>
      <c r="R8" s="154">
        <f>P8+H8+F8+D8+B8</f>
        <v>33800400</v>
      </c>
      <c r="S8" s="152" t="s">
        <v>87</v>
      </c>
    </row>
    <row r="9" spans="1:19" s="138" customFormat="1" ht="27" thickBot="1" x14ac:dyDescent="0.3">
      <c r="A9" s="155" t="s">
        <v>88</v>
      </c>
      <c r="B9" s="741">
        <f>B11+B13+B15+B17</f>
        <v>14696860</v>
      </c>
      <c r="C9" s="742"/>
      <c r="D9" s="156"/>
      <c r="E9" s="157"/>
      <c r="F9" s="156"/>
      <c r="G9" s="158"/>
      <c r="H9" s="156"/>
      <c r="I9" s="158"/>
      <c r="J9" s="8"/>
      <c r="K9" s="9"/>
      <c r="L9" s="8"/>
      <c r="M9" s="9"/>
      <c r="N9" s="8"/>
      <c r="O9" s="9"/>
      <c r="P9" s="10">
        <f>J9+L9+N9</f>
        <v>0</v>
      </c>
      <c r="Q9" s="11" t="s">
        <v>87</v>
      </c>
      <c r="R9" s="159">
        <f>P9+H9+F9+D9+B9</f>
        <v>14696860</v>
      </c>
      <c r="S9" s="160" t="s">
        <v>87</v>
      </c>
    </row>
    <row r="10" spans="1:19" s="138" customFormat="1" ht="18.75" customHeight="1" x14ac:dyDescent="0.25">
      <c r="A10" s="743" t="s">
        <v>89</v>
      </c>
      <c r="B10" s="161"/>
      <c r="C10" s="162"/>
      <c r="D10" s="147"/>
      <c r="F10" s="147"/>
      <c r="G10" s="148"/>
      <c r="H10" s="147"/>
      <c r="I10" s="148"/>
      <c r="J10" s="101"/>
      <c r="K10" s="102"/>
      <c r="L10" s="101"/>
      <c r="M10" s="102"/>
      <c r="N10" s="101"/>
      <c r="O10" s="102"/>
      <c r="P10" s="7"/>
      <c r="Q10" s="150"/>
      <c r="R10" s="151"/>
      <c r="S10" s="152"/>
    </row>
    <row r="11" spans="1:19" s="138" customFormat="1" x14ac:dyDescent="0.25">
      <c r="A11" s="738"/>
      <c r="B11" s="705">
        <v>5179347</v>
      </c>
      <c r="C11" s="706"/>
      <c r="D11" s="744"/>
      <c r="E11" s="745"/>
      <c r="F11" s="744"/>
      <c r="G11" s="746"/>
      <c r="H11" s="744"/>
      <c r="I11" s="746"/>
      <c r="J11" s="727"/>
      <c r="K11" s="728"/>
      <c r="L11" s="727"/>
      <c r="M11" s="728"/>
      <c r="N11" s="727"/>
      <c r="O11" s="728"/>
      <c r="P11" s="12">
        <f>J11+L11+N11</f>
        <v>0</v>
      </c>
      <c r="Q11" s="13" t="s">
        <v>87</v>
      </c>
      <c r="R11" s="163">
        <f>P11+H11+F11+D11+B11</f>
        <v>5179347</v>
      </c>
      <c r="S11" s="164" t="s">
        <v>87</v>
      </c>
    </row>
    <row r="12" spans="1:19" s="138" customFormat="1" x14ac:dyDescent="0.25">
      <c r="A12" s="737" t="s">
        <v>90</v>
      </c>
      <c r="B12" s="165"/>
      <c r="C12" s="166"/>
      <c r="D12" s="165"/>
      <c r="E12" s="167"/>
      <c r="F12" s="165"/>
      <c r="G12" s="166"/>
      <c r="H12" s="165"/>
      <c r="I12" s="166"/>
      <c r="J12" s="99"/>
      <c r="K12" s="100"/>
      <c r="L12" s="99"/>
      <c r="M12" s="100"/>
      <c r="N12" s="99"/>
      <c r="O12" s="100"/>
      <c r="P12" s="14"/>
      <c r="Q12" s="15"/>
      <c r="R12" s="168"/>
      <c r="S12" s="169"/>
    </row>
    <row r="13" spans="1:19" s="138" customFormat="1" x14ac:dyDescent="0.25">
      <c r="A13" s="738"/>
      <c r="B13" s="731">
        <v>5856000</v>
      </c>
      <c r="C13" s="732"/>
      <c r="D13" s="170"/>
      <c r="E13" s="171"/>
      <c r="F13" s="170"/>
      <c r="G13" s="172"/>
      <c r="H13" s="170"/>
      <c r="I13" s="172"/>
      <c r="J13" s="727"/>
      <c r="K13" s="728"/>
      <c r="L13" s="727"/>
      <c r="M13" s="728"/>
      <c r="N13" s="727"/>
      <c r="O13" s="728"/>
      <c r="P13" s="12">
        <f>J13+L13+N13</f>
        <v>0</v>
      </c>
      <c r="Q13" s="13" t="s">
        <v>87</v>
      </c>
      <c r="R13" s="163">
        <f>P13+H13+F13+D13+B13</f>
        <v>5856000</v>
      </c>
      <c r="S13" s="164" t="s">
        <v>87</v>
      </c>
    </row>
    <row r="14" spans="1:19" s="138" customFormat="1" x14ac:dyDescent="0.25">
      <c r="A14" s="737" t="s">
        <v>91</v>
      </c>
      <c r="B14" s="165"/>
      <c r="C14" s="166"/>
      <c r="D14" s="165"/>
      <c r="E14" s="167"/>
      <c r="F14" s="165"/>
      <c r="G14" s="166"/>
      <c r="H14" s="165"/>
      <c r="I14" s="166"/>
      <c r="J14" s="99"/>
      <c r="K14" s="100"/>
      <c r="L14" s="99"/>
      <c r="M14" s="100"/>
      <c r="N14" s="99"/>
      <c r="O14" s="100"/>
      <c r="P14" s="14"/>
      <c r="Q14" s="15"/>
      <c r="R14" s="168"/>
      <c r="S14" s="169"/>
    </row>
    <row r="15" spans="1:19" s="138" customFormat="1" x14ac:dyDescent="0.25">
      <c r="A15" s="738"/>
      <c r="B15" s="731">
        <v>694623</v>
      </c>
      <c r="C15" s="732"/>
      <c r="D15" s="170"/>
      <c r="E15" s="171"/>
      <c r="F15" s="170"/>
      <c r="G15" s="172"/>
      <c r="H15" s="170"/>
      <c r="I15" s="172"/>
      <c r="J15" s="727"/>
      <c r="K15" s="728"/>
      <c r="L15" s="727"/>
      <c r="M15" s="728"/>
      <c r="N15" s="727"/>
      <c r="O15" s="728"/>
      <c r="P15" s="12">
        <f>J15+L15+N15</f>
        <v>0</v>
      </c>
      <c r="Q15" s="13" t="s">
        <v>87</v>
      </c>
      <c r="R15" s="163">
        <f>P15+H15+F15+D15+B15</f>
        <v>694623</v>
      </c>
      <c r="S15" s="164" t="s">
        <v>87</v>
      </c>
    </row>
    <row r="16" spans="1:19" s="138" customFormat="1" ht="12.75" customHeight="1" x14ac:dyDescent="0.25">
      <c r="A16" s="739" t="s">
        <v>92</v>
      </c>
      <c r="B16" s="165"/>
      <c r="C16" s="166"/>
      <c r="D16" s="165"/>
      <c r="E16" s="167"/>
      <c r="F16" s="165"/>
      <c r="G16" s="166"/>
      <c r="H16" s="165"/>
      <c r="I16" s="166"/>
      <c r="J16" s="99"/>
      <c r="K16" s="100"/>
      <c r="L16" s="99"/>
      <c r="M16" s="100"/>
      <c r="N16" s="99"/>
      <c r="O16" s="100"/>
      <c r="P16" s="14"/>
      <c r="Q16" s="15"/>
      <c r="R16" s="168"/>
      <c r="S16" s="169"/>
    </row>
    <row r="17" spans="1:19" s="138" customFormat="1" x14ac:dyDescent="0.25">
      <c r="A17" s="740"/>
      <c r="B17" s="731">
        <v>2966890</v>
      </c>
      <c r="C17" s="732"/>
      <c r="D17" s="170"/>
      <c r="E17" s="171"/>
      <c r="F17" s="170"/>
      <c r="G17" s="172"/>
      <c r="H17" s="170"/>
      <c r="I17" s="172"/>
      <c r="J17" s="727"/>
      <c r="K17" s="728"/>
      <c r="L17" s="727"/>
      <c r="M17" s="728"/>
      <c r="N17" s="727"/>
      <c r="O17" s="728"/>
      <c r="P17" s="12">
        <f>J17+L17+N17</f>
        <v>0</v>
      </c>
      <c r="Q17" s="13" t="s">
        <v>87</v>
      </c>
      <c r="R17" s="163">
        <f>P17+H17+F17+D17+B17</f>
        <v>2966890</v>
      </c>
      <c r="S17" s="164" t="s">
        <v>87</v>
      </c>
    </row>
    <row r="18" spans="1:19" s="138" customFormat="1" ht="26.4" x14ac:dyDescent="0.25">
      <c r="A18" s="173" t="s">
        <v>93</v>
      </c>
      <c r="B18" s="174">
        <v>2717</v>
      </c>
      <c r="C18" s="175" t="s">
        <v>85</v>
      </c>
      <c r="D18" s="165"/>
      <c r="E18" s="167"/>
      <c r="F18" s="165"/>
      <c r="G18" s="166"/>
      <c r="H18" s="165"/>
      <c r="I18" s="166"/>
      <c r="J18" s="99"/>
      <c r="K18" s="100"/>
      <c r="L18" s="99"/>
      <c r="M18" s="100"/>
      <c r="N18" s="99"/>
      <c r="O18" s="100"/>
      <c r="P18" s="14"/>
      <c r="Q18" s="15"/>
      <c r="R18" s="176"/>
      <c r="S18" s="177"/>
    </row>
    <row r="19" spans="1:19" s="138" customFormat="1" ht="26.25" customHeight="1" thickBot="1" x14ac:dyDescent="0.3">
      <c r="A19" s="178" t="s">
        <v>288</v>
      </c>
      <c r="B19" s="695">
        <v>0</v>
      </c>
      <c r="C19" s="696"/>
      <c r="D19" s="170"/>
      <c r="E19" s="171"/>
      <c r="F19" s="170"/>
      <c r="G19" s="172"/>
      <c r="H19" s="170"/>
      <c r="I19" s="172"/>
      <c r="J19" s="727"/>
      <c r="K19" s="728"/>
      <c r="L19" s="727"/>
      <c r="M19" s="728"/>
      <c r="N19" s="727"/>
      <c r="O19" s="728"/>
      <c r="P19" s="12">
        <f>J19+L19+N19</f>
        <v>0</v>
      </c>
      <c r="Q19" s="13" t="s">
        <v>87</v>
      </c>
      <c r="R19" s="163">
        <f>P19+H19+F19+D19+B19</f>
        <v>0</v>
      </c>
      <c r="S19" s="164" t="s">
        <v>87</v>
      </c>
    </row>
    <row r="20" spans="1:19" ht="15" customHeight="1" x14ac:dyDescent="0.25">
      <c r="A20" s="733" t="s">
        <v>59</v>
      </c>
      <c r="B20" s="179">
        <v>0</v>
      </c>
      <c r="C20" s="180" t="s">
        <v>87</v>
      </c>
      <c r="D20" s="181"/>
      <c r="E20" s="182"/>
      <c r="F20" s="181"/>
      <c r="G20" s="180"/>
      <c r="H20" s="181"/>
      <c r="I20" s="180"/>
      <c r="J20" s="735"/>
      <c r="K20" s="736"/>
      <c r="L20" s="735"/>
      <c r="M20" s="736"/>
      <c r="N20" s="735"/>
      <c r="O20" s="736"/>
      <c r="P20" s="183"/>
      <c r="Q20" s="184"/>
      <c r="R20" s="185"/>
      <c r="S20" s="186"/>
    </row>
    <row r="21" spans="1:19" ht="16.5" customHeight="1" x14ac:dyDescent="0.25">
      <c r="A21" s="734"/>
      <c r="B21" s="693">
        <f>10220-10220</f>
        <v>0</v>
      </c>
      <c r="C21" s="694"/>
      <c r="D21" s="187"/>
      <c r="E21" s="188"/>
      <c r="F21" s="187"/>
      <c r="G21" s="189"/>
      <c r="H21" s="187"/>
      <c r="I21" s="189"/>
      <c r="J21" s="697"/>
      <c r="K21" s="698"/>
      <c r="L21" s="697"/>
      <c r="M21" s="698"/>
      <c r="N21" s="697"/>
      <c r="O21" s="698"/>
      <c r="P21" s="12">
        <f>J21+L21+N21</f>
        <v>0</v>
      </c>
      <c r="Q21" s="13" t="s">
        <v>87</v>
      </c>
      <c r="R21" s="163">
        <f>P21+H21+F21+D21+B21</f>
        <v>0</v>
      </c>
      <c r="S21" s="164" t="s">
        <v>87</v>
      </c>
    </row>
    <row r="22" spans="1:19" ht="16.5" customHeight="1" x14ac:dyDescent="0.25">
      <c r="A22" s="190" t="s">
        <v>360</v>
      </c>
      <c r="B22" s="693">
        <v>0</v>
      </c>
      <c r="C22" s="694"/>
      <c r="D22" s="187"/>
      <c r="E22" s="188"/>
      <c r="F22" s="187"/>
      <c r="G22" s="189"/>
      <c r="H22" s="731">
        <v>36089</v>
      </c>
      <c r="I22" s="732"/>
      <c r="J22" s="701">
        <v>5019</v>
      </c>
      <c r="K22" s="710"/>
      <c r="L22" s="701">
        <v>2032</v>
      </c>
      <c r="M22" s="710"/>
      <c r="N22" s="701"/>
      <c r="O22" s="710"/>
      <c r="P22" s="12">
        <f>J22+L22+N22</f>
        <v>7051</v>
      </c>
      <c r="Q22" s="13" t="s">
        <v>87</v>
      </c>
      <c r="R22" s="163">
        <f>P22+H22+F22+D22+B22</f>
        <v>43140</v>
      </c>
      <c r="S22" s="164" t="s">
        <v>87</v>
      </c>
    </row>
    <row r="23" spans="1:19" ht="16.5" customHeight="1" thickBot="1" x14ac:dyDescent="0.3">
      <c r="A23" s="191" t="s">
        <v>361</v>
      </c>
      <c r="B23" s="693">
        <v>486200</v>
      </c>
      <c r="C23" s="694"/>
      <c r="D23" s="187"/>
      <c r="E23" s="188"/>
      <c r="F23" s="187"/>
      <c r="G23" s="189"/>
      <c r="H23" s="187"/>
      <c r="I23" s="189"/>
      <c r="J23" s="727"/>
      <c r="K23" s="728"/>
      <c r="L23" s="727"/>
      <c r="M23" s="728"/>
      <c r="N23" s="727"/>
      <c r="O23" s="728"/>
      <c r="P23" s="12">
        <f>J23+L23+N23</f>
        <v>0</v>
      </c>
      <c r="Q23" s="13" t="s">
        <v>87</v>
      </c>
      <c r="R23" s="163">
        <f>P23+H23+F23+D23+B23</f>
        <v>486200</v>
      </c>
      <c r="S23" s="164" t="s">
        <v>87</v>
      </c>
    </row>
    <row r="24" spans="1:19" s="138" customFormat="1" ht="20.25" customHeight="1" thickBot="1" x14ac:dyDescent="0.3">
      <c r="A24" s="139" t="s">
        <v>362</v>
      </c>
      <c r="B24" s="143"/>
      <c r="C24" s="143"/>
      <c r="D24" s="143"/>
      <c r="E24" s="143"/>
      <c r="F24" s="143"/>
      <c r="G24" s="143"/>
      <c r="H24" s="143"/>
      <c r="I24" s="143"/>
      <c r="J24" s="144"/>
      <c r="K24" s="144"/>
      <c r="L24" s="144"/>
      <c r="M24" s="144"/>
      <c r="N24" s="144"/>
      <c r="O24" s="144"/>
      <c r="P24" s="145"/>
      <c r="Q24" s="145"/>
      <c r="R24" s="729"/>
      <c r="S24" s="730"/>
    </row>
    <row r="25" spans="1:19" ht="14.25" customHeight="1" x14ac:dyDescent="0.25">
      <c r="A25" s="192" t="s">
        <v>94</v>
      </c>
      <c r="B25" s="192"/>
      <c r="C25" s="193"/>
      <c r="D25" s="192"/>
      <c r="E25" s="194"/>
      <c r="F25" s="192"/>
      <c r="G25" s="193"/>
      <c r="H25" s="192"/>
      <c r="I25" s="193"/>
      <c r="J25" s="195">
        <v>9</v>
      </c>
      <c r="K25" s="196" t="s">
        <v>85</v>
      </c>
      <c r="L25" s="195">
        <v>2.2000000000000002</v>
      </c>
      <c r="M25" s="196" t="s">
        <v>85</v>
      </c>
      <c r="N25" s="195">
        <v>1.9</v>
      </c>
      <c r="O25" s="196" t="s">
        <v>85</v>
      </c>
      <c r="P25" s="197">
        <f t="shared" ref="P25:P40" si="0">J25+L25+N25</f>
        <v>13.1</v>
      </c>
      <c r="Q25" s="184" t="s">
        <v>85</v>
      </c>
      <c r="R25" s="198">
        <f t="shared" ref="R25:R40" si="1">P25+H25+F25+D25+B25</f>
        <v>13.1</v>
      </c>
      <c r="S25" s="186" t="s">
        <v>85</v>
      </c>
    </row>
    <row r="26" spans="1:19" ht="14.25" customHeight="1" thickBot="1" x14ac:dyDescent="0.3">
      <c r="A26" s="199" t="s">
        <v>289</v>
      </c>
      <c r="B26" s="724"/>
      <c r="C26" s="725"/>
      <c r="D26" s="724"/>
      <c r="E26" s="726"/>
      <c r="F26" s="724"/>
      <c r="G26" s="725"/>
      <c r="H26" s="724"/>
      <c r="I26" s="725"/>
      <c r="J26" s="697">
        <f>ROUND(J25*4371500*8/12,0)</f>
        <v>26229000</v>
      </c>
      <c r="K26" s="711"/>
      <c r="L26" s="697">
        <f>ROUND(L25*4371500*8/12,0)+1</f>
        <v>6411534</v>
      </c>
      <c r="M26" s="711"/>
      <c r="N26" s="697">
        <f>ROUND(N25*4371500*8/12,0)</f>
        <v>5537233</v>
      </c>
      <c r="O26" s="711"/>
      <c r="P26" s="699">
        <f t="shared" si="0"/>
        <v>38177767</v>
      </c>
      <c r="Q26" s="700"/>
      <c r="R26" s="200">
        <f t="shared" si="1"/>
        <v>38177767</v>
      </c>
      <c r="S26" s="201"/>
    </row>
    <row r="27" spans="1:19" ht="14.25" customHeight="1" x14ac:dyDescent="0.25">
      <c r="A27" s="202" t="s">
        <v>95</v>
      </c>
      <c r="B27" s="192"/>
      <c r="C27" s="193"/>
      <c r="D27" s="192"/>
      <c r="E27" s="194"/>
      <c r="F27" s="192"/>
      <c r="G27" s="193"/>
      <c r="H27" s="192"/>
      <c r="I27" s="193"/>
      <c r="J27" s="203">
        <v>7.6</v>
      </c>
      <c r="K27" s="204" t="s">
        <v>85</v>
      </c>
      <c r="L27" s="205">
        <v>1.7</v>
      </c>
      <c r="M27" s="204" t="s">
        <v>85</v>
      </c>
      <c r="N27" s="203">
        <v>1.4</v>
      </c>
      <c r="O27" s="204" t="s">
        <v>85</v>
      </c>
      <c r="P27" s="197">
        <f t="shared" si="0"/>
        <v>10.7</v>
      </c>
      <c r="Q27" s="184" t="s">
        <v>85</v>
      </c>
      <c r="R27" s="198">
        <f t="shared" si="1"/>
        <v>10.7</v>
      </c>
      <c r="S27" s="186" t="s">
        <v>85</v>
      </c>
    </row>
    <row r="28" spans="1:19" ht="14.25" customHeight="1" thickBot="1" x14ac:dyDescent="0.3">
      <c r="A28" s="199" t="s">
        <v>290</v>
      </c>
      <c r="B28" s="724"/>
      <c r="C28" s="725"/>
      <c r="D28" s="724"/>
      <c r="E28" s="726"/>
      <c r="F28" s="724"/>
      <c r="G28" s="725"/>
      <c r="H28" s="724"/>
      <c r="I28" s="725"/>
      <c r="J28" s="697">
        <f>ROUND(J27*4371500*4/12,0)</f>
        <v>11074467</v>
      </c>
      <c r="K28" s="711"/>
      <c r="L28" s="697">
        <f>ROUND(L27*4371500*4/12,0)</f>
        <v>2477183</v>
      </c>
      <c r="M28" s="711"/>
      <c r="N28" s="697">
        <f>ROUND(N27*4371500*4/12,0)</f>
        <v>2040033</v>
      </c>
      <c r="O28" s="711"/>
      <c r="P28" s="699">
        <f t="shared" si="0"/>
        <v>15591683</v>
      </c>
      <c r="Q28" s="700"/>
      <c r="R28" s="200">
        <f t="shared" si="1"/>
        <v>15591683</v>
      </c>
      <c r="S28" s="201"/>
    </row>
    <row r="29" spans="1:19" ht="14.25" customHeight="1" x14ac:dyDescent="0.25">
      <c r="A29" s="206" t="s">
        <v>96</v>
      </c>
      <c r="B29" s="207"/>
      <c r="C29" s="208"/>
      <c r="D29" s="207"/>
      <c r="E29" s="23"/>
      <c r="F29" s="207"/>
      <c r="G29" s="208"/>
      <c r="H29" s="207"/>
      <c r="I29" s="208"/>
      <c r="J29" s="203">
        <v>5</v>
      </c>
      <c r="K29" s="209" t="s">
        <v>85</v>
      </c>
      <c r="L29" s="195">
        <v>1</v>
      </c>
      <c r="M29" s="209" t="s">
        <v>85</v>
      </c>
      <c r="N29" s="195">
        <v>1</v>
      </c>
      <c r="O29" s="209" t="s">
        <v>85</v>
      </c>
      <c r="P29" s="197">
        <f t="shared" si="0"/>
        <v>7</v>
      </c>
      <c r="Q29" s="184" t="s">
        <v>85</v>
      </c>
      <c r="R29" s="198">
        <f t="shared" si="1"/>
        <v>7</v>
      </c>
      <c r="S29" s="186" t="s">
        <v>85</v>
      </c>
    </row>
    <row r="30" spans="1:19" ht="16.2" customHeight="1" thickBot="1" x14ac:dyDescent="0.3">
      <c r="A30" s="210" t="s">
        <v>291</v>
      </c>
      <c r="B30" s="724"/>
      <c r="C30" s="725"/>
      <c r="D30" s="724"/>
      <c r="E30" s="726"/>
      <c r="F30" s="724"/>
      <c r="G30" s="725"/>
      <c r="H30" s="724"/>
      <c r="I30" s="725"/>
      <c r="J30" s="697">
        <f>ROUND(J29*2205000*8/12,0)</f>
        <v>7350000</v>
      </c>
      <c r="K30" s="711"/>
      <c r="L30" s="697">
        <f>ROUND(L29*2205000*8/12,0)</f>
        <v>1470000</v>
      </c>
      <c r="M30" s="711"/>
      <c r="N30" s="697">
        <f>ROUND(N29*2205000*8/12,0)</f>
        <v>1470000</v>
      </c>
      <c r="O30" s="711"/>
      <c r="P30" s="699">
        <f t="shared" si="0"/>
        <v>10290000</v>
      </c>
      <c r="Q30" s="700"/>
      <c r="R30" s="200">
        <f t="shared" si="1"/>
        <v>10290000</v>
      </c>
      <c r="S30" s="201"/>
    </row>
    <row r="31" spans="1:19" ht="14.25" customHeight="1" x14ac:dyDescent="0.25">
      <c r="A31" s="206" t="s">
        <v>96</v>
      </c>
      <c r="B31" s="207"/>
      <c r="C31" s="208"/>
      <c r="D31" s="207"/>
      <c r="E31" s="23"/>
      <c r="F31" s="207"/>
      <c r="G31" s="208"/>
      <c r="H31" s="207"/>
      <c r="I31" s="208"/>
      <c r="J31" s="203">
        <v>5</v>
      </c>
      <c r="K31" s="209" t="s">
        <v>85</v>
      </c>
      <c r="L31" s="195">
        <v>1</v>
      </c>
      <c r="M31" s="209" t="s">
        <v>85</v>
      </c>
      <c r="N31" s="195">
        <v>1</v>
      </c>
      <c r="O31" s="209" t="s">
        <v>85</v>
      </c>
      <c r="P31" s="197">
        <f t="shared" si="0"/>
        <v>7</v>
      </c>
      <c r="Q31" s="184" t="s">
        <v>85</v>
      </c>
      <c r="R31" s="198">
        <f t="shared" si="1"/>
        <v>7</v>
      </c>
      <c r="S31" s="186" t="s">
        <v>85</v>
      </c>
    </row>
    <row r="32" spans="1:19" ht="14.25" customHeight="1" thickBot="1" x14ac:dyDescent="0.3">
      <c r="A32" s="210" t="s">
        <v>97</v>
      </c>
      <c r="B32" s="724"/>
      <c r="C32" s="725"/>
      <c r="D32" s="724"/>
      <c r="E32" s="726"/>
      <c r="F32" s="724"/>
      <c r="G32" s="725"/>
      <c r="H32" s="724"/>
      <c r="I32" s="725"/>
      <c r="J32" s="95">
        <f>ROUND(J31*2205000*4/12,0)</f>
        <v>3675000</v>
      </c>
      <c r="K32" s="96"/>
      <c r="L32" s="697">
        <f>ROUND(L31*2205000*4/12,0)</f>
        <v>735000</v>
      </c>
      <c r="M32" s="711"/>
      <c r="N32" s="95">
        <f>ROUND(N31*2205000*4/12,0)</f>
        <v>735000</v>
      </c>
      <c r="O32" s="96"/>
      <c r="P32" s="699">
        <f t="shared" si="0"/>
        <v>5145000</v>
      </c>
      <c r="Q32" s="700"/>
      <c r="R32" s="154">
        <f t="shared" si="1"/>
        <v>5145000</v>
      </c>
      <c r="S32" s="211"/>
    </row>
    <row r="33" spans="1:19" ht="14.25" customHeight="1" x14ac:dyDescent="0.25">
      <c r="A33" s="722" t="s">
        <v>292</v>
      </c>
      <c r="B33" s="212"/>
      <c r="C33" s="213"/>
      <c r="D33" s="212"/>
      <c r="E33" s="214"/>
      <c r="F33" s="212"/>
      <c r="G33" s="213"/>
      <c r="H33" s="212"/>
      <c r="I33" s="213"/>
      <c r="J33" s="203">
        <v>96</v>
      </c>
      <c r="K33" s="204" t="s">
        <v>85</v>
      </c>
      <c r="L33" s="203">
        <v>25</v>
      </c>
      <c r="M33" s="204" t="s">
        <v>85</v>
      </c>
      <c r="N33" s="203">
        <v>20</v>
      </c>
      <c r="O33" s="204" t="s">
        <v>85</v>
      </c>
      <c r="P33" s="197">
        <f t="shared" si="0"/>
        <v>141</v>
      </c>
      <c r="Q33" s="184" t="s">
        <v>85</v>
      </c>
      <c r="R33" s="215">
        <f t="shared" si="1"/>
        <v>141</v>
      </c>
      <c r="S33" s="186" t="s">
        <v>85</v>
      </c>
    </row>
    <row r="34" spans="1:19" ht="14.25" customHeight="1" thickBot="1" x14ac:dyDescent="0.3">
      <c r="A34" s="723"/>
      <c r="B34" s="724"/>
      <c r="C34" s="725"/>
      <c r="D34" s="724"/>
      <c r="E34" s="726"/>
      <c r="F34" s="724"/>
      <c r="G34" s="725"/>
      <c r="H34" s="724"/>
      <c r="I34" s="725"/>
      <c r="J34" s="697">
        <f>ROUND(J33*97400*8/12,0)</f>
        <v>6233600</v>
      </c>
      <c r="K34" s="711"/>
      <c r="L34" s="697">
        <f>ROUND(L33*97400*8/12,0)</f>
        <v>1623333</v>
      </c>
      <c r="M34" s="711"/>
      <c r="N34" s="697">
        <f>ROUND(N33*97400*8/12,0)</f>
        <v>1298667</v>
      </c>
      <c r="O34" s="711"/>
      <c r="P34" s="699">
        <f t="shared" si="0"/>
        <v>9155600</v>
      </c>
      <c r="Q34" s="700"/>
      <c r="R34" s="200">
        <f t="shared" si="1"/>
        <v>9155600</v>
      </c>
      <c r="S34" s="201"/>
    </row>
    <row r="35" spans="1:19" ht="14.25" customHeight="1" x14ac:dyDescent="0.25">
      <c r="A35" s="722" t="s">
        <v>293</v>
      </c>
      <c r="B35" s="212"/>
      <c r="C35" s="213"/>
      <c r="D35" s="212"/>
      <c r="E35" s="214"/>
      <c r="F35" s="212"/>
      <c r="G35" s="213"/>
      <c r="H35" s="212"/>
      <c r="I35" s="213"/>
      <c r="J35" s="195">
        <v>81</v>
      </c>
      <c r="K35" s="196" t="s">
        <v>85</v>
      </c>
      <c r="L35" s="195">
        <v>19</v>
      </c>
      <c r="M35" s="196" t="s">
        <v>85</v>
      </c>
      <c r="N35" s="195">
        <v>15</v>
      </c>
      <c r="O35" s="196" t="s">
        <v>85</v>
      </c>
      <c r="P35" s="197">
        <f t="shared" si="0"/>
        <v>115</v>
      </c>
      <c r="Q35" s="184" t="s">
        <v>85</v>
      </c>
      <c r="R35" s="215">
        <f t="shared" si="1"/>
        <v>115</v>
      </c>
      <c r="S35" s="186" t="s">
        <v>85</v>
      </c>
    </row>
    <row r="36" spans="1:19" ht="14.25" customHeight="1" thickBot="1" x14ac:dyDescent="0.3">
      <c r="A36" s="723"/>
      <c r="B36" s="724"/>
      <c r="C36" s="725"/>
      <c r="D36" s="724"/>
      <c r="E36" s="726"/>
      <c r="F36" s="724"/>
      <c r="G36" s="725"/>
      <c r="H36" s="724"/>
      <c r="I36" s="725"/>
      <c r="J36" s="697">
        <f>ROUND(J35*97400*4/12,0)</f>
        <v>2629800</v>
      </c>
      <c r="K36" s="711"/>
      <c r="L36" s="697">
        <f>ROUND(L35*97400*4/12,0)</f>
        <v>616867</v>
      </c>
      <c r="M36" s="711"/>
      <c r="N36" s="697">
        <f>ROUND(N35*97400*4/12,0)</f>
        <v>487000</v>
      </c>
      <c r="O36" s="711"/>
      <c r="P36" s="699">
        <f t="shared" si="0"/>
        <v>3733667</v>
      </c>
      <c r="Q36" s="700"/>
      <c r="R36" s="200">
        <f t="shared" si="1"/>
        <v>3733667</v>
      </c>
      <c r="S36" s="201"/>
    </row>
    <row r="37" spans="1:19" ht="14.25" customHeight="1" x14ac:dyDescent="0.25">
      <c r="A37" s="216" t="s">
        <v>98</v>
      </c>
      <c r="B37" s="217"/>
      <c r="C37" s="218"/>
      <c r="D37" s="217"/>
      <c r="E37" s="219"/>
      <c r="F37" s="217"/>
      <c r="G37" s="218"/>
      <c r="H37" s="217"/>
      <c r="I37" s="218"/>
      <c r="J37" s="203">
        <v>1</v>
      </c>
      <c r="K37" s="204" t="s">
        <v>85</v>
      </c>
      <c r="L37" s="220">
        <v>1</v>
      </c>
      <c r="M37" s="204" t="s">
        <v>85</v>
      </c>
      <c r="N37" s="203">
        <v>0</v>
      </c>
      <c r="O37" s="204" t="s">
        <v>85</v>
      </c>
      <c r="P37" s="197">
        <f t="shared" si="0"/>
        <v>2</v>
      </c>
      <c r="Q37" s="184" t="s">
        <v>85</v>
      </c>
      <c r="R37" s="198">
        <f t="shared" si="1"/>
        <v>2</v>
      </c>
      <c r="S37" s="186" t="s">
        <v>85</v>
      </c>
    </row>
    <row r="38" spans="1:19" ht="14.25" customHeight="1" thickBot="1" x14ac:dyDescent="0.3">
      <c r="A38" s="217" t="s">
        <v>299</v>
      </c>
      <c r="B38" s="719"/>
      <c r="C38" s="720"/>
      <c r="D38" s="719"/>
      <c r="E38" s="721"/>
      <c r="F38" s="719"/>
      <c r="G38" s="720"/>
      <c r="H38" s="719"/>
      <c r="I38" s="720"/>
      <c r="J38" s="689">
        <f>ROUND(1*396700,0)</f>
        <v>396700</v>
      </c>
      <c r="K38" s="716"/>
      <c r="L38" s="689">
        <f>ROUND(1*396700,0)</f>
        <v>396700</v>
      </c>
      <c r="M38" s="716"/>
      <c r="N38" s="689">
        <v>0</v>
      </c>
      <c r="O38" s="716"/>
      <c r="P38" s="699">
        <f t="shared" si="0"/>
        <v>793400</v>
      </c>
      <c r="Q38" s="700"/>
      <c r="R38" s="200">
        <f t="shared" si="1"/>
        <v>793400</v>
      </c>
      <c r="S38" s="201"/>
    </row>
    <row r="39" spans="1:19" ht="14.25" customHeight="1" x14ac:dyDescent="0.25">
      <c r="A39" s="216" t="s">
        <v>300</v>
      </c>
      <c r="B39" s="217"/>
      <c r="C39" s="218"/>
      <c r="D39" s="217"/>
      <c r="E39" s="219"/>
      <c r="F39" s="217"/>
      <c r="G39" s="218"/>
      <c r="H39" s="217"/>
      <c r="I39" s="218"/>
      <c r="J39" s="203"/>
      <c r="K39" s="204"/>
      <c r="L39" s="220"/>
      <c r="M39" s="204"/>
      <c r="N39" s="203">
        <v>1</v>
      </c>
      <c r="O39" s="204" t="s">
        <v>85</v>
      </c>
      <c r="P39" s="197">
        <f t="shared" si="0"/>
        <v>1</v>
      </c>
      <c r="Q39" s="184" t="s">
        <v>85</v>
      </c>
      <c r="R39" s="198">
        <f t="shared" si="1"/>
        <v>1</v>
      </c>
      <c r="S39" s="186" t="s">
        <v>85</v>
      </c>
    </row>
    <row r="40" spans="1:19" ht="14.25" customHeight="1" thickBot="1" x14ac:dyDescent="0.3">
      <c r="A40" s="217" t="s">
        <v>301</v>
      </c>
      <c r="B40" s="719"/>
      <c r="C40" s="720"/>
      <c r="D40" s="719"/>
      <c r="E40" s="721"/>
      <c r="F40" s="719"/>
      <c r="G40" s="720"/>
      <c r="H40" s="719"/>
      <c r="I40" s="720"/>
      <c r="J40" s="689"/>
      <c r="K40" s="716"/>
      <c r="L40" s="689"/>
      <c r="M40" s="716"/>
      <c r="N40" s="689">
        <f>+N39*563000</f>
        <v>563000</v>
      </c>
      <c r="O40" s="716"/>
      <c r="P40" s="699">
        <f t="shared" si="0"/>
        <v>563000</v>
      </c>
      <c r="Q40" s="700"/>
      <c r="R40" s="200">
        <f t="shared" si="1"/>
        <v>563000</v>
      </c>
      <c r="S40" s="201"/>
    </row>
    <row r="41" spans="1:19" s="138" customFormat="1" ht="20.25" customHeight="1" thickBot="1" x14ac:dyDescent="0.3">
      <c r="A41" s="139" t="s">
        <v>363</v>
      </c>
      <c r="B41" s="143"/>
      <c r="C41" s="143"/>
      <c r="D41" s="143"/>
      <c r="E41" s="143"/>
      <c r="F41" s="143"/>
      <c r="G41" s="143"/>
      <c r="H41" s="143"/>
      <c r="I41" s="143"/>
      <c r="J41" s="144"/>
      <c r="K41" s="144"/>
      <c r="L41" s="144"/>
      <c r="M41" s="144"/>
      <c r="N41" s="144"/>
      <c r="O41" s="144"/>
      <c r="P41" s="145"/>
      <c r="Q41" s="145"/>
      <c r="R41" s="717"/>
      <c r="S41" s="718"/>
    </row>
    <row r="42" spans="1:19" ht="16.5" customHeight="1" thickBot="1" x14ac:dyDescent="0.3">
      <c r="A42" s="210" t="s">
        <v>296</v>
      </c>
      <c r="B42" s="693"/>
      <c r="C42" s="694"/>
      <c r="D42" s="707"/>
      <c r="E42" s="708"/>
      <c r="F42" s="705">
        <v>739500</v>
      </c>
      <c r="G42" s="714"/>
      <c r="H42" s="707"/>
      <c r="I42" s="709"/>
      <c r="J42" s="697"/>
      <c r="K42" s="698"/>
      <c r="L42" s="697"/>
      <c r="M42" s="698"/>
      <c r="N42" s="697"/>
      <c r="O42" s="698"/>
      <c r="P42" s="699"/>
      <c r="Q42" s="700"/>
      <c r="R42" s="200">
        <f t="shared" ref="R42:R58" si="2">P42+H42+F42+D42+B42</f>
        <v>739500</v>
      </c>
      <c r="S42" s="201"/>
    </row>
    <row r="43" spans="1:19" ht="16.5" customHeight="1" x14ac:dyDescent="0.25">
      <c r="A43" s="206" t="s">
        <v>99</v>
      </c>
      <c r="B43" s="181"/>
      <c r="C43" s="180"/>
      <c r="D43" s="181"/>
      <c r="E43" s="182"/>
      <c r="F43" s="181"/>
      <c r="G43" s="180"/>
      <c r="H43" s="181"/>
      <c r="I43" s="180"/>
      <c r="J43" s="16"/>
      <c r="K43" s="204"/>
      <c r="L43" s="16"/>
      <c r="M43" s="204"/>
      <c r="N43" s="16"/>
      <c r="O43" s="204"/>
      <c r="P43" s="183"/>
      <c r="Q43" s="184"/>
      <c r="R43" s="198">
        <f t="shared" si="2"/>
        <v>0</v>
      </c>
      <c r="S43" s="186" t="s">
        <v>85</v>
      </c>
    </row>
    <row r="44" spans="1:19" ht="16.5" customHeight="1" thickBot="1" x14ac:dyDescent="0.3">
      <c r="A44" s="210" t="s">
        <v>100</v>
      </c>
      <c r="B44" s="693">
        <v>6939134</v>
      </c>
      <c r="C44" s="694"/>
      <c r="D44" s="187"/>
      <c r="E44" s="188"/>
      <c r="F44" s="187"/>
      <c r="G44" s="189"/>
      <c r="H44" s="187"/>
      <c r="I44" s="189"/>
      <c r="J44" s="697"/>
      <c r="K44" s="698"/>
      <c r="L44" s="697"/>
      <c r="M44" s="698"/>
      <c r="N44" s="697"/>
      <c r="O44" s="698"/>
      <c r="P44" s="699"/>
      <c r="Q44" s="700"/>
      <c r="R44" s="200">
        <f t="shared" si="2"/>
        <v>6939134</v>
      </c>
      <c r="S44" s="201"/>
    </row>
    <row r="45" spans="1:19" ht="16.5" customHeight="1" x14ac:dyDescent="0.25">
      <c r="A45" s="207" t="s">
        <v>295</v>
      </c>
      <c r="B45" s="212"/>
      <c r="C45" s="213"/>
      <c r="D45" s="212"/>
      <c r="E45" s="214"/>
      <c r="F45" s="221">
        <v>1</v>
      </c>
      <c r="G45" s="222" t="s">
        <v>85</v>
      </c>
      <c r="H45" s="212"/>
      <c r="I45" s="213"/>
      <c r="J45" s="97"/>
      <c r="K45" s="103"/>
      <c r="L45" s="97"/>
      <c r="M45" s="103"/>
      <c r="N45" s="97"/>
      <c r="O45" s="103"/>
      <c r="P45" s="98"/>
      <c r="Q45" s="223"/>
      <c r="R45" s="198">
        <f t="shared" si="2"/>
        <v>1</v>
      </c>
      <c r="S45" s="186" t="s">
        <v>85</v>
      </c>
    </row>
    <row r="46" spans="1:19" ht="16.5" customHeight="1" thickBot="1" x14ac:dyDescent="0.3">
      <c r="A46" s="187" t="s">
        <v>294</v>
      </c>
      <c r="B46" s="693"/>
      <c r="C46" s="694"/>
      <c r="D46" s="707"/>
      <c r="E46" s="708"/>
      <c r="F46" s="705">
        <f>F45*3400000</f>
        <v>3400000</v>
      </c>
      <c r="G46" s="714"/>
      <c r="H46" s="707"/>
      <c r="I46" s="709"/>
      <c r="J46" s="697"/>
      <c r="K46" s="698"/>
      <c r="L46" s="697"/>
      <c r="M46" s="698"/>
      <c r="N46" s="697"/>
      <c r="O46" s="698"/>
      <c r="P46" s="699"/>
      <c r="Q46" s="700"/>
      <c r="R46" s="200">
        <f t="shared" si="2"/>
        <v>3400000</v>
      </c>
      <c r="S46" s="201"/>
    </row>
    <row r="47" spans="1:19" ht="16.5" customHeight="1" x14ac:dyDescent="0.25">
      <c r="A47" s="206" t="s">
        <v>101</v>
      </c>
      <c r="B47" s="212"/>
      <c r="C47" s="213"/>
      <c r="D47" s="212"/>
      <c r="E47" s="214"/>
      <c r="F47" s="221">
        <v>36</v>
      </c>
      <c r="G47" s="222" t="s">
        <v>85</v>
      </c>
      <c r="H47" s="212"/>
      <c r="I47" s="213"/>
      <c r="J47" s="97"/>
      <c r="K47" s="103"/>
      <c r="L47" s="97"/>
      <c r="M47" s="103"/>
      <c r="N47" s="97"/>
      <c r="O47" s="103"/>
      <c r="P47" s="98"/>
      <c r="Q47" s="223"/>
      <c r="R47" s="198">
        <f t="shared" si="2"/>
        <v>36</v>
      </c>
      <c r="S47" s="186" t="s">
        <v>85</v>
      </c>
    </row>
    <row r="48" spans="1:19" ht="16.5" customHeight="1" thickBot="1" x14ac:dyDescent="0.3">
      <c r="A48" s="187" t="s">
        <v>102</v>
      </c>
      <c r="B48" s="693"/>
      <c r="C48" s="694"/>
      <c r="D48" s="707"/>
      <c r="E48" s="708"/>
      <c r="F48" s="705">
        <f>F47*55360</f>
        <v>1992960</v>
      </c>
      <c r="G48" s="714"/>
      <c r="H48" s="707"/>
      <c r="I48" s="709"/>
      <c r="J48" s="697"/>
      <c r="K48" s="698"/>
      <c r="L48" s="697"/>
      <c r="M48" s="698"/>
      <c r="N48" s="697"/>
      <c r="O48" s="698"/>
      <c r="P48" s="699"/>
      <c r="Q48" s="700"/>
      <c r="R48" s="200">
        <f t="shared" si="2"/>
        <v>1992960</v>
      </c>
      <c r="S48" s="201"/>
    </row>
    <row r="49" spans="1:19" ht="16.5" customHeight="1" x14ac:dyDescent="0.25">
      <c r="A49" s="206" t="s">
        <v>103</v>
      </c>
      <c r="B49" s="212"/>
      <c r="C49" s="213"/>
      <c r="D49" s="212"/>
      <c r="E49" s="214"/>
      <c r="F49" s="221">
        <v>2</v>
      </c>
      <c r="G49" s="222" t="s">
        <v>85</v>
      </c>
      <c r="H49" s="212"/>
      <c r="I49" s="213"/>
      <c r="J49" s="97"/>
      <c r="K49" s="103"/>
      <c r="L49" s="97"/>
      <c r="M49" s="103"/>
      <c r="N49" s="97"/>
      <c r="O49" s="103"/>
      <c r="P49" s="98"/>
      <c r="Q49" s="223"/>
      <c r="R49" s="198">
        <f t="shared" si="2"/>
        <v>2</v>
      </c>
      <c r="S49" s="186" t="s">
        <v>85</v>
      </c>
    </row>
    <row r="50" spans="1:19" ht="16.5" customHeight="1" thickBot="1" x14ac:dyDescent="0.3">
      <c r="A50" s="210" t="s">
        <v>104</v>
      </c>
      <c r="B50" s="693"/>
      <c r="C50" s="694"/>
      <c r="D50" s="707"/>
      <c r="E50" s="708"/>
      <c r="F50" s="705">
        <f>F49*25000</f>
        <v>50000</v>
      </c>
      <c r="G50" s="714"/>
      <c r="H50" s="707"/>
      <c r="I50" s="709"/>
      <c r="J50" s="697"/>
      <c r="K50" s="698"/>
      <c r="L50" s="697"/>
      <c r="M50" s="698"/>
      <c r="N50" s="697"/>
      <c r="O50" s="698"/>
      <c r="P50" s="699"/>
      <c r="Q50" s="700"/>
      <c r="R50" s="200">
        <f t="shared" si="2"/>
        <v>50000</v>
      </c>
      <c r="S50" s="201"/>
    </row>
    <row r="51" spans="1:19" ht="15.75" customHeight="1" x14ac:dyDescent="0.25">
      <c r="A51" s="206" t="s">
        <v>103</v>
      </c>
      <c r="B51" s="212"/>
      <c r="C51" s="213"/>
      <c r="D51" s="212"/>
      <c r="E51" s="214"/>
      <c r="F51" s="221">
        <v>10</v>
      </c>
      <c r="G51" s="222" t="s">
        <v>85</v>
      </c>
      <c r="H51" s="212"/>
      <c r="I51" s="213"/>
      <c r="J51" s="97"/>
      <c r="K51" s="103"/>
      <c r="L51" s="97"/>
      <c r="M51" s="103"/>
      <c r="N51" s="97"/>
      <c r="O51" s="103"/>
      <c r="P51" s="98"/>
      <c r="Q51" s="223"/>
      <c r="R51" s="198">
        <f t="shared" si="2"/>
        <v>10</v>
      </c>
      <c r="S51" s="186" t="s">
        <v>85</v>
      </c>
    </row>
    <row r="52" spans="1:19" ht="16.5" customHeight="1" thickBot="1" x14ac:dyDescent="0.3">
      <c r="A52" s="210" t="s">
        <v>297</v>
      </c>
      <c r="B52" s="693"/>
      <c r="C52" s="694"/>
      <c r="D52" s="707"/>
      <c r="E52" s="709"/>
      <c r="F52" s="705">
        <f>F51*330000</f>
        <v>3300000</v>
      </c>
      <c r="G52" s="714"/>
      <c r="H52" s="707"/>
      <c r="I52" s="709"/>
      <c r="J52" s="697"/>
      <c r="K52" s="711"/>
      <c r="L52" s="697"/>
      <c r="M52" s="711"/>
      <c r="N52" s="697"/>
      <c r="O52" s="698"/>
      <c r="P52" s="699"/>
      <c r="Q52" s="715"/>
      <c r="R52" s="200">
        <f t="shared" si="2"/>
        <v>3300000</v>
      </c>
      <c r="S52" s="201"/>
    </row>
    <row r="53" spans="1:19" ht="16.5" customHeight="1" x14ac:dyDescent="0.25">
      <c r="A53" s="206" t="s">
        <v>105</v>
      </c>
      <c r="B53" s="212"/>
      <c r="C53" s="213"/>
      <c r="D53" s="212"/>
      <c r="E53" s="214"/>
      <c r="F53" s="221">
        <v>24</v>
      </c>
      <c r="G53" s="222" t="s">
        <v>85</v>
      </c>
      <c r="H53" s="212"/>
      <c r="I53" s="213"/>
      <c r="J53" s="97"/>
      <c r="K53" s="103"/>
      <c r="L53" s="97"/>
      <c r="M53" s="103"/>
      <c r="N53" s="97"/>
      <c r="O53" s="103"/>
      <c r="P53" s="98"/>
      <c r="Q53" s="223"/>
      <c r="R53" s="198">
        <f t="shared" si="2"/>
        <v>24</v>
      </c>
      <c r="S53" s="186" t="s">
        <v>85</v>
      </c>
    </row>
    <row r="54" spans="1:19" ht="16.5" customHeight="1" thickBot="1" x14ac:dyDescent="0.3">
      <c r="A54" s="187" t="s">
        <v>106</v>
      </c>
      <c r="B54" s="693"/>
      <c r="C54" s="694"/>
      <c r="D54" s="707"/>
      <c r="E54" s="708"/>
      <c r="F54" s="705">
        <f>F53*109000</f>
        <v>2616000</v>
      </c>
      <c r="G54" s="714"/>
      <c r="H54" s="707"/>
      <c r="I54" s="709"/>
      <c r="J54" s="689"/>
      <c r="K54" s="690"/>
      <c r="L54" s="689"/>
      <c r="M54" s="690"/>
      <c r="N54" s="697"/>
      <c r="O54" s="698"/>
      <c r="P54" s="699"/>
      <c r="Q54" s="700"/>
      <c r="R54" s="200">
        <f t="shared" si="2"/>
        <v>2616000</v>
      </c>
      <c r="S54" s="201"/>
    </row>
    <row r="55" spans="1:19" ht="16.5" customHeight="1" x14ac:dyDescent="0.25">
      <c r="A55" s="224" t="s">
        <v>107</v>
      </c>
      <c r="B55" s="224"/>
      <c r="C55" s="225"/>
      <c r="D55" s="224"/>
      <c r="E55" s="226"/>
      <c r="F55" s="224"/>
      <c r="G55" s="225"/>
      <c r="H55" s="224"/>
      <c r="I55" s="225"/>
      <c r="J55" s="227"/>
      <c r="K55" s="209"/>
      <c r="L55" s="227"/>
      <c r="M55" s="204"/>
      <c r="N55" s="227"/>
      <c r="O55" s="204"/>
      <c r="P55" s="183"/>
      <c r="Q55" s="184"/>
      <c r="R55" s="198">
        <f t="shared" si="2"/>
        <v>0</v>
      </c>
      <c r="S55" s="186" t="s">
        <v>85</v>
      </c>
    </row>
    <row r="56" spans="1:19" ht="16.5" customHeight="1" thickBot="1" x14ac:dyDescent="0.3">
      <c r="A56" s="228" t="s">
        <v>108</v>
      </c>
      <c r="B56" s="705">
        <v>10564000</v>
      </c>
      <c r="C56" s="706"/>
      <c r="D56" s="707"/>
      <c r="E56" s="708"/>
      <c r="F56" s="707"/>
      <c r="G56" s="709"/>
      <c r="H56" s="707"/>
      <c r="I56" s="709"/>
      <c r="J56" s="701"/>
      <c r="K56" s="710"/>
      <c r="L56" s="712"/>
      <c r="M56" s="713"/>
      <c r="N56" s="712"/>
      <c r="O56" s="713"/>
      <c r="P56" s="699"/>
      <c r="Q56" s="700"/>
      <c r="R56" s="200">
        <f t="shared" si="2"/>
        <v>10564000</v>
      </c>
      <c r="S56" s="201"/>
    </row>
    <row r="57" spans="1:19" ht="16.5" customHeight="1" x14ac:dyDescent="0.25">
      <c r="A57" s="224" t="s">
        <v>109</v>
      </c>
      <c r="B57" s="229"/>
      <c r="C57" s="230"/>
      <c r="D57" s="224"/>
      <c r="E57" s="226"/>
      <c r="F57" s="224"/>
      <c r="G57" s="225"/>
      <c r="H57" s="224"/>
      <c r="I57" s="225"/>
      <c r="J57" s="227"/>
      <c r="K57" s="209"/>
      <c r="L57" s="227"/>
      <c r="M57" s="209"/>
      <c r="N57" s="227"/>
      <c r="O57" s="209"/>
      <c r="P57" s="183"/>
      <c r="Q57" s="184"/>
      <c r="R57" s="198">
        <f t="shared" si="2"/>
        <v>0</v>
      </c>
      <c r="S57" s="186" t="s">
        <v>85</v>
      </c>
    </row>
    <row r="58" spans="1:19" ht="16.5" customHeight="1" thickBot="1" x14ac:dyDescent="0.3">
      <c r="A58" s="228" t="s">
        <v>110</v>
      </c>
      <c r="B58" s="705">
        <v>4274872</v>
      </c>
      <c r="C58" s="706"/>
      <c r="D58" s="707"/>
      <c r="E58" s="708"/>
      <c r="F58" s="707"/>
      <c r="G58" s="709"/>
      <c r="H58" s="707"/>
      <c r="I58" s="709"/>
      <c r="J58" s="701"/>
      <c r="K58" s="710"/>
      <c r="L58" s="697"/>
      <c r="M58" s="711"/>
      <c r="N58" s="701"/>
      <c r="O58" s="702"/>
      <c r="P58" s="699"/>
      <c r="Q58" s="700"/>
      <c r="R58" s="200">
        <f t="shared" si="2"/>
        <v>4274872</v>
      </c>
      <c r="S58" s="201"/>
    </row>
    <row r="59" spans="1:19" s="138" customFormat="1" ht="20.25" customHeight="1" thickBot="1" x14ac:dyDescent="0.3">
      <c r="A59" s="139" t="s">
        <v>364</v>
      </c>
      <c r="B59" s="143"/>
      <c r="C59" s="143"/>
      <c r="D59" s="143"/>
      <c r="E59" s="143"/>
      <c r="F59" s="143"/>
      <c r="G59" s="143"/>
      <c r="H59" s="143"/>
      <c r="I59" s="143"/>
      <c r="J59" s="144"/>
      <c r="K59" s="144"/>
      <c r="L59" s="144"/>
      <c r="M59" s="144"/>
      <c r="N59" s="144"/>
      <c r="O59" s="144"/>
      <c r="P59" s="145"/>
      <c r="Q59" s="145"/>
      <c r="R59" s="683"/>
      <c r="S59" s="684"/>
    </row>
    <row r="60" spans="1:19" ht="16.5" customHeight="1" x14ac:dyDescent="0.25">
      <c r="A60" s="207" t="s">
        <v>111</v>
      </c>
      <c r="B60" s="212"/>
      <c r="C60" s="213"/>
      <c r="D60" s="212"/>
      <c r="E60" s="214"/>
      <c r="F60" s="231"/>
      <c r="G60" s="213"/>
      <c r="H60" s="231">
        <v>2689</v>
      </c>
      <c r="I60" s="213" t="s">
        <v>85</v>
      </c>
      <c r="J60" s="97"/>
      <c r="K60" s="196"/>
      <c r="L60" s="97"/>
      <c r="M60" s="196"/>
      <c r="N60" s="97"/>
      <c r="O60" s="196"/>
      <c r="P60" s="183"/>
      <c r="Q60" s="184"/>
      <c r="R60" s="198">
        <f t="shared" ref="R60:R64" si="3">P60+H60+F60+D60+B60</f>
        <v>2689</v>
      </c>
      <c r="S60" s="186" t="s">
        <v>85</v>
      </c>
    </row>
    <row r="61" spans="1:19" ht="16.5" customHeight="1" x14ac:dyDescent="0.25">
      <c r="A61" s="207" t="s">
        <v>298</v>
      </c>
      <c r="B61" s="685"/>
      <c r="C61" s="686"/>
      <c r="D61" s="212"/>
      <c r="E61" s="214"/>
      <c r="F61" s="703"/>
      <c r="G61" s="704"/>
      <c r="H61" s="703">
        <f>H60*1210</f>
        <v>3253690</v>
      </c>
      <c r="I61" s="704"/>
      <c r="J61" s="689"/>
      <c r="K61" s="690"/>
      <c r="L61" s="689"/>
      <c r="M61" s="690"/>
      <c r="N61" s="689"/>
      <c r="O61" s="690"/>
      <c r="P61" s="691"/>
      <c r="Q61" s="692"/>
      <c r="R61" s="154">
        <f t="shared" si="3"/>
        <v>3253690</v>
      </c>
      <c r="S61" s="211"/>
    </row>
    <row r="62" spans="1:19" x14ac:dyDescent="0.25">
      <c r="A62" s="232" t="s">
        <v>112</v>
      </c>
      <c r="B62" s="181"/>
      <c r="C62" s="180"/>
      <c r="D62" s="181"/>
      <c r="E62" s="182"/>
      <c r="F62" s="181"/>
      <c r="G62" s="180"/>
      <c r="H62" s="181"/>
      <c r="I62" s="180"/>
      <c r="J62" s="16"/>
      <c r="K62" s="204"/>
      <c r="L62" s="16"/>
      <c r="M62" s="204"/>
      <c r="N62" s="16"/>
      <c r="O62" s="204"/>
      <c r="P62" s="233"/>
      <c r="Q62" s="234"/>
      <c r="R62" s="235">
        <f t="shared" si="3"/>
        <v>0</v>
      </c>
      <c r="S62" s="236" t="s">
        <v>85</v>
      </c>
    </row>
    <row r="63" spans="1:19" x14ac:dyDescent="0.25">
      <c r="A63" s="237" t="s">
        <v>113</v>
      </c>
      <c r="B63" s="693"/>
      <c r="C63" s="694"/>
      <c r="D63" s="187"/>
      <c r="E63" s="188"/>
      <c r="F63" s="187"/>
      <c r="G63" s="189"/>
      <c r="H63" s="695">
        <v>305000</v>
      </c>
      <c r="I63" s="696"/>
      <c r="J63" s="697"/>
      <c r="K63" s="698"/>
      <c r="L63" s="697"/>
      <c r="M63" s="698"/>
      <c r="N63" s="697"/>
      <c r="O63" s="698"/>
      <c r="P63" s="699"/>
      <c r="Q63" s="700"/>
      <c r="R63" s="163">
        <f t="shared" si="3"/>
        <v>305000</v>
      </c>
      <c r="S63" s="238"/>
    </row>
    <row r="64" spans="1:19" ht="17.25" customHeight="1" thickBot="1" x14ac:dyDescent="0.3">
      <c r="A64" s="207" t="s">
        <v>114</v>
      </c>
      <c r="B64" s="685"/>
      <c r="C64" s="686"/>
      <c r="D64" s="212"/>
      <c r="E64" s="214"/>
      <c r="F64" s="212"/>
      <c r="G64" s="213"/>
      <c r="H64" s="687">
        <v>598454</v>
      </c>
      <c r="I64" s="688"/>
      <c r="J64" s="689"/>
      <c r="K64" s="690"/>
      <c r="L64" s="689"/>
      <c r="M64" s="690"/>
      <c r="N64" s="689"/>
      <c r="O64" s="690"/>
      <c r="P64" s="691"/>
      <c r="Q64" s="692"/>
      <c r="R64" s="154">
        <f t="shared" si="3"/>
        <v>598454</v>
      </c>
      <c r="S64" s="211"/>
    </row>
    <row r="65" spans="1:19" ht="27.75" customHeight="1" x14ac:dyDescent="0.25">
      <c r="A65" s="239" t="s">
        <v>302</v>
      </c>
      <c r="B65" s="240">
        <v>8034103</v>
      </c>
      <c r="C65" s="241"/>
      <c r="D65" s="242"/>
      <c r="E65" s="243"/>
      <c r="F65" s="242"/>
      <c r="G65" s="241"/>
      <c r="H65" s="242"/>
      <c r="I65" s="241"/>
      <c r="J65" s="70"/>
      <c r="K65" s="71"/>
      <c r="L65" s="70"/>
      <c r="M65" s="71"/>
      <c r="N65" s="70"/>
      <c r="O65" s="71"/>
      <c r="P65" s="72"/>
      <c r="Q65" s="73"/>
      <c r="R65" s="198">
        <f>P65+H65+F65+D65+B65</f>
        <v>8034103</v>
      </c>
      <c r="S65" s="186" t="s">
        <v>85</v>
      </c>
    </row>
    <row r="66" spans="1:19" ht="16.5" customHeight="1" thickBot="1" x14ac:dyDescent="0.3">
      <c r="A66" s="244" t="s">
        <v>115</v>
      </c>
      <c r="B66" s="680">
        <f>-B65</f>
        <v>-8034103</v>
      </c>
      <c r="C66" s="681"/>
      <c r="D66" s="245"/>
      <c r="E66" s="246"/>
      <c r="F66" s="245"/>
      <c r="G66" s="247"/>
      <c r="H66" s="245"/>
      <c r="I66" s="247"/>
      <c r="J66" s="667"/>
      <c r="K66" s="682"/>
      <c r="L66" s="667"/>
      <c r="M66" s="682"/>
      <c r="N66" s="667"/>
      <c r="O66" s="682"/>
      <c r="P66" s="669"/>
      <c r="Q66" s="670"/>
      <c r="R66" s="200">
        <f>P66+H66+F66+D66+B66</f>
        <v>-8034103</v>
      </c>
      <c r="S66" s="201"/>
    </row>
    <row r="67" spans="1:19" s="138" customFormat="1" ht="20.25" customHeight="1" thickBot="1" x14ac:dyDescent="0.3">
      <c r="A67" s="139" t="s">
        <v>365</v>
      </c>
      <c r="B67" s="143"/>
      <c r="C67" s="143"/>
      <c r="D67" s="143"/>
      <c r="E67" s="143"/>
      <c r="F67" s="143"/>
      <c r="G67" s="143"/>
      <c r="H67" s="143"/>
      <c r="I67" s="143"/>
      <c r="J67" s="144"/>
      <c r="K67" s="144"/>
      <c r="L67" s="144"/>
      <c r="M67" s="144"/>
      <c r="N67" s="144"/>
      <c r="O67" s="144"/>
      <c r="P67" s="145"/>
      <c r="Q67" s="145"/>
      <c r="R67" s="683"/>
      <c r="S67" s="684"/>
    </row>
    <row r="68" spans="1:19" ht="16.5" customHeight="1" thickBot="1" x14ac:dyDescent="0.3">
      <c r="A68" s="244" t="s">
        <v>366</v>
      </c>
      <c r="B68" s="676"/>
      <c r="C68" s="677"/>
      <c r="D68" s="678">
        <v>5904000</v>
      </c>
      <c r="E68" s="679"/>
      <c r="F68" s="680"/>
      <c r="G68" s="681"/>
      <c r="H68" s="680"/>
      <c r="I68" s="681"/>
      <c r="J68" s="667"/>
      <c r="K68" s="668"/>
      <c r="L68" s="667"/>
      <c r="M68" s="668"/>
      <c r="N68" s="667"/>
      <c r="O68" s="668"/>
      <c r="P68" s="669"/>
      <c r="Q68" s="670"/>
      <c r="R68" s="248">
        <f t="shared" ref="R68" si="4">P68+H68+F68+D68+B68</f>
        <v>5904000</v>
      </c>
      <c r="S68" s="201"/>
    </row>
    <row r="69" spans="1:19" ht="37.5" customHeight="1" thickBot="1" x14ac:dyDescent="0.3">
      <c r="A69" s="249" t="s">
        <v>84</v>
      </c>
      <c r="B69" s="671">
        <f>B8++B9+B19+B23+B21+B22+B26+B28+B30+B32+B34+B36+B40+B42+B44+B52+B48+B50+B54+B56+B58+B61+B64+B46+B68+B63+B38</f>
        <v>36961066</v>
      </c>
      <c r="C69" s="672"/>
      <c r="D69" s="671">
        <f>D8++D9+D19+D23+D21+D22+D26+D28+D30+D32+D34+D36+D40+D42+D44+D52+D48+D50+D54+D56+D58+D61+D64+D46+D68+D63+D38</f>
        <v>39704400</v>
      </c>
      <c r="E69" s="672"/>
      <c r="F69" s="671">
        <f>F8++F9+F19+F23+F21+F22+F26+F28+F30+F32+F34+F36+F40+F42+F44+F52+F48+F50+F54+F56+F58+F61+F64+F46+F68+F63+F38</f>
        <v>12098460</v>
      </c>
      <c r="G69" s="672"/>
      <c r="H69" s="671">
        <f>H8++H9+H19+H23+H21+H22+H26+H28+H30+H32+H34+H36+H40+H42+H44+H52+H48+H50+H54+H56+H58+H61+H64+H46+H68+H63+H38</f>
        <v>4193233</v>
      </c>
      <c r="I69" s="672"/>
      <c r="J69" s="673">
        <f>J8++J9+J19+J23+J21+J22+J26+J28+J30+J32+J34+J36+J40+J42+J44+J52+J48+J50+J54+J56+J58+J61+J64+J46+J68+J63+J38</f>
        <v>57593586</v>
      </c>
      <c r="K69" s="674"/>
      <c r="L69" s="673">
        <f>L8++L9+L19+L23+L21+L22+L26+L28+L30+L32+L34+L36+L40+L42+L44+L52+L48+L50+L54+L56+L58+L61+L64+L46+L68+L63+L38</f>
        <v>13732649</v>
      </c>
      <c r="M69" s="674"/>
      <c r="N69" s="673">
        <f>N8++N9+N19+N23+N21+N22+N26+N28+N30+N32+N34+N36+N40+N42+N44+N52+N48+N50+N54+N56+N58+N61+N64+N46+N68+N63+N38</f>
        <v>12130933</v>
      </c>
      <c r="O69" s="674"/>
      <c r="P69" s="657">
        <f>P8++P9+P19+P23+P21+P22+P26+P28+P30+P32+P34+P36+P40+P42+P44+P52+P48+P50+P54+P56+P58+P61+P64+P46+P68+P63+P38</f>
        <v>83457168</v>
      </c>
      <c r="Q69" s="675"/>
      <c r="R69" s="657">
        <f>R8++R9+R19+R23+R21+R22+R26+R28+R30+R32+R34+R36+R40+R42+R44+R52+R48+R50+R54+R56+R58+R61+R64+R46+R68+R63+R38</f>
        <v>176414327</v>
      </c>
      <c r="S69" s="658"/>
    </row>
    <row r="70" spans="1:19" ht="15.6" x14ac:dyDescent="0.3">
      <c r="B70" s="659">
        <f>SUM(B69:I69)</f>
        <v>92957159</v>
      </c>
      <c r="C70" s="660"/>
      <c r="D70" s="660"/>
      <c r="E70" s="660"/>
      <c r="F70" s="660"/>
      <c r="G70" s="660"/>
      <c r="H70" s="660"/>
      <c r="I70" s="660"/>
      <c r="J70" s="661">
        <f>+P69</f>
        <v>83457168</v>
      </c>
      <c r="K70" s="661"/>
      <c r="L70" s="661"/>
      <c r="M70" s="661"/>
      <c r="N70" s="661"/>
      <c r="O70" s="661"/>
      <c r="P70" s="661"/>
      <c r="Q70" s="661"/>
      <c r="R70" s="662"/>
      <c r="S70" s="663"/>
    </row>
    <row r="71" spans="1:19" ht="31.95" customHeight="1" thickBot="1" x14ac:dyDescent="0.35">
      <c r="B71" s="664" t="s">
        <v>116</v>
      </c>
      <c r="C71" s="665"/>
      <c r="D71" s="665"/>
      <c r="E71" s="665"/>
      <c r="F71" s="665"/>
      <c r="G71" s="665"/>
      <c r="H71" s="665"/>
      <c r="I71" s="665"/>
      <c r="J71" s="666" t="s">
        <v>117</v>
      </c>
      <c r="K71" s="666"/>
      <c r="L71" s="666"/>
      <c r="M71" s="666"/>
      <c r="N71" s="666"/>
      <c r="O71" s="666"/>
      <c r="P71" s="666"/>
      <c r="Q71" s="666"/>
    </row>
  </sheetData>
  <mergeCells count="245">
    <mergeCell ref="R4:S4"/>
    <mergeCell ref="R5:S5"/>
    <mergeCell ref="R6:S6"/>
    <mergeCell ref="D8:E8"/>
    <mergeCell ref="J8:K8"/>
    <mergeCell ref="L8:M8"/>
    <mergeCell ref="N8:O8"/>
    <mergeCell ref="B1:R1"/>
    <mergeCell ref="B2:R2"/>
    <mergeCell ref="B4:C4"/>
    <mergeCell ref="D4:E4"/>
    <mergeCell ref="F4:G4"/>
    <mergeCell ref="H4:I4"/>
    <mergeCell ref="J4:K4"/>
    <mergeCell ref="L4:M4"/>
    <mergeCell ref="N4:O4"/>
    <mergeCell ref="P4:Q4"/>
    <mergeCell ref="J11:K11"/>
    <mergeCell ref="L11:M11"/>
    <mergeCell ref="N11:O11"/>
    <mergeCell ref="A12:A13"/>
    <mergeCell ref="B13:C13"/>
    <mergeCell ref="J13:K13"/>
    <mergeCell ref="L13:M13"/>
    <mergeCell ref="N13:O13"/>
    <mergeCell ref="B9:C9"/>
    <mergeCell ref="A10:A11"/>
    <mergeCell ref="B11:C11"/>
    <mergeCell ref="D11:E11"/>
    <mergeCell ref="F11:G11"/>
    <mergeCell ref="H11:I11"/>
    <mergeCell ref="A20:A21"/>
    <mergeCell ref="J20:K20"/>
    <mergeCell ref="L20:M20"/>
    <mergeCell ref="N20:O20"/>
    <mergeCell ref="B21:C21"/>
    <mergeCell ref="J21:K21"/>
    <mergeCell ref="A14:A15"/>
    <mergeCell ref="B15:C15"/>
    <mergeCell ref="J15:K15"/>
    <mergeCell ref="L15:M15"/>
    <mergeCell ref="N15:O15"/>
    <mergeCell ref="A16:A17"/>
    <mergeCell ref="B17:C17"/>
    <mergeCell ref="J17:K17"/>
    <mergeCell ref="L17:M17"/>
    <mergeCell ref="N17:O17"/>
    <mergeCell ref="L21:M21"/>
    <mergeCell ref="N21:O21"/>
    <mergeCell ref="B22:C22"/>
    <mergeCell ref="H22:I22"/>
    <mergeCell ref="J22:K22"/>
    <mergeCell ref="L22:M22"/>
    <mergeCell ref="N22:O22"/>
    <mergeCell ref="B19:C19"/>
    <mergeCell ref="J19:K19"/>
    <mergeCell ref="L19:M19"/>
    <mergeCell ref="N19:O19"/>
    <mergeCell ref="B23:C23"/>
    <mergeCell ref="J23:K23"/>
    <mergeCell ref="L23:M23"/>
    <mergeCell ref="N23:O23"/>
    <mergeCell ref="R24:S24"/>
    <mergeCell ref="B26:C26"/>
    <mergeCell ref="D26:E26"/>
    <mergeCell ref="F26:G26"/>
    <mergeCell ref="H26:I26"/>
    <mergeCell ref="J26:K26"/>
    <mergeCell ref="L26:M26"/>
    <mergeCell ref="N26:O26"/>
    <mergeCell ref="P26:Q26"/>
    <mergeCell ref="B28:C28"/>
    <mergeCell ref="D28:E28"/>
    <mergeCell ref="F28:G28"/>
    <mergeCell ref="H28:I28"/>
    <mergeCell ref="J28:K28"/>
    <mergeCell ref="L28:M28"/>
    <mergeCell ref="N28:O28"/>
    <mergeCell ref="B32:C32"/>
    <mergeCell ref="D32:E32"/>
    <mergeCell ref="F32:G32"/>
    <mergeCell ref="H32:I32"/>
    <mergeCell ref="L32:M32"/>
    <mergeCell ref="P32:Q32"/>
    <mergeCell ref="P28:Q28"/>
    <mergeCell ref="B30:C30"/>
    <mergeCell ref="D30:E30"/>
    <mergeCell ref="F30:G30"/>
    <mergeCell ref="H30:I30"/>
    <mergeCell ref="J30:K30"/>
    <mergeCell ref="L30:M30"/>
    <mergeCell ref="N30:O30"/>
    <mergeCell ref="P30:Q30"/>
    <mergeCell ref="L34:M34"/>
    <mergeCell ref="N34:O34"/>
    <mergeCell ref="P34:Q34"/>
    <mergeCell ref="A35:A36"/>
    <mergeCell ref="B36:C36"/>
    <mergeCell ref="D36:E36"/>
    <mergeCell ref="F36:G36"/>
    <mergeCell ref="H36:I36"/>
    <mergeCell ref="J36:K36"/>
    <mergeCell ref="L36:M36"/>
    <mergeCell ref="A33:A34"/>
    <mergeCell ref="B34:C34"/>
    <mergeCell ref="D34:E34"/>
    <mergeCell ref="F34:G34"/>
    <mergeCell ref="H34:I34"/>
    <mergeCell ref="J34:K34"/>
    <mergeCell ref="N36:O36"/>
    <mergeCell ref="P36:Q36"/>
    <mergeCell ref="B38:C38"/>
    <mergeCell ref="D38:E38"/>
    <mergeCell ref="F38:G38"/>
    <mergeCell ref="H38:I38"/>
    <mergeCell ref="J38:K38"/>
    <mergeCell ref="L38:M38"/>
    <mergeCell ref="N38:O38"/>
    <mergeCell ref="P38:Q38"/>
    <mergeCell ref="P42:Q42"/>
    <mergeCell ref="B44:C44"/>
    <mergeCell ref="J44:K44"/>
    <mergeCell ref="L44:M44"/>
    <mergeCell ref="N44:O44"/>
    <mergeCell ref="P44:Q44"/>
    <mergeCell ref="N40:O40"/>
    <mergeCell ref="P40:Q40"/>
    <mergeCell ref="R41:S41"/>
    <mergeCell ref="B42:C42"/>
    <mergeCell ref="D42:E42"/>
    <mergeCell ref="F42:G42"/>
    <mergeCell ref="H42:I42"/>
    <mergeCell ref="J42:K42"/>
    <mergeCell ref="L42:M42"/>
    <mergeCell ref="N42:O42"/>
    <mergeCell ref="B40:C40"/>
    <mergeCell ref="D40:E40"/>
    <mergeCell ref="F40:G40"/>
    <mergeCell ref="H40:I40"/>
    <mergeCell ref="J40:K40"/>
    <mergeCell ref="L40:M40"/>
    <mergeCell ref="N46:O46"/>
    <mergeCell ref="P46:Q46"/>
    <mergeCell ref="B48:C48"/>
    <mergeCell ref="D48:E48"/>
    <mergeCell ref="F48:G48"/>
    <mergeCell ref="H48:I48"/>
    <mergeCell ref="J48:K48"/>
    <mergeCell ref="L48:M48"/>
    <mergeCell ref="N48:O48"/>
    <mergeCell ref="P48:Q48"/>
    <mergeCell ref="B46:C46"/>
    <mergeCell ref="D46:E46"/>
    <mergeCell ref="F46:G46"/>
    <mergeCell ref="H46:I46"/>
    <mergeCell ref="J46:K46"/>
    <mergeCell ref="L46:M46"/>
    <mergeCell ref="N50:O50"/>
    <mergeCell ref="P50:Q50"/>
    <mergeCell ref="B52:C52"/>
    <mergeCell ref="D52:E52"/>
    <mergeCell ref="F52:G52"/>
    <mergeCell ref="H52:I52"/>
    <mergeCell ref="J52:K52"/>
    <mergeCell ref="L52:M52"/>
    <mergeCell ref="N52:O52"/>
    <mergeCell ref="P52:Q52"/>
    <mergeCell ref="B50:C50"/>
    <mergeCell ref="D50:E50"/>
    <mergeCell ref="F50:G50"/>
    <mergeCell ref="H50:I50"/>
    <mergeCell ref="J50:K50"/>
    <mergeCell ref="L50:M50"/>
    <mergeCell ref="N54:O54"/>
    <mergeCell ref="P54:Q54"/>
    <mergeCell ref="B56:C56"/>
    <mergeCell ref="D56:E56"/>
    <mergeCell ref="F56:G56"/>
    <mergeCell ref="H56:I56"/>
    <mergeCell ref="J56:K56"/>
    <mergeCell ref="L56:M56"/>
    <mergeCell ref="N56:O56"/>
    <mergeCell ref="P56:Q56"/>
    <mergeCell ref="B54:C54"/>
    <mergeCell ref="D54:E54"/>
    <mergeCell ref="F54:G54"/>
    <mergeCell ref="H54:I54"/>
    <mergeCell ref="J54:K54"/>
    <mergeCell ref="L54:M54"/>
    <mergeCell ref="B63:C63"/>
    <mergeCell ref="H63:I63"/>
    <mergeCell ref="J63:K63"/>
    <mergeCell ref="L63:M63"/>
    <mergeCell ref="N63:O63"/>
    <mergeCell ref="P63:Q63"/>
    <mergeCell ref="N58:O58"/>
    <mergeCell ref="P58:Q58"/>
    <mergeCell ref="R59:S59"/>
    <mergeCell ref="B61:C61"/>
    <mergeCell ref="F61:G61"/>
    <mergeCell ref="H61:I61"/>
    <mergeCell ref="J61:K61"/>
    <mergeCell ref="L61:M61"/>
    <mergeCell ref="N61:O61"/>
    <mergeCell ref="P61:Q61"/>
    <mergeCell ref="B58:C58"/>
    <mergeCell ref="D58:E58"/>
    <mergeCell ref="F58:G58"/>
    <mergeCell ref="H58:I58"/>
    <mergeCell ref="J58:K58"/>
    <mergeCell ref="L58:M58"/>
    <mergeCell ref="B66:C66"/>
    <mergeCell ref="J66:K66"/>
    <mergeCell ref="L66:M66"/>
    <mergeCell ref="N66:O66"/>
    <mergeCell ref="P66:Q66"/>
    <mergeCell ref="R67:S67"/>
    <mergeCell ref="B64:C64"/>
    <mergeCell ref="H64:I64"/>
    <mergeCell ref="J64:K64"/>
    <mergeCell ref="L64:M64"/>
    <mergeCell ref="N64:O64"/>
    <mergeCell ref="P64:Q64"/>
    <mergeCell ref="R69:S69"/>
    <mergeCell ref="B70:I70"/>
    <mergeCell ref="J70:Q70"/>
    <mergeCell ref="R70:S70"/>
    <mergeCell ref="B71:I71"/>
    <mergeCell ref="J71:Q71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68:C68"/>
    <mergeCell ref="D68:E68"/>
    <mergeCell ref="F68:G68"/>
    <mergeCell ref="H68:I68"/>
    <mergeCell ref="J68:K68"/>
    <mergeCell ref="L68:M68"/>
  </mergeCells>
  <pageMargins left="0.31496062992125984" right="0.11811023622047245" top="0.31496062992125984" bottom="0.15748031496062992" header="0.15748031496062992" footer="0.1181102362204724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FDB9-66AF-4BE5-A8CD-A1902C55E6F6}">
  <sheetPr>
    <tabColor rgb="FF00B050"/>
  </sheetPr>
  <dimension ref="B1:AG51"/>
  <sheetViews>
    <sheetView view="pageBreakPreview" zoomScaleNormal="100" zoomScaleSheetLayoutView="100" workbookViewId="0">
      <pane xSplit="2" ySplit="3" topLeftCell="C4" activePane="bottomRight" state="frozen"/>
      <selection activeCell="B42" sqref="B42"/>
      <selection pane="topRight" activeCell="B42" sqref="B42"/>
      <selection pane="bottomLeft" activeCell="B42" sqref="B42"/>
      <selection pane="bottomRight" activeCell="B1" sqref="B1"/>
    </sheetView>
  </sheetViews>
  <sheetFormatPr defaultColWidth="9.109375" defaultRowHeight="16.2" x14ac:dyDescent="0.35"/>
  <cols>
    <col min="1" max="1" width="1.109375" style="251" customWidth="1"/>
    <col min="2" max="2" width="50" style="251" customWidth="1"/>
    <col min="3" max="8" width="15.109375" style="251" customWidth="1"/>
    <col min="9" max="11" width="16.6640625" style="251" customWidth="1"/>
    <col min="12" max="12" width="16" style="252" customWidth="1"/>
    <col min="13" max="14" width="16" style="251" customWidth="1"/>
    <col min="15" max="15" width="15.109375" style="251" customWidth="1"/>
    <col min="16" max="17" width="16.6640625" style="251" customWidth="1"/>
    <col min="18" max="18" width="15.109375" style="253" customWidth="1"/>
    <col min="19" max="20" width="16.6640625" style="251" customWidth="1"/>
    <col min="21" max="21" width="19.6640625" style="251" customWidth="1"/>
    <col min="22" max="26" width="16.6640625" style="251" customWidth="1"/>
    <col min="27" max="29" width="19" style="251" customWidth="1"/>
    <col min="30" max="32" width="17.33203125" style="251" customWidth="1"/>
    <col min="33" max="16384" width="9.109375" style="251"/>
  </cols>
  <sheetData>
    <row r="1" spans="2:32" x14ac:dyDescent="0.35">
      <c r="B1" s="250" t="s">
        <v>337</v>
      </c>
    </row>
    <row r="2" spans="2:32" ht="16.8" thickBot="1" x14ac:dyDescent="0.4">
      <c r="B2" s="254" t="s">
        <v>332</v>
      </c>
    </row>
    <row r="3" spans="2:32" s="256" customFormat="1" ht="54" customHeight="1" thickBot="1" x14ac:dyDescent="0.35">
      <c r="B3" s="255" t="s">
        <v>5</v>
      </c>
      <c r="C3" s="747" t="s">
        <v>331</v>
      </c>
      <c r="D3" s="729"/>
      <c r="E3" s="730"/>
      <c r="F3" s="758" t="s">
        <v>367</v>
      </c>
      <c r="G3" s="759"/>
      <c r="H3" s="771"/>
      <c r="I3" s="775" t="s">
        <v>7</v>
      </c>
      <c r="J3" s="759"/>
      <c r="K3" s="771"/>
      <c r="L3" s="779" t="s">
        <v>8</v>
      </c>
      <c r="M3" s="780"/>
      <c r="N3" s="781"/>
      <c r="O3" s="775" t="s">
        <v>9</v>
      </c>
      <c r="P3" s="759"/>
      <c r="Q3" s="763"/>
      <c r="R3" s="776" t="s">
        <v>10</v>
      </c>
      <c r="S3" s="777"/>
      <c r="T3" s="778"/>
      <c r="U3" s="758" t="s">
        <v>11</v>
      </c>
      <c r="V3" s="759"/>
      <c r="W3" s="763"/>
      <c r="X3" s="764" t="s">
        <v>12</v>
      </c>
      <c r="Y3" s="765"/>
      <c r="Z3" s="766"/>
      <c r="AA3" s="765" t="s">
        <v>13</v>
      </c>
      <c r="AB3" s="765"/>
      <c r="AC3" s="765"/>
      <c r="AD3" s="764" t="s">
        <v>14</v>
      </c>
      <c r="AE3" s="765"/>
      <c r="AF3" s="766"/>
    </row>
    <row r="4" spans="2:32" s="270" customFormat="1" ht="28.2" thickBot="1" x14ac:dyDescent="0.35">
      <c r="B4" s="255"/>
      <c r="C4" s="257" t="s">
        <v>368</v>
      </c>
      <c r="D4" s="258" t="s">
        <v>369</v>
      </c>
      <c r="E4" s="259" t="s">
        <v>370</v>
      </c>
      <c r="F4" s="257" t="s">
        <v>368</v>
      </c>
      <c r="G4" s="258" t="s">
        <v>369</v>
      </c>
      <c r="H4" s="259" t="s">
        <v>370</v>
      </c>
      <c r="I4" s="260" t="s">
        <v>368</v>
      </c>
      <c r="J4" s="261" t="s">
        <v>369</v>
      </c>
      <c r="K4" s="262" t="s">
        <v>370</v>
      </c>
      <c r="L4" s="263" t="s">
        <v>371</v>
      </c>
      <c r="M4" s="264" t="s">
        <v>369</v>
      </c>
      <c r="N4" s="265" t="s">
        <v>370</v>
      </c>
      <c r="O4" s="266" t="s">
        <v>371</v>
      </c>
      <c r="P4" s="258" t="s">
        <v>369</v>
      </c>
      <c r="Q4" s="259" t="s">
        <v>370</v>
      </c>
      <c r="R4" s="267" t="s">
        <v>371</v>
      </c>
      <c r="S4" s="264" t="s">
        <v>369</v>
      </c>
      <c r="T4" s="265" t="s">
        <v>370</v>
      </c>
      <c r="U4" s="268" t="s">
        <v>372</v>
      </c>
      <c r="V4" s="261" t="s">
        <v>369</v>
      </c>
      <c r="W4" s="262" t="s">
        <v>370</v>
      </c>
      <c r="X4" s="268" t="s">
        <v>372</v>
      </c>
      <c r="Y4" s="261" t="s">
        <v>369</v>
      </c>
      <c r="Z4" s="262" t="s">
        <v>370</v>
      </c>
      <c r="AA4" s="269" t="s">
        <v>372</v>
      </c>
      <c r="AB4" s="261" t="s">
        <v>369</v>
      </c>
      <c r="AC4" s="262" t="s">
        <v>370</v>
      </c>
      <c r="AD4" s="268" t="s">
        <v>372</v>
      </c>
      <c r="AE4" s="261" t="s">
        <v>369</v>
      </c>
      <c r="AF4" s="262" t="s">
        <v>370</v>
      </c>
    </row>
    <row r="5" spans="2:32" s="284" customFormat="1" ht="24" customHeight="1" x14ac:dyDescent="0.3">
      <c r="B5" s="271" t="s">
        <v>15</v>
      </c>
      <c r="C5" s="272"/>
      <c r="D5" s="272"/>
      <c r="E5" s="272">
        <f>+D5-C5</f>
        <v>0</v>
      </c>
      <c r="F5" s="273">
        <v>24799750</v>
      </c>
      <c r="G5" s="272">
        <v>26199750</v>
      </c>
      <c r="H5" s="274">
        <f>+G5-F5</f>
        <v>1400000</v>
      </c>
      <c r="I5" s="275"/>
      <c r="J5" s="276">
        <v>838421</v>
      </c>
      <c r="K5" s="273">
        <f>+J5-I5</f>
        <v>838421</v>
      </c>
      <c r="L5" s="277">
        <f>+C5+F5+I5</f>
        <v>24799750</v>
      </c>
      <c r="M5" s="278">
        <f>+D5+G5+J5</f>
        <v>27038171</v>
      </c>
      <c r="N5" s="279">
        <f>+M5-L5</f>
        <v>2238421</v>
      </c>
      <c r="O5" s="273">
        <f>168824233+8400000+5904000+5138334</f>
        <v>188266567</v>
      </c>
      <c r="P5" s="272">
        <v>189952661</v>
      </c>
      <c r="Q5" s="272">
        <f>+P5-O5</f>
        <v>1686094</v>
      </c>
      <c r="R5" s="280">
        <f>+O5+L5</f>
        <v>213066317</v>
      </c>
      <c r="S5" s="280">
        <f>+P5+M5</f>
        <v>216990832</v>
      </c>
      <c r="T5" s="281">
        <f>+S5-R5</f>
        <v>3924515</v>
      </c>
      <c r="U5" s="275">
        <f t="shared" ref="U5:U18" si="0">R5</f>
        <v>213066317</v>
      </c>
      <c r="V5" s="276">
        <f>+S5</f>
        <v>216990832</v>
      </c>
      <c r="W5" s="273">
        <f>+V5-U5</f>
        <v>3924515</v>
      </c>
      <c r="X5" s="282">
        <f>+U5-AA5-AD5</f>
        <v>213066317</v>
      </c>
      <c r="Y5" s="276">
        <f>+V5-AB5-AE5</f>
        <v>215590832</v>
      </c>
      <c r="Z5" s="283">
        <f>+Y5-X5</f>
        <v>2524515</v>
      </c>
      <c r="AA5" s="275">
        <f>AA20+AA21</f>
        <v>0</v>
      </c>
      <c r="AB5" s="276">
        <v>1400000</v>
      </c>
      <c r="AC5" s="273">
        <f>+AB5-AA5</f>
        <v>1400000</v>
      </c>
      <c r="AD5" s="275">
        <f>AD20+AD21</f>
        <v>0</v>
      </c>
      <c r="AE5" s="276"/>
      <c r="AF5" s="273">
        <f>+AE5-AD5</f>
        <v>0</v>
      </c>
    </row>
    <row r="6" spans="2:32" s="284" customFormat="1" ht="13.8" x14ac:dyDescent="0.3">
      <c r="B6" s="285" t="s">
        <v>16</v>
      </c>
      <c r="C6" s="286"/>
      <c r="D6" s="286"/>
      <c r="E6" s="286">
        <f t="shared" ref="E6:E23" si="1">+D6-C6</f>
        <v>0</v>
      </c>
      <c r="F6" s="286"/>
      <c r="G6" s="286">
        <v>0</v>
      </c>
      <c r="H6" s="287">
        <f t="shared" ref="H6:H23" si="2">+G6-F6</f>
        <v>0</v>
      </c>
      <c r="I6" s="288"/>
      <c r="J6" s="289"/>
      <c r="K6" s="286">
        <f t="shared" ref="K6:K23" si="3">+J6-I6</f>
        <v>0</v>
      </c>
      <c r="L6" s="290">
        <f t="shared" ref="L6:M23" si="4">+C6+F6+I6</f>
        <v>0</v>
      </c>
      <c r="M6" s="291">
        <f t="shared" si="4"/>
        <v>0</v>
      </c>
      <c r="N6" s="292">
        <f t="shared" ref="N6:N23" si="5">+M6-L6</f>
        <v>0</v>
      </c>
      <c r="O6" s="286">
        <v>86000000</v>
      </c>
      <c r="P6" s="286">
        <v>86000000</v>
      </c>
      <c r="Q6" s="286">
        <f t="shared" ref="Q6:Q23" si="6">+P6-O6</f>
        <v>0</v>
      </c>
      <c r="R6" s="293">
        <f t="shared" ref="R6:S23" si="7">+O6+L6</f>
        <v>86000000</v>
      </c>
      <c r="S6" s="292">
        <f t="shared" si="7"/>
        <v>86000000</v>
      </c>
      <c r="T6" s="294">
        <f t="shared" ref="T6:T23" si="8">+S6-R6</f>
        <v>0</v>
      </c>
      <c r="U6" s="288">
        <f t="shared" si="0"/>
        <v>86000000</v>
      </c>
      <c r="V6" s="289">
        <f t="shared" ref="V6:V8" si="9">+S6</f>
        <v>86000000</v>
      </c>
      <c r="W6" s="286">
        <f t="shared" ref="W6:W23" si="10">+V6-U6</f>
        <v>0</v>
      </c>
      <c r="X6" s="295">
        <f t="shared" ref="X6:Y8" si="11">+U6-AA6-AD6</f>
        <v>86000000</v>
      </c>
      <c r="Y6" s="289">
        <f t="shared" si="11"/>
        <v>86000000</v>
      </c>
      <c r="Z6" s="287">
        <f t="shared" ref="Z6:Z23" si="12">+Y6-X6</f>
        <v>0</v>
      </c>
      <c r="AA6" s="288"/>
      <c r="AB6" s="289"/>
      <c r="AC6" s="286">
        <f t="shared" ref="AC6:AC23" si="13">+AB6-AA6</f>
        <v>0</v>
      </c>
      <c r="AD6" s="288"/>
      <c r="AE6" s="289"/>
      <c r="AF6" s="286">
        <f t="shared" ref="AF6:AF23" si="14">+AE6-AD6</f>
        <v>0</v>
      </c>
    </row>
    <row r="7" spans="2:32" s="284" customFormat="1" ht="13.8" x14ac:dyDescent="0.3">
      <c r="B7" s="285" t="s">
        <v>17</v>
      </c>
      <c r="C7" s="286"/>
      <c r="D7" s="286"/>
      <c r="E7" s="286">
        <f t="shared" si="1"/>
        <v>0</v>
      </c>
      <c r="F7" s="286">
        <v>604590</v>
      </c>
      <c r="G7" s="286">
        <v>604590</v>
      </c>
      <c r="H7" s="287">
        <f t="shared" si="2"/>
        <v>0</v>
      </c>
      <c r="I7" s="288"/>
      <c r="J7" s="289"/>
      <c r="K7" s="286">
        <f t="shared" si="3"/>
        <v>0</v>
      </c>
      <c r="L7" s="290">
        <f t="shared" si="4"/>
        <v>604590</v>
      </c>
      <c r="M7" s="291">
        <f t="shared" si="4"/>
        <v>604590</v>
      </c>
      <c r="N7" s="292">
        <f t="shared" si="5"/>
        <v>0</v>
      </c>
      <c r="O7" s="286">
        <f>11514618+1310000+480000+5000</f>
        <v>13309618</v>
      </c>
      <c r="P7" s="286">
        <v>18143251</v>
      </c>
      <c r="Q7" s="286">
        <f t="shared" si="6"/>
        <v>4833633</v>
      </c>
      <c r="R7" s="293">
        <f t="shared" si="7"/>
        <v>13914208</v>
      </c>
      <c r="S7" s="292">
        <f t="shared" si="7"/>
        <v>18747841</v>
      </c>
      <c r="T7" s="294">
        <f t="shared" si="8"/>
        <v>4833633</v>
      </c>
      <c r="U7" s="288">
        <f t="shared" si="0"/>
        <v>13914208</v>
      </c>
      <c r="V7" s="289">
        <f t="shared" si="9"/>
        <v>18747841</v>
      </c>
      <c r="W7" s="286">
        <f t="shared" si="10"/>
        <v>4833633</v>
      </c>
      <c r="X7" s="295">
        <f t="shared" si="11"/>
        <v>13914208</v>
      </c>
      <c r="Y7" s="289">
        <f t="shared" si="11"/>
        <v>18747841</v>
      </c>
      <c r="Z7" s="287">
        <f t="shared" si="12"/>
        <v>4833633</v>
      </c>
      <c r="AA7" s="288"/>
      <c r="AB7" s="289"/>
      <c r="AC7" s="286">
        <f t="shared" si="13"/>
        <v>0</v>
      </c>
      <c r="AD7" s="288"/>
      <c r="AE7" s="289"/>
      <c r="AF7" s="286">
        <f t="shared" si="14"/>
        <v>0</v>
      </c>
    </row>
    <row r="8" spans="2:32" s="284" customFormat="1" ht="14.4" thickBot="1" x14ac:dyDescent="0.35">
      <c r="B8" s="296" t="s">
        <v>18</v>
      </c>
      <c r="C8" s="297"/>
      <c r="D8" s="297"/>
      <c r="E8" s="297">
        <f t="shared" si="1"/>
        <v>0</v>
      </c>
      <c r="F8" s="297"/>
      <c r="G8" s="297"/>
      <c r="H8" s="298">
        <f t="shared" si="2"/>
        <v>0</v>
      </c>
      <c r="I8" s="299"/>
      <c r="J8" s="300"/>
      <c r="K8" s="301">
        <f t="shared" si="3"/>
        <v>0</v>
      </c>
      <c r="L8" s="290">
        <f t="shared" si="4"/>
        <v>0</v>
      </c>
      <c r="M8" s="291">
        <f t="shared" si="4"/>
        <v>0</v>
      </c>
      <c r="N8" s="302">
        <f t="shared" si="5"/>
        <v>0</v>
      </c>
      <c r="O8" s="297">
        <v>0</v>
      </c>
      <c r="P8" s="297"/>
      <c r="Q8" s="297">
        <f t="shared" si="6"/>
        <v>0</v>
      </c>
      <c r="R8" s="303">
        <f t="shared" si="7"/>
        <v>0</v>
      </c>
      <c r="S8" s="302">
        <f t="shared" si="7"/>
        <v>0</v>
      </c>
      <c r="T8" s="304">
        <f t="shared" si="8"/>
        <v>0</v>
      </c>
      <c r="U8" s="299">
        <f t="shared" si="0"/>
        <v>0</v>
      </c>
      <c r="V8" s="300">
        <f t="shared" si="9"/>
        <v>0</v>
      </c>
      <c r="W8" s="301">
        <f t="shared" si="10"/>
        <v>0</v>
      </c>
      <c r="X8" s="305">
        <f t="shared" si="11"/>
        <v>0</v>
      </c>
      <c r="Y8" s="300">
        <f t="shared" si="11"/>
        <v>0</v>
      </c>
      <c r="Z8" s="306">
        <f t="shared" si="12"/>
        <v>0</v>
      </c>
      <c r="AA8" s="299"/>
      <c r="AB8" s="300"/>
      <c r="AC8" s="301">
        <f t="shared" si="13"/>
        <v>0</v>
      </c>
      <c r="AD8" s="299"/>
      <c r="AE8" s="300"/>
      <c r="AF8" s="301">
        <f t="shared" si="14"/>
        <v>0</v>
      </c>
    </row>
    <row r="9" spans="2:32" s="316" customFormat="1" ht="14.4" thickBot="1" x14ac:dyDescent="0.35">
      <c r="B9" s="307" t="s">
        <v>19</v>
      </c>
      <c r="C9" s="308">
        <f>C5+C6+C7+C8</f>
        <v>0</v>
      </c>
      <c r="D9" s="308">
        <f>D5+D6+D7+D8</f>
        <v>0</v>
      </c>
      <c r="E9" s="308">
        <f t="shared" si="1"/>
        <v>0</v>
      </c>
      <c r="F9" s="308">
        <f>F5+F6+F7+F8</f>
        <v>25404340</v>
      </c>
      <c r="G9" s="308">
        <f>G5+G6+G7+G8</f>
        <v>26804340</v>
      </c>
      <c r="H9" s="308">
        <f t="shared" si="2"/>
        <v>1400000</v>
      </c>
      <c r="I9" s="309">
        <f>I5+I6+I7+I8</f>
        <v>0</v>
      </c>
      <c r="J9" s="309">
        <f>J5+J6+J7+J8</f>
        <v>838421</v>
      </c>
      <c r="K9" s="309">
        <f t="shared" si="3"/>
        <v>838421</v>
      </c>
      <c r="L9" s="310">
        <f t="shared" si="4"/>
        <v>25404340</v>
      </c>
      <c r="M9" s="310">
        <f t="shared" si="4"/>
        <v>27642761</v>
      </c>
      <c r="N9" s="311">
        <f t="shared" si="5"/>
        <v>2238421</v>
      </c>
      <c r="O9" s="308">
        <f>O5+O6+O7+O8</f>
        <v>287576185</v>
      </c>
      <c r="P9" s="308">
        <f>P5+P6+P7+P8</f>
        <v>294095912</v>
      </c>
      <c r="Q9" s="308">
        <f t="shared" si="6"/>
        <v>6519727</v>
      </c>
      <c r="R9" s="312">
        <f t="shared" si="7"/>
        <v>312980525</v>
      </c>
      <c r="S9" s="311">
        <f t="shared" si="7"/>
        <v>321738673</v>
      </c>
      <c r="T9" s="311">
        <f t="shared" si="8"/>
        <v>8758148</v>
      </c>
      <c r="U9" s="313">
        <f t="shared" si="0"/>
        <v>312980525</v>
      </c>
      <c r="V9" s="309">
        <f>V5+V6+V7+V8</f>
        <v>321738673</v>
      </c>
      <c r="W9" s="309">
        <f t="shared" si="10"/>
        <v>8758148</v>
      </c>
      <c r="X9" s="314">
        <f>X5+X6+X7+X8</f>
        <v>312980525</v>
      </c>
      <c r="Y9" s="309">
        <f>Y5+Y6+Y7+Y8</f>
        <v>320338673</v>
      </c>
      <c r="Z9" s="309">
        <f t="shared" si="12"/>
        <v>7358148</v>
      </c>
      <c r="AA9" s="315">
        <f>AA5+AA6+AA7+AA8</f>
        <v>0</v>
      </c>
      <c r="AB9" s="309">
        <f>AB5+AB6+AB7+AB8</f>
        <v>1400000</v>
      </c>
      <c r="AC9" s="309">
        <f t="shared" si="13"/>
        <v>1400000</v>
      </c>
      <c r="AD9" s="309">
        <f>AD5+AD6+AD7+AD8</f>
        <v>0</v>
      </c>
      <c r="AE9" s="309">
        <f>AE5+AE6+AE7+AE8</f>
        <v>0</v>
      </c>
      <c r="AF9" s="309">
        <f t="shared" si="14"/>
        <v>0</v>
      </c>
    </row>
    <row r="10" spans="2:32" s="284" customFormat="1" ht="13.8" x14ac:dyDescent="0.3">
      <c r="B10" s="271" t="s">
        <v>20</v>
      </c>
      <c r="C10" s="272"/>
      <c r="D10" s="272"/>
      <c r="E10" s="272">
        <f t="shared" si="1"/>
        <v>0</v>
      </c>
      <c r="F10" s="272"/>
      <c r="G10" s="272"/>
      <c r="H10" s="274">
        <f t="shared" si="2"/>
        <v>0</v>
      </c>
      <c r="I10" s="275"/>
      <c r="J10" s="276"/>
      <c r="K10" s="273">
        <f t="shared" si="3"/>
        <v>0</v>
      </c>
      <c r="L10" s="317">
        <f t="shared" si="4"/>
        <v>0</v>
      </c>
      <c r="M10" s="318">
        <f t="shared" si="4"/>
        <v>0</v>
      </c>
      <c r="N10" s="279">
        <f t="shared" si="5"/>
        <v>0</v>
      </c>
      <c r="O10" s="272">
        <v>0</v>
      </c>
      <c r="P10" s="272"/>
      <c r="Q10" s="272">
        <f t="shared" si="6"/>
        <v>0</v>
      </c>
      <c r="R10" s="319">
        <f t="shared" si="7"/>
        <v>0</v>
      </c>
      <c r="S10" s="279">
        <f t="shared" si="7"/>
        <v>0</v>
      </c>
      <c r="T10" s="281">
        <f t="shared" si="8"/>
        <v>0</v>
      </c>
      <c r="U10" s="275">
        <f t="shared" si="0"/>
        <v>0</v>
      </c>
      <c r="V10" s="276">
        <f t="shared" ref="V10:V12" si="15">+S10</f>
        <v>0</v>
      </c>
      <c r="W10" s="273">
        <f t="shared" si="10"/>
        <v>0</v>
      </c>
      <c r="X10" s="282">
        <f t="shared" ref="X10:Y15" si="16">+U10-AA10-AD10</f>
        <v>0</v>
      </c>
      <c r="Y10" s="276">
        <f t="shared" si="16"/>
        <v>0</v>
      </c>
      <c r="Z10" s="283">
        <f t="shared" si="12"/>
        <v>0</v>
      </c>
      <c r="AA10" s="275"/>
      <c r="AB10" s="276"/>
      <c r="AC10" s="273">
        <f t="shared" si="13"/>
        <v>0</v>
      </c>
      <c r="AD10" s="275"/>
      <c r="AE10" s="276"/>
      <c r="AF10" s="273">
        <f t="shared" si="14"/>
        <v>0</v>
      </c>
    </row>
    <row r="11" spans="2:32" s="332" customFormat="1" ht="13.2" x14ac:dyDescent="0.25">
      <c r="B11" s="320" t="s">
        <v>21</v>
      </c>
      <c r="C11" s="321"/>
      <c r="D11" s="321"/>
      <c r="E11" s="321">
        <f t="shared" si="1"/>
        <v>0</v>
      </c>
      <c r="F11" s="321"/>
      <c r="G11" s="321"/>
      <c r="H11" s="322">
        <f t="shared" si="2"/>
        <v>0</v>
      </c>
      <c r="I11" s="323"/>
      <c r="J11" s="324"/>
      <c r="K11" s="325">
        <f t="shared" si="3"/>
        <v>0</v>
      </c>
      <c r="L11" s="326">
        <f t="shared" si="4"/>
        <v>0</v>
      </c>
      <c r="M11" s="327">
        <f t="shared" si="4"/>
        <v>0</v>
      </c>
      <c r="N11" s="328">
        <f t="shared" si="5"/>
        <v>0</v>
      </c>
      <c r="O11" s="321">
        <v>0</v>
      </c>
      <c r="P11" s="321"/>
      <c r="Q11" s="321">
        <f t="shared" si="6"/>
        <v>0</v>
      </c>
      <c r="R11" s="329">
        <f t="shared" si="7"/>
        <v>0</v>
      </c>
      <c r="S11" s="328">
        <f t="shared" si="7"/>
        <v>0</v>
      </c>
      <c r="T11" s="330">
        <f t="shared" si="8"/>
        <v>0</v>
      </c>
      <c r="U11" s="323">
        <f t="shared" si="0"/>
        <v>0</v>
      </c>
      <c r="V11" s="324">
        <f t="shared" si="15"/>
        <v>0</v>
      </c>
      <c r="W11" s="325">
        <f t="shared" si="10"/>
        <v>0</v>
      </c>
      <c r="X11" s="295">
        <f t="shared" si="16"/>
        <v>0</v>
      </c>
      <c r="Y11" s="324">
        <f t="shared" si="16"/>
        <v>0</v>
      </c>
      <c r="Z11" s="331">
        <f t="shared" si="12"/>
        <v>0</v>
      </c>
      <c r="AA11" s="323"/>
      <c r="AB11" s="324"/>
      <c r="AC11" s="325">
        <f t="shared" si="13"/>
        <v>0</v>
      </c>
      <c r="AD11" s="323"/>
      <c r="AE11" s="324"/>
      <c r="AF11" s="325">
        <f t="shared" si="14"/>
        <v>0</v>
      </c>
    </row>
    <row r="12" spans="2:32" s="284" customFormat="1" ht="13.8" x14ac:dyDescent="0.3">
      <c r="B12" s="285" t="s">
        <v>22</v>
      </c>
      <c r="C12" s="286"/>
      <c r="D12" s="286"/>
      <c r="E12" s="286">
        <f t="shared" si="1"/>
        <v>0</v>
      </c>
      <c r="F12" s="286"/>
      <c r="G12" s="286"/>
      <c r="H12" s="287">
        <f t="shared" si="2"/>
        <v>0</v>
      </c>
      <c r="I12" s="288"/>
      <c r="J12" s="289"/>
      <c r="K12" s="286">
        <f t="shared" si="3"/>
        <v>0</v>
      </c>
      <c r="L12" s="317">
        <f t="shared" si="4"/>
        <v>0</v>
      </c>
      <c r="M12" s="318">
        <f t="shared" si="4"/>
        <v>0</v>
      </c>
      <c r="N12" s="292">
        <f t="shared" si="5"/>
        <v>0</v>
      </c>
      <c r="O12" s="286"/>
      <c r="P12" s="286"/>
      <c r="Q12" s="286">
        <f t="shared" si="6"/>
        <v>0</v>
      </c>
      <c r="R12" s="293">
        <f t="shared" si="7"/>
        <v>0</v>
      </c>
      <c r="S12" s="292">
        <f t="shared" si="7"/>
        <v>0</v>
      </c>
      <c r="T12" s="294">
        <f t="shared" si="8"/>
        <v>0</v>
      </c>
      <c r="U12" s="288">
        <f t="shared" si="0"/>
        <v>0</v>
      </c>
      <c r="V12" s="289">
        <f t="shared" si="15"/>
        <v>0</v>
      </c>
      <c r="W12" s="286">
        <f t="shared" si="10"/>
        <v>0</v>
      </c>
      <c r="X12" s="295">
        <f t="shared" si="16"/>
        <v>0</v>
      </c>
      <c r="Y12" s="289">
        <f t="shared" si="16"/>
        <v>0</v>
      </c>
      <c r="Z12" s="287">
        <f t="shared" si="12"/>
        <v>0</v>
      </c>
      <c r="AA12" s="288"/>
      <c r="AB12" s="289"/>
      <c r="AC12" s="286">
        <f t="shared" si="13"/>
        <v>0</v>
      </c>
      <c r="AD12" s="288"/>
      <c r="AE12" s="289"/>
      <c r="AF12" s="286">
        <f t="shared" si="14"/>
        <v>0</v>
      </c>
    </row>
    <row r="13" spans="2:32" s="284" customFormat="1" ht="13.8" x14ac:dyDescent="0.3">
      <c r="B13" s="285" t="s">
        <v>23</v>
      </c>
      <c r="C13" s="286">
        <f>SUM(C14:C15)</f>
        <v>0</v>
      </c>
      <c r="D13" s="286">
        <f>SUM(D14:D15)</f>
        <v>0</v>
      </c>
      <c r="E13" s="286">
        <f t="shared" si="1"/>
        <v>0</v>
      </c>
      <c r="F13" s="286">
        <f>SUM(F14:F15)</f>
        <v>0</v>
      </c>
      <c r="G13" s="286">
        <f>SUM(G14:G15)</f>
        <v>0</v>
      </c>
      <c r="H13" s="287">
        <f t="shared" si="2"/>
        <v>0</v>
      </c>
      <c r="I13" s="288">
        <f>SUM(I14:I15)</f>
        <v>0</v>
      </c>
      <c r="J13" s="289">
        <f>SUM(J14:J15)</f>
        <v>0</v>
      </c>
      <c r="K13" s="286">
        <f t="shared" si="3"/>
        <v>0</v>
      </c>
      <c r="L13" s="290">
        <f t="shared" si="4"/>
        <v>0</v>
      </c>
      <c r="M13" s="291">
        <f t="shared" si="4"/>
        <v>0</v>
      </c>
      <c r="N13" s="292">
        <f t="shared" si="5"/>
        <v>0</v>
      </c>
      <c r="O13" s="286">
        <f>SUM(O14:O15)</f>
        <v>0</v>
      </c>
      <c r="P13" s="286">
        <f>SUM(P14:P15)</f>
        <v>0</v>
      </c>
      <c r="Q13" s="286">
        <f t="shared" si="6"/>
        <v>0</v>
      </c>
      <c r="R13" s="293">
        <f t="shared" si="7"/>
        <v>0</v>
      </c>
      <c r="S13" s="292">
        <f t="shared" si="7"/>
        <v>0</v>
      </c>
      <c r="T13" s="294">
        <f t="shared" si="8"/>
        <v>0</v>
      </c>
      <c r="U13" s="288">
        <f t="shared" si="0"/>
        <v>0</v>
      </c>
      <c r="V13" s="289">
        <f>SUM(V14:V15)</f>
        <v>0</v>
      </c>
      <c r="W13" s="286">
        <f t="shared" si="10"/>
        <v>0</v>
      </c>
      <c r="X13" s="295">
        <f t="shared" si="16"/>
        <v>0</v>
      </c>
      <c r="Y13" s="289">
        <f t="shared" si="16"/>
        <v>0</v>
      </c>
      <c r="Z13" s="287">
        <f t="shared" si="12"/>
        <v>0</v>
      </c>
      <c r="AA13" s="288">
        <f t="shared" ref="AA13" si="17">SUM(AA14:AA15)</f>
        <v>0</v>
      </c>
      <c r="AB13" s="289">
        <f>SUM(AB14:AB15)</f>
        <v>0</v>
      </c>
      <c r="AC13" s="286">
        <f t="shared" si="13"/>
        <v>0</v>
      </c>
      <c r="AD13" s="288">
        <f>SUM(AD14:AD15)</f>
        <v>0</v>
      </c>
      <c r="AE13" s="289">
        <f>SUM(AE14:AE15)</f>
        <v>0</v>
      </c>
      <c r="AF13" s="286">
        <f t="shared" si="14"/>
        <v>0</v>
      </c>
    </row>
    <row r="14" spans="2:32" s="284" customFormat="1" ht="13.8" x14ac:dyDescent="0.3">
      <c r="B14" s="333" t="s">
        <v>24</v>
      </c>
      <c r="C14" s="334"/>
      <c r="D14" s="334"/>
      <c r="E14" s="334">
        <f t="shared" si="1"/>
        <v>0</v>
      </c>
      <c r="F14" s="334"/>
      <c r="G14" s="334"/>
      <c r="H14" s="335">
        <f t="shared" si="2"/>
        <v>0</v>
      </c>
      <c r="I14" s="336"/>
      <c r="J14" s="337"/>
      <c r="K14" s="334">
        <f t="shared" si="3"/>
        <v>0</v>
      </c>
      <c r="L14" s="290">
        <f t="shared" si="4"/>
        <v>0</v>
      </c>
      <c r="M14" s="291">
        <f t="shared" si="4"/>
        <v>0</v>
      </c>
      <c r="N14" s="338">
        <f t="shared" si="5"/>
        <v>0</v>
      </c>
      <c r="O14" s="334"/>
      <c r="P14" s="334"/>
      <c r="Q14" s="334">
        <f t="shared" si="6"/>
        <v>0</v>
      </c>
      <c r="R14" s="293">
        <f t="shared" si="7"/>
        <v>0</v>
      </c>
      <c r="S14" s="338">
        <f t="shared" si="7"/>
        <v>0</v>
      </c>
      <c r="T14" s="339">
        <f t="shared" si="8"/>
        <v>0</v>
      </c>
      <c r="U14" s="336">
        <f t="shared" si="0"/>
        <v>0</v>
      </c>
      <c r="V14" s="337">
        <f t="shared" ref="V14:V15" si="18">+S14</f>
        <v>0</v>
      </c>
      <c r="W14" s="334">
        <f t="shared" si="10"/>
        <v>0</v>
      </c>
      <c r="X14" s="340">
        <f t="shared" si="16"/>
        <v>0</v>
      </c>
      <c r="Y14" s="337">
        <f t="shared" si="16"/>
        <v>0</v>
      </c>
      <c r="Z14" s="335">
        <f t="shared" si="12"/>
        <v>0</v>
      </c>
      <c r="AA14" s="336"/>
      <c r="AB14" s="337"/>
      <c r="AC14" s="334">
        <f t="shared" si="13"/>
        <v>0</v>
      </c>
      <c r="AD14" s="336"/>
      <c r="AE14" s="337"/>
      <c r="AF14" s="334">
        <f t="shared" si="14"/>
        <v>0</v>
      </c>
    </row>
    <row r="15" spans="2:32" s="284" customFormat="1" ht="14.4" thickBot="1" x14ac:dyDescent="0.35">
      <c r="B15" s="333" t="s">
        <v>25</v>
      </c>
      <c r="C15" s="341"/>
      <c r="D15" s="341"/>
      <c r="E15" s="341">
        <f t="shared" si="1"/>
        <v>0</v>
      </c>
      <c r="F15" s="341"/>
      <c r="G15" s="341"/>
      <c r="H15" s="342">
        <f t="shared" si="2"/>
        <v>0</v>
      </c>
      <c r="I15" s="343"/>
      <c r="J15" s="344"/>
      <c r="K15" s="345">
        <f t="shared" si="3"/>
        <v>0</v>
      </c>
      <c r="L15" s="290">
        <f t="shared" si="4"/>
        <v>0</v>
      </c>
      <c r="M15" s="291">
        <f t="shared" si="4"/>
        <v>0</v>
      </c>
      <c r="N15" s="346">
        <f t="shared" si="5"/>
        <v>0</v>
      </c>
      <c r="O15" s="341"/>
      <c r="P15" s="341"/>
      <c r="Q15" s="341">
        <f t="shared" si="6"/>
        <v>0</v>
      </c>
      <c r="R15" s="303">
        <f t="shared" si="7"/>
        <v>0</v>
      </c>
      <c r="S15" s="346">
        <f t="shared" si="7"/>
        <v>0</v>
      </c>
      <c r="T15" s="347">
        <f t="shared" si="8"/>
        <v>0</v>
      </c>
      <c r="U15" s="343">
        <f t="shared" si="0"/>
        <v>0</v>
      </c>
      <c r="V15" s="344">
        <f t="shared" si="18"/>
        <v>0</v>
      </c>
      <c r="W15" s="345">
        <f t="shared" si="10"/>
        <v>0</v>
      </c>
      <c r="X15" s="348">
        <f t="shared" si="16"/>
        <v>0</v>
      </c>
      <c r="Y15" s="344">
        <f t="shared" si="16"/>
        <v>0</v>
      </c>
      <c r="Z15" s="349">
        <f t="shared" si="12"/>
        <v>0</v>
      </c>
      <c r="AA15" s="343"/>
      <c r="AB15" s="344"/>
      <c r="AC15" s="345">
        <f t="shared" si="13"/>
        <v>0</v>
      </c>
      <c r="AD15" s="343"/>
      <c r="AE15" s="344"/>
      <c r="AF15" s="345">
        <f t="shared" si="14"/>
        <v>0</v>
      </c>
    </row>
    <row r="16" spans="2:32" s="316" customFormat="1" ht="14.25" customHeight="1" thickBot="1" x14ac:dyDescent="0.35">
      <c r="B16" s="307" t="s">
        <v>26</v>
      </c>
      <c r="C16" s="308">
        <f>C13+C12+C10</f>
        <v>0</v>
      </c>
      <c r="D16" s="308">
        <f>D13+D12+D10</f>
        <v>0</v>
      </c>
      <c r="E16" s="308">
        <f t="shared" si="1"/>
        <v>0</v>
      </c>
      <c r="F16" s="308">
        <f>F13+F12+F10</f>
        <v>0</v>
      </c>
      <c r="G16" s="308">
        <f>G13+G12+G10</f>
        <v>0</v>
      </c>
      <c r="H16" s="308">
        <f t="shared" si="2"/>
        <v>0</v>
      </c>
      <c r="I16" s="350">
        <f>I13+I12+I10</f>
        <v>0</v>
      </c>
      <c r="J16" s="350">
        <f>J13+J12+J10</f>
        <v>0</v>
      </c>
      <c r="K16" s="350">
        <f t="shared" si="3"/>
        <v>0</v>
      </c>
      <c r="L16" s="310">
        <f t="shared" si="4"/>
        <v>0</v>
      </c>
      <c r="M16" s="310">
        <f t="shared" si="4"/>
        <v>0</v>
      </c>
      <c r="N16" s="311">
        <f t="shared" si="5"/>
        <v>0</v>
      </c>
      <c r="O16" s="308">
        <f>O13+O12+O10</f>
        <v>0</v>
      </c>
      <c r="P16" s="308">
        <f>P13+P12+P10</f>
        <v>0</v>
      </c>
      <c r="Q16" s="308">
        <f t="shared" si="6"/>
        <v>0</v>
      </c>
      <c r="R16" s="312">
        <f t="shared" si="7"/>
        <v>0</v>
      </c>
      <c r="S16" s="311">
        <f t="shared" si="7"/>
        <v>0</v>
      </c>
      <c r="T16" s="311">
        <f t="shared" si="8"/>
        <v>0</v>
      </c>
      <c r="U16" s="351">
        <f t="shared" si="0"/>
        <v>0</v>
      </c>
      <c r="V16" s="350">
        <f>V13+V12+V10</f>
        <v>0</v>
      </c>
      <c r="W16" s="350">
        <f t="shared" si="10"/>
        <v>0</v>
      </c>
      <c r="X16" s="352">
        <f>X13+X12+X10</f>
        <v>0</v>
      </c>
      <c r="Y16" s="350">
        <f>Y13+Y12+Y10</f>
        <v>0</v>
      </c>
      <c r="Z16" s="350">
        <f t="shared" si="12"/>
        <v>0</v>
      </c>
      <c r="AA16" s="353">
        <f>AA13+AA12+AA10</f>
        <v>0</v>
      </c>
      <c r="AB16" s="350">
        <f>AB13+AB12+AB10</f>
        <v>0</v>
      </c>
      <c r="AC16" s="350">
        <f t="shared" si="13"/>
        <v>0</v>
      </c>
      <c r="AD16" s="350">
        <f>AD13+AD12+AD10</f>
        <v>0</v>
      </c>
      <c r="AE16" s="350">
        <f>AE13+AE12+AE10</f>
        <v>0</v>
      </c>
      <c r="AF16" s="350">
        <f t="shared" si="14"/>
        <v>0</v>
      </c>
    </row>
    <row r="17" spans="2:32" s="316" customFormat="1" ht="15.75" customHeight="1" thickBot="1" x14ac:dyDescent="0.35">
      <c r="B17" s="354" t="s">
        <v>27</v>
      </c>
      <c r="C17" s="355">
        <f>C16+C9</f>
        <v>0</v>
      </c>
      <c r="D17" s="355">
        <f>D16+D9</f>
        <v>0</v>
      </c>
      <c r="E17" s="355">
        <f t="shared" si="1"/>
        <v>0</v>
      </c>
      <c r="F17" s="355">
        <f>F16+F9</f>
        <v>25404340</v>
      </c>
      <c r="G17" s="355">
        <f>G16+G9</f>
        <v>26804340</v>
      </c>
      <c r="H17" s="355">
        <f t="shared" si="2"/>
        <v>1400000</v>
      </c>
      <c r="I17" s="355">
        <f>I16+I9</f>
        <v>0</v>
      </c>
      <c r="J17" s="355">
        <f>J16+J9</f>
        <v>838421</v>
      </c>
      <c r="K17" s="355">
        <f t="shared" si="3"/>
        <v>838421</v>
      </c>
      <c r="L17" s="356">
        <f t="shared" si="4"/>
        <v>25404340</v>
      </c>
      <c r="M17" s="356">
        <f t="shared" si="4"/>
        <v>27642761</v>
      </c>
      <c r="N17" s="357">
        <f t="shared" si="5"/>
        <v>2238421</v>
      </c>
      <c r="O17" s="355">
        <f>O16+O9</f>
        <v>287576185</v>
      </c>
      <c r="P17" s="355">
        <f>P16+P9</f>
        <v>294095912</v>
      </c>
      <c r="Q17" s="355">
        <f t="shared" si="6"/>
        <v>6519727</v>
      </c>
      <c r="R17" s="358">
        <f t="shared" si="7"/>
        <v>312980525</v>
      </c>
      <c r="S17" s="357">
        <f t="shared" si="7"/>
        <v>321738673</v>
      </c>
      <c r="T17" s="357">
        <f t="shared" si="8"/>
        <v>8758148</v>
      </c>
      <c r="U17" s="359">
        <f t="shared" si="0"/>
        <v>312980525</v>
      </c>
      <c r="V17" s="355">
        <f>V16+V9</f>
        <v>321738673</v>
      </c>
      <c r="W17" s="355">
        <f t="shared" si="10"/>
        <v>8758148</v>
      </c>
      <c r="X17" s="360">
        <f>X16+X9</f>
        <v>312980525</v>
      </c>
      <c r="Y17" s="355">
        <f>Y16+Y9</f>
        <v>320338673</v>
      </c>
      <c r="Z17" s="355">
        <f t="shared" si="12"/>
        <v>7358148</v>
      </c>
      <c r="AA17" s="361">
        <f>AA16+AA9</f>
        <v>0</v>
      </c>
      <c r="AB17" s="355">
        <f>AB16+AB9</f>
        <v>1400000</v>
      </c>
      <c r="AC17" s="355">
        <f t="shared" si="13"/>
        <v>1400000</v>
      </c>
      <c r="AD17" s="355">
        <f>AD16+AD9</f>
        <v>0</v>
      </c>
      <c r="AE17" s="355">
        <f>AE16+AE9</f>
        <v>0</v>
      </c>
      <c r="AF17" s="355">
        <f t="shared" si="14"/>
        <v>0</v>
      </c>
    </row>
    <row r="18" spans="2:32" s="284" customFormat="1" ht="14.4" thickBot="1" x14ac:dyDescent="0.35">
      <c r="B18" s="362" t="s">
        <v>28</v>
      </c>
      <c r="C18" s="273">
        <v>1872311</v>
      </c>
      <c r="D18" s="273">
        <v>1872311</v>
      </c>
      <c r="E18" s="273">
        <f t="shared" si="1"/>
        <v>0</v>
      </c>
      <c r="F18" s="273">
        <v>1054022</v>
      </c>
      <c r="G18" s="273">
        <v>1054022</v>
      </c>
      <c r="H18" s="273">
        <f t="shared" si="2"/>
        <v>0</v>
      </c>
      <c r="I18" s="363">
        <v>4869122</v>
      </c>
      <c r="J18" s="363">
        <v>4869122</v>
      </c>
      <c r="K18" s="363">
        <f t="shared" si="3"/>
        <v>0</v>
      </c>
      <c r="L18" s="278">
        <f t="shared" si="4"/>
        <v>7795455</v>
      </c>
      <c r="M18" s="278">
        <f t="shared" si="4"/>
        <v>7795455</v>
      </c>
      <c r="N18" s="364">
        <f t="shared" si="5"/>
        <v>0</v>
      </c>
      <c r="O18" s="273">
        <v>710000000</v>
      </c>
      <c r="P18" s="273">
        <v>726463198</v>
      </c>
      <c r="Q18" s="273">
        <f t="shared" si="6"/>
        <v>16463198</v>
      </c>
      <c r="R18" s="280">
        <f t="shared" si="7"/>
        <v>717795455</v>
      </c>
      <c r="S18" s="364">
        <f t="shared" si="7"/>
        <v>734258653</v>
      </c>
      <c r="T18" s="364">
        <f t="shared" si="8"/>
        <v>16463198</v>
      </c>
      <c r="U18" s="365">
        <f t="shared" si="0"/>
        <v>717795455</v>
      </c>
      <c r="V18" s="363">
        <f>+S18</f>
        <v>734258653</v>
      </c>
      <c r="W18" s="363">
        <f t="shared" si="10"/>
        <v>16463198</v>
      </c>
      <c r="X18" s="275">
        <f>+U18-AA18-AD18</f>
        <v>717795455</v>
      </c>
      <c r="Y18" s="273">
        <f>+V18-AB18-AE18</f>
        <v>734258653</v>
      </c>
      <c r="Z18" s="273">
        <f t="shared" si="12"/>
        <v>16463198</v>
      </c>
      <c r="AA18" s="366"/>
      <c r="AB18" s="363"/>
      <c r="AC18" s="363">
        <f t="shared" si="13"/>
        <v>0</v>
      </c>
      <c r="AD18" s="363"/>
      <c r="AE18" s="363"/>
      <c r="AF18" s="363">
        <f t="shared" si="14"/>
        <v>0</v>
      </c>
    </row>
    <row r="19" spans="2:32" s="284" customFormat="1" ht="13.8" x14ac:dyDescent="0.3">
      <c r="B19" s="271" t="s">
        <v>29</v>
      </c>
      <c r="C19" s="273">
        <f>SUM(C20:C21)</f>
        <v>12472774</v>
      </c>
      <c r="D19" s="273">
        <f>SUM(D20:D21)</f>
        <v>13212274</v>
      </c>
      <c r="E19" s="273">
        <f t="shared" si="1"/>
        <v>739500</v>
      </c>
      <c r="F19" s="273">
        <f>SUM(F20:F21)</f>
        <v>17585730</v>
      </c>
      <c r="G19" s="273">
        <f>SUM(G20:G21)</f>
        <v>18805273</v>
      </c>
      <c r="H19" s="283">
        <f t="shared" si="2"/>
        <v>1219543</v>
      </c>
      <c r="I19" s="275">
        <f>SUM(I20:I21)</f>
        <v>42527843</v>
      </c>
      <c r="J19" s="275">
        <f>SUM(J20:J21)</f>
        <v>42527843</v>
      </c>
      <c r="K19" s="273">
        <f t="shared" si="3"/>
        <v>0</v>
      </c>
      <c r="L19" s="277">
        <f t="shared" si="4"/>
        <v>72586347</v>
      </c>
      <c r="M19" s="278">
        <f t="shared" si="4"/>
        <v>74545390</v>
      </c>
      <c r="N19" s="364">
        <f t="shared" si="5"/>
        <v>1959043</v>
      </c>
      <c r="O19" s="273"/>
      <c r="P19" s="273">
        <f>SUM(P20:P21)</f>
        <v>0</v>
      </c>
      <c r="Q19" s="273">
        <f t="shared" si="6"/>
        <v>0</v>
      </c>
      <c r="R19" s="280">
        <f t="shared" si="7"/>
        <v>72586347</v>
      </c>
      <c r="S19" s="364">
        <f t="shared" si="7"/>
        <v>74545390</v>
      </c>
      <c r="T19" s="367">
        <f t="shared" si="8"/>
        <v>1959043</v>
      </c>
      <c r="U19" s="275">
        <f>R19-L19</f>
        <v>0</v>
      </c>
      <c r="V19" s="276">
        <f>SUM(V20:V21)</f>
        <v>0</v>
      </c>
      <c r="W19" s="273">
        <f t="shared" si="10"/>
        <v>0</v>
      </c>
      <c r="X19" s="282">
        <f>+U19-AA19-AD19</f>
        <v>0</v>
      </c>
      <c r="Y19" s="273">
        <f>+V19-AB19-AE19</f>
        <v>0</v>
      </c>
      <c r="Z19" s="283">
        <f t="shared" si="12"/>
        <v>0</v>
      </c>
      <c r="AA19" s="275"/>
      <c r="AB19" s="276">
        <f>SUM(AB20:AB21)</f>
        <v>0</v>
      </c>
      <c r="AC19" s="273">
        <f t="shared" si="13"/>
        <v>0</v>
      </c>
      <c r="AD19" s="275"/>
      <c r="AE19" s="276">
        <f>SUM(AE20:AE21)</f>
        <v>0</v>
      </c>
      <c r="AF19" s="273">
        <f t="shared" si="14"/>
        <v>0</v>
      </c>
    </row>
    <row r="20" spans="2:32" s="284" customFormat="1" ht="13.8" x14ac:dyDescent="0.3">
      <c r="B20" s="368" t="s">
        <v>118</v>
      </c>
      <c r="C20" s="369">
        <v>11358960</v>
      </c>
      <c r="D20" s="369">
        <f>13212274-D21</f>
        <v>12098460</v>
      </c>
      <c r="E20" s="369">
        <f t="shared" si="1"/>
        <v>739500</v>
      </c>
      <c r="F20" s="334">
        <v>3253690</v>
      </c>
      <c r="G20" s="369">
        <f>18805273-G21</f>
        <v>4193233</v>
      </c>
      <c r="H20" s="370">
        <f t="shared" si="2"/>
        <v>939543</v>
      </c>
      <c r="I20" s="336">
        <v>39704400</v>
      </c>
      <c r="J20" s="336">
        <v>39704400</v>
      </c>
      <c r="K20" s="369">
        <f t="shared" si="3"/>
        <v>0</v>
      </c>
      <c r="L20" s="290">
        <f t="shared" si="4"/>
        <v>54317050</v>
      </c>
      <c r="M20" s="291">
        <f t="shared" si="4"/>
        <v>55996093</v>
      </c>
      <c r="N20" s="371">
        <f t="shared" si="5"/>
        <v>1679043</v>
      </c>
      <c r="O20" s="334"/>
      <c r="P20" s="369"/>
      <c r="Q20" s="369">
        <f t="shared" si="6"/>
        <v>0</v>
      </c>
      <c r="R20" s="293">
        <f t="shared" si="7"/>
        <v>54317050</v>
      </c>
      <c r="S20" s="293">
        <f t="shared" si="7"/>
        <v>55996093</v>
      </c>
      <c r="T20" s="372">
        <f t="shared" si="8"/>
        <v>1679043</v>
      </c>
      <c r="U20" s="336"/>
      <c r="V20" s="373">
        <v>0</v>
      </c>
      <c r="W20" s="369">
        <f t="shared" si="10"/>
        <v>0</v>
      </c>
      <c r="X20" s="340">
        <f t="shared" ref="X20:Y21" si="19">+U20-AA20-AD20</f>
        <v>0</v>
      </c>
      <c r="Y20" s="369">
        <f t="shared" si="19"/>
        <v>0</v>
      </c>
      <c r="Z20" s="370">
        <f t="shared" si="12"/>
        <v>0</v>
      </c>
      <c r="AA20" s="336"/>
      <c r="AB20" s="373"/>
      <c r="AC20" s="369">
        <f t="shared" si="13"/>
        <v>0</v>
      </c>
      <c r="AD20" s="336"/>
      <c r="AE20" s="373"/>
      <c r="AF20" s="369">
        <f t="shared" si="14"/>
        <v>0</v>
      </c>
    </row>
    <row r="21" spans="2:32" s="284" customFormat="1" ht="14.4" thickBot="1" x14ac:dyDescent="0.35">
      <c r="B21" s="374" t="s">
        <v>119</v>
      </c>
      <c r="C21" s="375">
        <v>1113814</v>
      </c>
      <c r="D21" s="375">
        <v>1113814</v>
      </c>
      <c r="E21" s="375">
        <f t="shared" si="1"/>
        <v>0</v>
      </c>
      <c r="F21" s="345">
        <v>14332040</v>
      </c>
      <c r="G21" s="375">
        <f>14332040+280000</f>
        <v>14612040</v>
      </c>
      <c r="H21" s="376">
        <f t="shared" si="2"/>
        <v>280000</v>
      </c>
      <c r="I21" s="343">
        <v>2823443</v>
      </c>
      <c r="J21" s="343">
        <v>2823443</v>
      </c>
      <c r="K21" s="375">
        <f t="shared" si="3"/>
        <v>0</v>
      </c>
      <c r="L21" s="377">
        <f t="shared" si="4"/>
        <v>18269297</v>
      </c>
      <c r="M21" s="378">
        <f t="shared" si="4"/>
        <v>18549297</v>
      </c>
      <c r="N21" s="379">
        <f t="shared" si="5"/>
        <v>280000</v>
      </c>
      <c r="O21" s="345"/>
      <c r="P21" s="375"/>
      <c r="Q21" s="375">
        <f t="shared" si="6"/>
        <v>0</v>
      </c>
      <c r="R21" s="380">
        <f t="shared" si="7"/>
        <v>18269297</v>
      </c>
      <c r="S21" s="380">
        <f t="shared" si="7"/>
        <v>18549297</v>
      </c>
      <c r="T21" s="381">
        <f t="shared" si="8"/>
        <v>280000</v>
      </c>
      <c r="U21" s="343"/>
      <c r="V21" s="382">
        <v>0</v>
      </c>
      <c r="W21" s="375">
        <f t="shared" si="10"/>
        <v>0</v>
      </c>
      <c r="X21" s="348">
        <f t="shared" si="19"/>
        <v>0</v>
      </c>
      <c r="Y21" s="375">
        <f t="shared" si="19"/>
        <v>0</v>
      </c>
      <c r="Z21" s="376">
        <f t="shared" si="12"/>
        <v>0</v>
      </c>
      <c r="AA21" s="343"/>
      <c r="AB21" s="382"/>
      <c r="AC21" s="375">
        <f t="shared" si="13"/>
        <v>0</v>
      </c>
      <c r="AD21" s="343"/>
      <c r="AE21" s="382"/>
      <c r="AF21" s="375">
        <f t="shared" si="14"/>
        <v>0</v>
      </c>
    </row>
    <row r="22" spans="2:32" s="316" customFormat="1" ht="15.75" customHeight="1" thickBot="1" x14ac:dyDescent="0.35">
      <c r="B22" s="307" t="s">
        <v>30</v>
      </c>
      <c r="C22" s="308">
        <f>SUM(C18+C19)</f>
        <v>14345085</v>
      </c>
      <c r="D22" s="308">
        <f>SUM(D18+D19)</f>
        <v>15084585</v>
      </c>
      <c r="E22" s="308">
        <f t="shared" si="1"/>
        <v>739500</v>
      </c>
      <c r="F22" s="308">
        <f>SUM(F18+F19)</f>
        <v>18639752</v>
      </c>
      <c r="G22" s="308">
        <f>SUM(G18+G19)</f>
        <v>19859295</v>
      </c>
      <c r="H22" s="308">
        <f t="shared" si="2"/>
        <v>1219543</v>
      </c>
      <c r="I22" s="350">
        <f>SUM(I18+I19)</f>
        <v>47396965</v>
      </c>
      <c r="J22" s="350">
        <f>SUM(J18+J19)</f>
        <v>47396965</v>
      </c>
      <c r="K22" s="350">
        <f t="shared" si="3"/>
        <v>0</v>
      </c>
      <c r="L22" s="310">
        <f t="shared" si="4"/>
        <v>80381802</v>
      </c>
      <c r="M22" s="310">
        <f t="shared" si="4"/>
        <v>82340845</v>
      </c>
      <c r="N22" s="311">
        <f t="shared" si="5"/>
        <v>1959043</v>
      </c>
      <c r="O22" s="308">
        <f>SUM(O18)</f>
        <v>710000000</v>
      </c>
      <c r="P22" s="308">
        <f>SUM(P18+P19)</f>
        <v>726463198</v>
      </c>
      <c r="Q22" s="308">
        <f t="shared" si="6"/>
        <v>16463198</v>
      </c>
      <c r="R22" s="312">
        <f t="shared" si="7"/>
        <v>790381802</v>
      </c>
      <c r="S22" s="311">
        <f t="shared" si="7"/>
        <v>808804043</v>
      </c>
      <c r="T22" s="311">
        <f t="shared" si="8"/>
        <v>18422241</v>
      </c>
      <c r="U22" s="351">
        <f>SUM(U18)</f>
        <v>717795455</v>
      </c>
      <c r="V22" s="350">
        <f>SUM(V18+V19)</f>
        <v>734258653</v>
      </c>
      <c r="W22" s="350">
        <f t="shared" si="10"/>
        <v>16463198</v>
      </c>
      <c r="X22" s="383">
        <f>SUM(X18)</f>
        <v>717795455</v>
      </c>
      <c r="Y22" s="308">
        <f>SUM(Y18+Y19)</f>
        <v>734258653</v>
      </c>
      <c r="Z22" s="308">
        <f t="shared" si="12"/>
        <v>16463198</v>
      </c>
      <c r="AA22" s="353"/>
      <c r="AB22" s="350">
        <f>SUM(AB18+AB19)</f>
        <v>0</v>
      </c>
      <c r="AC22" s="350">
        <f t="shared" si="13"/>
        <v>0</v>
      </c>
      <c r="AD22" s="350"/>
      <c r="AE22" s="350">
        <f>SUM(AE18+AE19)</f>
        <v>0</v>
      </c>
      <c r="AF22" s="350">
        <f t="shared" si="14"/>
        <v>0</v>
      </c>
    </row>
    <row r="23" spans="2:32" s="316" customFormat="1" ht="15.75" customHeight="1" thickBot="1" x14ac:dyDescent="0.35">
      <c r="B23" s="384" t="s">
        <v>31</v>
      </c>
      <c r="C23" s="350">
        <f>C9+C16+C22</f>
        <v>14345085</v>
      </c>
      <c r="D23" s="350">
        <f>D9+D16+D22</f>
        <v>15084585</v>
      </c>
      <c r="E23" s="350">
        <f t="shared" si="1"/>
        <v>739500</v>
      </c>
      <c r="F23" s="350">
        <f>F9+F16+F22</f>
        <v>44044092</v>
      </c>
      <c r="G23" s="350">
        <f>G9+G16+G22</f>
        <v>46663635</v>
      </c>
      <c r="H23" s="350">
        <f t="shared" si="2"/>
        <v>2619543</v>
      </c>
      <c r="I23" s="350">
        <f>I9+I16+I22</f>
        <v>47396965</v>
      </c>
      <c r="J23" s="350">
        <f>J9+J16+J22</f>
        <v>48235386</v>
      </c>
      <c r="K23" s="350">
        <f t="shared" si="3"/>
        <v>838421</v>
      </c>
      <c r="L23" s="385">
        <f t="shared" si="4"/>
        <v>105786142</v>
      </c>
      <c r="M23" s="385">
        <f t="shared" si="4"/>
        <v>109983606</v>
      </c>
      <c r="N23" s="386">
        <f t="shared" si="5"/>
        <v>4197464</v>
      </c>
      <c r="O23" s="350">
        <f>O9+O16+O18</f>
        <v>997576185</v>
      </c>
      <c r="P23" s="350">
        <f>P9+P16+P22</f>
        <v>1020559110</v>
      </c>
      <c r="Q23" s="350">
        <f t="shared" si="6"/>
        <v>22982925</v>
      </c>
      <c r="R23" s="387">
        <f t="shared" si="7"/>
        <v>1103362327</v>
      </c>
      <c r="S23" s="386">
        <f t="shared" si="7"/>
        <v>1130542716</v>
      </c>
      <c r="T23" s="386">
        <f t="shared" si="8"/>
        <v>27180389</v>
      </c>
      <c r="U23" s="351">
        <f>U9+U16+U18</f>
        <v>1030775980</v>
      </c>
      <c r="V23" s="350">
        <f>V9+V16+V22</f>
        <v>1055997326</v>
      </c>
      <c r="W23" s="350">
        <f t="shared" si="10"/>
        <v>25221346</v>
      </c>
      <c r="X23" s="351">
        <f>X9+X16+X18</f>
        <v>1030775980</v>
      </c>
      <c r="Y23" s="350">
        <f>Y9+Y16+Y22</f>
        <v>1054597326</v>
      </c>
      <c r="Z23" s="350">
        <f t="shared" si="12"/>
        <v>23821346</v>
      </c>
      <c r="AA23" s="353"/>
      <c r="AB23" s="350">
        <f>AB9+AB16+AB22</f>
        <v>1400000</v>
      </c>
      <c r="AC23" s="350">
        <f t="shared" si="13"/>
        <v>1400000</v>
      </c>
      <c r="AD23" s="350"/>
      <c r="AE23" s="350">
        <f>AE9+AE16+AE22</f>
        <v>0</v>
      </c>
      <c r="AF23" s="350">
        <f t="shared" si="14"/>
        <v>0</v>
      </c>
    </row>
    <row r="24" spans="2:32" s="284" customFormat="1" ht="14.4" thickBot="1" x14ac:dyDescent="0.35">
      <c r="L24" s="388"/>
      <c r="R24" s="1"/>
    </row>
    <row r="25" spans="2:32" s="284" customFormat="1" ht="48.75" customHeight="1" thickBot="1" x14ac:dyDescent="0.35">
      <c r="B25" s="389" t="s">
        <v>32</v>
      </c>
      <c r="C25" s="767" t="s">
        <v>331</v>
      </c>
      <c r="D25" s="683"/>
      <c r="E25" s="683"/>
      <c r="F25" s="768" t="s">
        <v>6</v>
      </c>
      <c r="G25" s="769"/>
      <c r="H25" s="770"/>
      <c r="I25" s="758" t="s">
        <v>7</v>
      </c>
      <c r="J25" s="759"/>
      <c r="K25" s="771"/>
      <c r="L25" s="772" t="s">
        <v>8</v>
      </c>
      <c r="M25" s="773"/>
      <c r="N25" s="774"/>
      <c r="O25" s="775" t="s">
        <v>9</v>
      </c>
      <c r="P25" s="759"/>
      <c r="Q25" s="763"/>
      <c r="R25" s="776" t="s">
        <v>10</v>
      </c>
      <c r="S25" s="777"/>
      <c r="T25" s="778"/>
      <c r="U25" s="758" t="s">
        <v>11</v>
      </c>
      <c r="V25" s="759"/>
      <c r="W25" s="759"/>
      <c r="X25" s="390" t="s">
        <v>12</v>
      </c>
      <c r="Y25" s="391"/>
      <c r="Z25" s="392"/>
      <c r="AA25" s="760" t="s">
        <v>13</v>
      </c>
      <c r="AB25" s="761"/>
      <c r="AC25" s="762"/>
      <c r="AD25" s="760" t="s">
        <v>14</v>
      </c>
      <c r="AE25" s="761"/>
      <c r="AF25" s="762"/>
    </row>
    <row r="26" spans="2:32" s="403" customFormat="1" ht="28.2" thickBot="1" x14ac:dyDescent="0.35">
      <c r="B26" s="389"/>
      <c r="C26" s="257" t="s">
        <v>368</v>
      </c>
      <c r="D26" s="258" t="s">
        <v>369</v>
      </c>
      <c r="E26" s="393" t="s">
        <v>370</v>
      </c>
      <c r="F26" s="394" t="s">
        <v>368</v>
      </c>
      <c r="G26" s="395" t="s">
        <v>369</v>
      </c>
      <c r="H26" s="396" t="s">
        <v>370</v>
      </c>
      <c r="I26" s="260" t="s">
        <v>368</v>
      </c>
      <c r="J26" s="397" t="s">
        <v>369</v>
      </c>
      <c r="K26" s="398" t="s">
        <v>370</v>
      </c>
      <c r="L26" s="399" t="s">
        <v>371</v>
      </c>
      <c r="M26" s="264" t="s">
        <v>369</v>
      </c>
      <c r="N26" s="265" t="s">
        <v>370</v>
      </c>
      <c r="O26" s="400" t="s">
        <v>371</v>
      </c>
      <c r="P26" s="258" t="s">
        <v>369</v>
      </c>
      <c r="Q26" s="259" t="s">
        <v>370</v>
      </c>
      <c r="R26" s="401" t="s">
        <v>371</v>
      </c>
      <c r="S26" s="264" t="s">
        <v>369</v>
      </c>
      <c r="T26" s="265" t="s">
        <v>370</v>
      </c>
      <c r="U26" s="400" t="s">
        <v>372</v>
      </c>
      <c r="V26" s="258" t="s">
        <v>369</v>
      </c>
      <c r="W26" s="393" t="s">
        <v>370</v>
      </c>
      <c r="X26" s="402" t="s">
        <v>372</v>
      </c>
      <c r="Y26" s="395" t="s">
        <v>369</v>
      </c>
      <c r="Z26" s="396" t="s">
        <v>370</v>
      </c>
      <c r="AA26" s="402" t="s">
        <v>372</v>
      </c>
      <c r="AB26" s="395" t="s">
        <v>369</v>
      </c>
      <c r="AC26" s="396" t="s">
        <v>370</v>
      </c>
      <c r="AD26" s="402" t="s">
        <v>372</v>
      </c>
      <c r="AE26" s="395" t="s">
        <v>369</v>
      </c>
      <c r="AF26" s="396" t="s">
        <v>370</v>
      </c>
    </row>
    <row r="27" spans="2:32" s="284" customFormat="1" ht="13.8" x14ac:dyDescent="0.3">
      <c r="B27" s="271" t="s">
        <v>33</v>
      </c>
      <c r="C27" s="272">
        <v>10413000</v>
      </c>
      <c r="D27" s="272">
        <v>11031832</v>
      </c>
      <c r="E27" s="272">
        <f t="shared" ref="E27:E46" si="20">+D27-C27</f>
        <v>618832</v>
      </c>
      <c r="F27" s="272">
        <v>12459260</v>
      </c>
      <c r="G27" s="272">
        <v>13040260</v>
      </c>
      <c r="H27" s="274">
        <f t="shared" ref="H27:H46" si="21">+G27-F27</f>
        <v>581000</v>
      </c>
      <c r="I27" s="275">
        <v>33888000</v>
      </c>
      <c r="J27" s="276">
        <v>34500600</v>
      </c>
      <c r="K27" s="273">
        <f t="shared" ref="K27:K46" si="22">+J27-I27</f>
        <v>612600</v>
      </c>
      <c r="L27" s="317">
        <f t="shared" ref="L27:M46" si="23">+C27+F27+I27</f>
        <v>56760260</v>
      </c>
      <c r="M27" s="279">
        <f t="shared" si="23"/>
        <v>58572692</v>
      </c>
      <c r="N27" s="279">
        <f t="shared" ref="N27:N46" si="24">+M27-L27</f>
        <v>1812432</v>
      </c>
      <c r="O27" s="272">
        <v>35137600</v>
      </c>
      <c r="P27" s="272">
        <v>35287600</v>
      </c>
      <c r="Q27" s="272">
        <f t="shared" ref="Q27:Q46" si="25">+P27-O27</f>
        <v>150000</v>
      </c>
      <c r="R27" s="319">
        <f t="shared" ref="R27:S46" si="26">+O27+L27</f>
        <v>91897860</v>
      </c>
      <c r="S27" s="279">
        <f t="shared" si="26"/>
        <v>93860292</v>
      </c>
      <c r="T27" s="279">
        <f t="shared" ref="T27:T46" si="27">+S27-R27</f>
        <v>1962432</v>
      </c>
      <c r="U27" s="272">
        <f>R27</f>
        <v>91897860</v>
      </c>
      <c r="V27" s="272">
        <f t="shared" ref="V27:V30" si="28">+S27</f>
        <v>93860292</v>
      </c>
      <c r="W27" s="274">
        <f t="shared" ref="W27:W46" si="29">+V27-U27</f>
        <v>1962432</v>
      </c>
      <c r="X27" s="275">
        <f t="shared" ref="X27:Y35" si="30">+U27-AA27-AD27</f>
        <v>91897860</v>
      </c>
      <c r="Y27" s="276">
        <f t="shared" si="30"/>
        <v>93860292</v>
      </c>
      <c r="Z27" s="273">
        <f t="shared" ref="Z27:Z46" si="31">+Y27-X27</f>
        <v>1962432</v>
      </c>
      <c r="AA27" s="275"/>
      <c r="AB27" s="276"/>
      <c r="AC27" s="273">
        <f t="shared" ref="AC27:AC46" si="32">+AB27-AA27</f>
        <v>0</v>
      </c>
      <c r="AD27" s="275"/>
      <c r="AE27" s="276"/>
      <c r="AF27" s="273">
        <f t="shared" ref="AF27:AF46" si="33">+AE27-AD27</f>
        <v>0</v>
      </c>
    </row>
    <row r="28" spans="2:32" s="284" customFormat="1" ht="13.8" x14ac:dyDescent="0.3">
      <c r="B28" s="285" t="s">
        <v>34</v>
      </c>
      <c r="C28" s="286">
        <v>2044725</v>
      </c>
      <c r="D28" s="286">
        <v>2165393</v>
      </c>
      <c r="E28" s="286">
        <f t="shared" si="20"/>
        <v>120668</v>
      </c>
      <c r="F28" s="286">
        <v>2456556</v>
      </c>
      <c r="G28" s="286">
        <v>2560099</v>
      </c>
      <c r="H28" s="287">
        <f t="shared" si="21"/>
        <v>103543</v>
      </c>
      <c r="I28" s="288">
        <v>6748965</v>
      </c>
      <c r="J28" s="289">
        <v>6871114</v>
      </c>
      <c r="K28" s="286">
        <f t="shared" si="22"/>
        <v>122149</v>
      </c>
      <c r="L28" s="317">
        <f t="shared" si="23"/>
        <v>11250246</v>
      </c>
      <c r="M28" s="292">
        <f t="shared" si="23"/>
        <v>11596606</v>
      </c>
      <c r="N28" s="292">
        <f t="shared" si="24"/>
        <v>346360</v>
      </c>
      <c r="O28" s="286">
        <v>7187937</v>
      </c>
      <c r="P28" s="286">
        <v>7187937</v>
      </c>
      <c r="Q28" s="286">
        <f t="shared" si="25"/>
        <v>0</v>
      </c>
      <c r="R28" s="293">
        <f t="shared" si="26"/>
        <v>18438183</v>
      </c>
      <c r="S28" s="292">
        <f t="shared" si="26"/>
        <v>18784543</v>
      </c>
      <c r="T28" s="292">
        <f t="shared" si="27"/>
        <v>346360</v>
      </c>
      <c r="U28" s="286">
        <f>R28</f>
        <v>18438183</v>
      </c>
      <c r="V28" s="286">
        <f t="shared" si="28"/>
        <v>18784543</v>
      </c>
      <c r="W28" s="287">
        <f t="shared" si="29"/>
        <v>346360</v>
      </c>
      <c r="X28" s="288">
        <f t="shared" si="30"/>
        <v>18438183</v>
      </c>
      <c r="Y28" s="289">
        <f t="shared" si="30"/>
        <v>18784543</v>
      </c>
      <c r="Z28" s="286">
        <f t="shared" si="31"/>
        <v>346360</v>
      </c>
      <c r="AA28" s="288"/>
      <c r="AB28" s="289"/>
      <c r="AC28" s="286">
        <f t="shared" si="32"/>
        <v>0</v>
      </c>
      <c r="AD28" s="288"/>
      <c r="AE28" s="289"/>
      <c r="AF28" s="286">
        <f t="shared" si="33"/>
        <v>0</v>
      </c>
    </row>
    <row r="29" spans="2:32" s="284" customFormat="1" ht="13.8" x14ac:dyDescent="0.3">
      <c r="B29" s="285" t="s">
        <v>0</v>
      </c>
      <c r="C29" s="286">
        <v>1887360</v>
      </c>
      <c r="D29" s="286">
        <v>1887360</v>
      </c>
      <c r="E29" s="286">
        <f t="shared" si="20"/>
        <v>0</v>
      </c>
      <c r="F29" s="286">
        <v>29128276</v>
      </c>
      <c r="G29" s="286">
        <v>30783276</v>
      </c>
      <c r="H29" s="287">
        <f t="shared" si="21"/>
        <v>1655000</v>
      </c>
      <c r="I29" s="288">
        <v>6633000</v>
      </c>
      <c r="J29" s="289">
        <v>6736672</v>
      </c>
      <c r="K29" s="286">
        <f t="shared" si="22"/>
        <v>103672</v>
      </c>
      <c r="L29" s="317">
        <f t="shared" si="23"/>
        <v>37648636</v>
      </c>
      <c r="M29" s="292">
        <f t="shared" si="23"/>
        <v>39407308</v>
      </c>
      <c r="N29" s="292">
        <f t="shared" si="24"/>
        <v>1758672</v>
      </c>
      <c r="O29" s="286">
        <v>104594533</v>
      </c>
      <c r="P29" s="286">
        <v>114311547</v>
      </c>
      <c r="Q29" s="286">
        <f t="shared" si="25"/>
        <v>9717014</v>
      </c>
      <c r="R29" s="293">
        <f t="shared" si="26"/>
        <v>142243169</v>
      </c>
      <c r="S29" s="292">
        <f t="shared" si="26"/>
        <v>153718855</v>
      </c>
      <c r="T29" s="292">
        <f t="shared" si="27"/>
        <v>11475686</v>
      </c>
      <c r="U29" s="286">
        <f>R29</f>
        <v>142243169</v>
      </c>
      <c r="V29" s="286">
        <f t="shared" si="28"/>
        <v>153718855</v>
      </c>
      <c r="W29" s="287">
        <f t="shared" si="29"/>
        <v>11475686</v>
      </c>
      <c r="X29" s="288">
        <f t="shared" si="30"/>
        <v>141243169</v>
      </c>
      <c r="Y29" s="289">
        <f t="shared" si="30"/>
        <v>151318855</v>
      </c>
      <c r="Z29" s="286">
        <f t="shared" si="31"/>
        <v>10075686</v>
      </c>
      <c r="AA29" s="288">
        <v>1000000</v>
      </c>
      <c r="AB29" s="289">
        <f>1000000+1400000</f>
        <v>2400000</v>
      </c>
      <c r="AC29" s="286">
        <f t="shared" si="32"/>
        <v>1400000</v>
      </c>
      <c r="AD29" s="288"/>
      <c r="AE29" s="289"/>
      <c r="AF29" s="286">
        <f t="shared" si="33"/>
        <v>0</v>
      </c>
    </row>
    <row r="30" spans="2:32" s="284" customFormat="1" ht="13.8" x14ac:dyDescent="0.3">
      <c r="B30" s="285" t="s">
        <v>1</v>
      </c>
      <c r="C30" s="286"/>
      <c r="D30" s="286"/>
      <c r="E30" s="286">
        <f t="shared" si="20"/>
        <v>0</v>
      </c>
      <c r="F30" s="286"/>
      <c r="G30" s="286"/>
      <c r="H30" s="287">
        <f t="shared" si="21"/>
        <v>0</v>
      </c>
      <c r="I30" s="288"/>
      <c r="J30" s="289"/>
      <c r="K30" s="286">
        <f t="shared" si="22"/>
        <v>0</v>
      </c>
      <c r="L30" s="317">
        <f t="shared" si="23"/>
        <v>0</v>
      </c>
      <c r="M30" s="292">
        <f t="shared" si="23"/>
        <v>0</v>
      </c>
      <c r="N30" s="292">
        <f t="shared" si="24"/>
        <v>0</v>
      </c>
      <c r="O30" s="286">
        <v>4000000</v>
      </c>
      <c r="P30" s="286">
        <v>4000000</v>
      </c>
      <c r="Q30" s="286">
        <f t="shared" si="25"/>
        <v>0</v>
      </c>
      <c r="R30" s="293">
        <f t="shared" si="26"/>
        <v>4000000</v>
      </c>
      <c r="S30" s="292">
        <f t="shared" si="26"/>
        <v>4000000</v>
      </c>
      <c r="T30" s="292">
        <f t="shared" si="27"/>
        <v>0</v>
      </c>
      <c r="U30" s="286">
        <f>R30</f>
        <v>4000000</v>
      </c>
      <c r="V30" s="286">
        <f t="shared" si="28"/>
        <v>4000000</v>
      </c>
      <c r="W30" s="287">
        <f t="shared" si="29"/>
        <v>0</v>
      </c>
      <c r="X30" s="288">
        <f t="shared" si="30"/>
        <v>4000000</v>
      </c>
      <c r="Y30" s="289">
        <f t="shared" si="30"/>
        <v>4000000</v>
      </c>
      <c r="Z30" s="286">
        <f t="shared" si="31"/>
        <v>0</v>
      </c>
      <c r="AA30" s="288"/>
      <c r="AB30" s="289"/>
      <c r="AC30" s="286">
        <f t="shared" si="32"/>
        <v>0</v>
      </c>
      <c r="AD30" s="288"/>
      <c r="AE30" s="289"/>
      <c r="AF30" s="286">
        <f t="shared" si="33"/>
        <v>0</v>
      </c>
    </row>
    <row r="31" spans="2:32" s="284" customFormat="1" ht="13.8" x14ac:dyDescent="0.3">
      <c r="B31" s="285" t="s">
        <v>35</v>
      </c>
      <c r="C31" s="286">
        <f>SUM(C32:C35)</f>
        <v>0</v>
      </c>
      <c r="D31" s="286">
        <f>SUM(D32:D35)</f>
        <v>0</v>
      </c>
      <c r="E31" s="286">
        <f t="shared" si="20"/>
        <v>0</v>
      </c>
      <c r="F31" s="286">
        <f>SUM(F32:F35)</f>
        <v>0</v>
      </c>
      <c r="G31" s="286">
        <f>SUM(G32:G35)</f>
        <v>0</v>
      </c>
      <c r="H31" s="287">
        <f t="shared" si="21"/>
        <v>0</v>
      </c>
      <c r="I31" s="288">
        <f>SUM(I32:I35)</f>
        <v>0</v>
      </c>
      <c r="J31" s="289">
        <f>SUM(J32:J35)</f>
        <v>0</v>
      </c>
      <c r="K31" s="286">
        <f t="shared" si="22"/>
        <v>0</v>
      </c>
      <c r="L31" s="290">
        <f t="shared" si="23"/>
        <v>0</v>
      </c>
      <c r="M31" s="292">
        <f t="shared" si="23"/>
        <v>0</v>
      </c>
      <c r="N31" s="292">
        <f t="shared" si="24"/>
        <v>0</v>
      </c>
      <c r="O31" s="286">
        <f>SUM(O32:O35)</f>
        <v>533607385</v>
      </c>
      <c r="P31" s="286">
        <f>SUM(P32:P35)</f>
        <v>492740599</v>
      </c>
      <c r="Q31" s="286">
        <f t="shared" si="25"/>
        <v>-40866786</v>
      </c>
      <c r="R31" s="293">
        <f t="shared" si="26"/>
        <v>533607385</v>
      </c>
      <c r="S31" s="292">
        <f t="shared" si="26"/>
        <v>492740599</v>
      </c>
      <c r="T31" s="292">
        <f t="shared" si="27"/>
        <v>-40866786</v>
      </c>
      <c r="U31" s="286">
        <f>SUM(U32:U35)</f>
        <v>533607385</v>
      </c>
      <c r="V31" s="286">
        <f>SUM(V32:V35)</f>
        <v>492740599</v>
      </c>
      <c r="W31" s="287">
        <f t="shared" si="29"/>
        <v>-40866786</v>
      </c>
      <c r="X31" s="288">
        <f t="shared" si="30"/>
        <v>532407385</v>
      </c>
      <c r="Y31" s="289">
        <f t="shared" si="30"/>
        <v>491420599</v>
      </c>
      <c r="Z31" s="286">
        <f t="shared" si="31"/>
        <v>-40986786</v>
      </c>
      <c r="AA31" s="288">
        <f>SUM(AA32:AA35)</f>
        <v>1200000</v>
      </c>
      <c r="AB31" s="289">
        <f>SUM(AB32:AB35)</f>
        <v>1320000</v>
      </c>
      <c r="AC31" s="286">
        <f t="shared" si="32"/>
        <v>120000</v>
      </c>
      <c r="AD31" s="288">
        <f>SUM(AD32:AD35)</f>
        <v>0</v>
      </c>
      <c r="AE31" s="289">
        <f>SUM(AE32:AE35)</f>
        <v>0</v>
      </c>
      <c r="AF31" s="286">
        <f t="shared" si="33"/>
        <v>0</v>
      </c>
    </row>
    <row r="32" spans="2:32" s="284" customFormat="1" ht="13.8" x14ac:dyDescent="0.3">
      <c r="B32" s="404" t="s">
        <v>36</v>
      </c>
      <c r="C32" s="334"/>
      <c r="D32" s="334"/>
      <c r="E32" s="334">
        <f t="shared" si="20"/>
        <v>0</v>
      </c>
      <c r="F32" s="334"/>
      <c r="G32" s="334"/>
      <c r="H32" s="335">
        <f t="shared" si="21"/>
        <v>0</v>
      </c>
      <c r="I32" s="336"/>
      <c r="J32" s="337"/>
      <c r="K32" s="334">
        <f t="shared" si="22"/>
        <v>0</v>
      </c>
      <c r="L32" s="290">
        <f t="shared" si="23"/>
        <v>0</v>
      </c>
      <c r="M32" s="338">
        <f t="shared" si="23"/>
        <v>0</v>
      </c>
      <c r="N32" s="338">
        <f t="shared" si="24"/>
        <v>0</v>
      </c>
      <c r="O32" s="334">
        <v>0</v>
      </c>
      <c r="P32" s="334">
        <v>725472</v>
      </c>
      <c r="Q32" s="334">
        <f t="shared" si="25"/>
        <v>725472</v>
      </c>
      <c r="R32" s="293">
        <f t="shared" si="26"/>
        <v>0</v>
      </c>
      <c r="S32" s="338">
        <f t="shared" si="26"/>
        <v>725472</v>
      </c>
      <c r="T32" s="338">
        <f t="shared" si="27"/>
        <v>725472</v>
      </c>
      <c r="U32" s="334">
        <f>R32</f>
        <v>0</v>
      </c>
      <c r="V32" s="334">
        <f>+S32</f>
        <v>725472</v>
      </c>
      <c r="W32" s="335">
        <f t="shared" si="29"/>
        <v>725472</v>
      </c>
      <c r="X32" s="336">
        <f t="shared" si="30"/>
        <v>0</v>
      </c>
      <c r="Y32" s="337">
        <f t="shared" si="30"/>
        <v>725472</v>
      </c>
      <c r="Z32" s="334">
        <f t="shared" si="31"/>
        <v>725472</v>
      </c>
      <c r="AA32" s="336"/>
      <c r="AB32" s="337"/>
      <c r="AC32" s="334">
        <f t="shared" si="32"/>
        <v>0</v>
      </c>
      <c r="AD32" s="336"/>
      <c r="AE32" s="337"/>
      <c r="AF32" s="334">
        <f t="shared" si="33"/>
        <v>0</v>
      </c>
    </row>
    <row r="33" spans="2:33" s="284" customFormat="1" ht="13.8" x14ac:dyDescent="0.3">
      <c r="B33" s="404" t="s">
        <v>37</v>
      </c>
      <c r="C33" s="334"/>
      <c r="D33" s="334"/>
      <c r="E33" s="334">
        <f t="shared" si="20"/>
        <v>0</v>
      </c>
      <c r="F33" s="334"/>
      <c r="G33" s="334"/>
      <c r="H33" s="335">
        <f t="shared" si="21"/>
        <v>0</v>
      </c>
      <c r="I33" s="336"/>
      <c r="J33" s="337"/>
      <c r="K33" s="334">
        <f t="shared" si="22"/>
        <v>0</v>
      </c>
      <c r="L33" s="290">
        <f t="shared" si="23"/>
        <v>0</v>
      </c>
      <c r="M33" s="338">
        <f t="shared" si="23"/>
        <v>0</v>
      </c>
      <c r="N33" s="338">
        <f t="shared" si="24"/>
        <v>0</v>
      </c>
      <c r="O33" s="334">
        <f>96035869+6222000</f>
        <v>102257869</v>
      </c>
      <c r="P33" s="334">
        <v>102412700</v>
      </c>
      <c r="Q33" s="334">
        <f t="shared" si="25"/>
        <v>154831</v>
      </c>
      <c r="R33" s="293">
        <f t="shared" si="26"/>
        <v>102257869</v>
      </c>
      <c r="S33" s="338">
        <f t="shared" si="26"/>
        <v>102412700</v>
      </c>
      <c r="T33" s="338">
        <f t="shared" si="27"/>
        <v>154831</v>
      </c>
      <c r="U33" s="334">
        <f>R33</f>
        <v>102257869</v>
      </c>
      <c r="V33" s="334">
        <f t="shared" ref="V33:V35" si="34">+S33</f>
        <v>102412700</v>
      </c>
      <c r="W33" s="335">
        <f t="shared" si="29"/>
        <v>154831</v>
      </c>
      <c r="X33" s="336">
        <f t="shared" si="30"/>
        <v>102257869</v>
      </c>
      <c r="Y33" s="337">
        <f t="shared" si="30"/>
        <v>102412700</v>
      </c>
      <c r="Z33" s="334">
        <f t="shared" si="31"/>
        <v>154831</v>
      </c>
      <c r="AA33" s="336"/>
      <c r="AB33" s="337"/>
      <c r="AC33" s="334">
        <f t="shared" si="32"/>
        <v>0</v>
      </c>
      <c r="AD33" s="336"/>
      <c r="AE33" s="337"/>
      <c r="AF33" s="334">
        <f t="shared" si="33"/>
        <v>0</v>
      </c>
    </row>
    <row r="34" spans="2:33" s="284" customFormat="1" ht="13.8" x14ac:dyDescent="0.3">
      <c r="B34" s="404" t="s">
        <v>38</v>
      </c>
      <c r="C34" s="334"/>
      <c r="D34" s="334"/>
      <c r="E34" s="334">
        <f t="shared" si="20"/>
        <v>0</v>
      </c>
      <c r="F34" s="334"/>
      <c r="G34" s="334"/>
      <c r="H34" s="335">
        <f t="shared" si="21"/>
        <v>0</v>
      </c>
      <c r="I34" s="336"/>
      <c r="J34" s="337"/>
      <c r="K34" s="334">
        <f t="shared" si="22"/>
        <v>0</v>
      </c>
      <c r="L34" s="290">
        <f t="shared" si="23"/>
        <v>0</v>
      </c>
      <c r="M34" s="338">
        <f t="shared" si="23"/>
        <v>0</v>
      </c>
      <c r="N34" s="338">
        <f t="shared" si="24"/>
        <v>0</v>
      </c>
      <c r="O34" s="334">
        <v>1584000</v>
      </c>
      <c r="P34" s="334">
        <v>1704000</v>
      </c>
      <c r="Q34" s="334">
        <f t="shared" si="25"/>
        <v>120000</v>
      </c>
      <c r="R34" s="293">
        <f t="shared" si="26"/>
        <v>1584000</v>
      </c>
      <c r="S34" s="338">
        <f t="shared" si="26"/>
        <v>1704000</v>
      </c>
      <c r="T34" s="338">
        <f t="shared" si="27"/>
        <v>120000</v>
      </c>
      <c r="U34" s="334">
        <f>R34</f>
        <v>1584000</v>
      </c>
      <c r="V34" s="334">
        <f t="shared" si="34"/>
        <v>1704000</v>
      </c>
      <c r="W34" s="335">
        <f t="shared" si="29"/>
        <v>120000</v>
      </c>
      <c r="X34" s="336">
        <f t="shared" si="30"/>
        <v>384000</v>
      </c>
      <c r="Y34" s="337">
        <f t="shared" si="30"/>
        <v>384000</v>
      </c>
      <c r="Z34" s="334">
        <f t="shared" si="31"/>
        <v>0</v>
      </c>
      <c r="AA34" s="336">
        <v>1200000</v>
      </c>
      <c r="AB34" s="337">
        <v>1320000</v>
      </c>
      <c r="AC34" s="334">
        <f t="shared" si="32"/>
        <v>120000</v>
      </c>
      <c r="AD34" s="336"/>
      <c r="AE34" s="337"/>
      <c r="AF34" s="334">
        <f t="shared" si="33"/>
        <v>0</v>
      </c>
    </row>
    <row r="35" spans="2:33" s="284" customFormat="1" ht="14.4" thickBot="1" x14ac:dyDescent="0.35">
      <c r="B35" s="404" t="s">
        <v>39</v>
      </c>
      <c r="C35" s="301"/>
      <c r="D35" s="301"/>
      <c r="E35" s="301">
        <f t="shared" si="20"/>
        <v>0</v>
      </c>
      <c r="F35" s="301"/>
      <c r="G35" s="301"/>
      <c r="H35" s="306">
        <f t="shared" si="21"/>
        <v>0</v>
      </c>
      <c r="I35" s="299"/>
      <c r="J35" s="300"/>
      <c r="K35" s="301">
        <f t="shared" si="22"/>
        <v>0</v>
      </c>
      <c r="L35" s="290">
        <f t="shared" si="23"/>
        <v>0</v>
      </c>
      <c r="M35" s="405">
        <f t="shared" si="23"/>
        <v>0</v>
      </c>
      <c r="N35" s="405">
        <f t="shared" si="24"/>
        <v>0</v>
      </c>
      <c r="O35" s="301">
        <f>402786440+26979076</f>
        <v>429765516</v>
      </c>
      <c r="P35" s="301">
        <v>387898427</v>
      </c>
      <c r="Q35" s="301">
        <f t="shared" si="25"/>
        <v>-41867089</v>
      </c>
      <c r="R35" s="380">
        <f t="shared" si="26"/>
        <v>429765516</v>
      </c>
      <c r="S35" s="405">
        <f t="shared" si="26"/>
        <v>387898427</v>
      </c>
      <c r="T35" s="405">
        <f t="shared" si="27"/>
        <v>-41867089</v>
      </c>
      <c r="U35" s="301">
        <f>R35</f>
        <v>429765516</v>
      </c>
      <c r="V35" s="301">
        <f t="shared" si="34"/>
        <v>387898427</v>
      </c>
      <c r="W35" s="306">
        <f t="shared" si="29"/>
        <v>-41867089</v>
      </c>
      <c r="X35" s="299">
        <f t="shared" si="30"/>
        <v>429765516</v>
      </c>
      <c r="Y35" s="300">
        <f t="shared" si="30"/>
        <v>387898427</v>
      </c>
      <c r="Z35" s="301">
        <f t="shared" si="31"/>
        <v>-41867089</v>
      </c>
      <c r="AA35" s="299"/>
      <c r="AB35" s="300"/>
      <c r="AC35" s="301">
        <f t="shared" si="32"/>
        <v>0</v>
      </c>
      <c r="AD35" s="299"/>
      <c r="AE35" s="300"/>
      <c r="AF35" s="301">
        <f t="shared" si="33"/>
        <v>0</v>
      </c>
    </row>
    <row r="36" spans="2:33" s="284" customFormat="1" ht="14.4" thickBot="1" x14ac:dyDescent="0.35">
      <c r="B36" s="307" t="s">
        <v>40</v>
      </c>
      <c r="C36" s="308">
        <f>C27+C28+C29+C30+C31</f>
        <v>14345085</v>
      </c>
      <c r="D36" s="308">
        <f>D27+D28+D29+D30+D31</f>
        <v>15084585</v>
      </c>
      <c r="E36" s="308">
        <f t="shared" si="20"/>
        <v>739500</v>
      </c>
      <c r="F36" s="308">
        <f>F27+F28+F29+F30+F31</f>
        <v>44044092</v>
      </c>
      <c r="G36" s="308">
        <f>G27+G28+G29+G30+G31</f>
        <v>46383635</v>
      </c>
      <c r="H36" s="308">
        <f t="shared" si="21"/>
        <v>2339543</v>
      </c>
      <c r="I36" s="309">
        <f>I27+I28+I29+I30+I31</f>
        <v>47269965</v>
      </c>
      <c r="J36" s="309">
        <f>J27+J28+J29+J30+J31</f>
        <v>48108386</v>
      </c>
      <c r="K36" s="309">
        <f t="shared" si="22"/>
        <v>838421</v>
      </c>
      <c r="L36" s="310">
        <f t="shared" si="23"/>
        <v>105659142</v>
      </c>
      <c r="M36" s="311">
        <f t="shared" si="23"/>
        <v>109576606</v>
      </c>
      <c r="N36" s="311">
        <f t="shared" si="24"/>
        <v>3917464</v>
      </c>
      <c r="O36" s="308">
        <f>O27+O28+O29+O30+O31</f>
        <v>684527455</v>
      </c>
      <c r="P36" s="308">
        <f>P27+P28+P29+P30+P31</f>
        <v>653527683</v>
      </c>
      <c r="Q36" s="308">
        <f t="shared" si="25"/>
        <v>-30999772</v>
      </c>
      <c r="R36" s="312">
        <f t="shared" si="26"/>
        <v>790186597</v>
      </c>
      <c r="S36" s="311">
        <f t="shared" si="26"/>
        <v>763104289</v>
      </c>
      <c r="T36" s="311">
        <f t="shared" si="27"/>
        <v>-27082308</v>
      </c>
      <c r="U36" s="308">
        <f>U27+U28+U29+U30+U31</f>
        <v>790186597</v>
      </c>
      <c r="V36" s="308">
        <f>V27+V28+V29+V30+V31</f>
        <v>763104289</v>
      </c>
      <c r="W36" s="308">
        <f t="shared" si="29"/>
        <v>-27082308</v>
      </c>
      <c r="X36" s="314">
        <f>X27+X28+X29+X30+X31</f>
        <v>787986597</v>
      </c>
      <c r="Y36" s="309">
        <f>Y27+Y28+Y29+Y30+Y31</f>
        <v>759384289</v>
      </c>
      <c r="Z36" s="309">
        <f t="shared" si="31"/>
        <v>-28602308</v>
      </c>
      <c r="AA36" s="315">
        <f>AA27+AA28+AA29+AA30+AA31</f>
        <v>2200000</v>
      </c>
      <c r="AB36" s="309">
        <f>AB27+AB28+AB29+AB30+AB31</f>
        <v>3720000</v>
      </c>
      <c r="AC36" s="309">
        <f t="shared" si="32"/>
        <v>1520000</v>
      </c>
      <c r="AD36" s="309">
        <f>AD27+AD28+AD29+AD30+AD31</f>
        <v>0</v>
      </c>
      <c r="AE36" s="309">
        <f>AE27+AE28+AE29+AE30+AE31</f>
        <v>0</v>
      </c>
      <c r="AF36" s="309">
        <f t="shared" si="33"/>
        <v>0</v>
      </c>
    </row>
    <row r="37" spans="2:33" s="284" customFormat="1" ht="13.8" x14ac:dyDescent="0.3">
      <c r="B37" s="271" t="s">
        <v>3</v>
      </c>
      <c r="C37" s="286"/>
      <c r="D37" s="286"/>
      <c r="E37" s="286">
        <f t="shared" si="20"/>
        <v>0</v>
      </c>
      <c r="F37" s="286"/>
      <c r="G37" s="286">
        <v>280000</v>
      </c>
      <c r="H37" s="287">
        <f t="shared" si="21"/>
        <v>280000</v>
      </c>
      <c r="I37" s="275">
        <v>127000</v>
      </c>
      <c r="J37" s="276">
        <v>127000</v>
      </c>
      <c r="K37" s="273">
        <f t="shared" si="22"/>
        <v>0</v>
      </c>
      <c r="L37" s="290">
        <f t="shared" si="23"/>
        <v>127000</v>
      </c>
      <c r="M37" s="292">
        <f t="shared" si="23"/>
        <v>407000</v>
      </c>
      <c r="N37" s="292">
        <f t="shared" si="24"/>
        <v>280000</v>
      </c>
      <c r="O37" s="286">
        <v>20478488</v>
      </c>
      <c r="P37" s="286">
        <v>21425302</v>
      </c>
      <c r="Q37" s="286">
        <f t="shared" si="25"/>
        <v>946814</v>
      </c>
      <c r="R37" s="293">
        <f t="shared" si="26"/>
        <v>20605488</v>
      </c>
      <c r="S37" s="292">
        <f t="shared" si="26"/>
        <v>21832302</v>
      </c>
      <c r="T37" s="292">
        <f t="shared" si="27"/>
        <v>1226814</v>
      </c>
      <c r="U37" s="286">
        <f>R37</f>
        <v>20605488</v>
      </c>
      <c r="V37" s="286">
        <f t="shared" ref="V37:V38" si="35">+S37</f>
        <v>21832302</v>
      </c>
      <c r="W37" s="287">
        <f t="shared" si="29"/>
        <v>1226814</v>
      </c>
      <c r="X37" s="275">
        <f t="shared" ref="X37:Y42" si="36">+U37-AA37-AD37</f>
        <v>20605488</v>
      </c>
      <c r="Y37" s="276">
        <f t="shared" si="36"/>
        <v>21832302</v>
      </c>
      <c r="Z37" s="273">
        <f t="shared" si="31"/>
        <v>1226814</v>
      </c>
      <c r="AA37" s="275"/>
      <c r="AB37" s="276"/>
      <c r="AC37" s="273">
        <f t="shared" si="32"/>
        <v>0</v>
      </c>
      <c r="AD37" s="275"/>
      <c r="AE37" s="276"/>
      <c r="AF37" s="273">
        <f t="shared" si="33"/>
        <v>0</v>
      </c>
    </row>
    <row r="38" spans="2:33" s="284" customFormat="1" ht="13.8" x14ac:dyDescent="0.3">
      <c r="B38" s="406" t="s">
        <v>4</v>
      </c>
      <c r="C38" s="272"/>
      <c r="D38" s="272"/>
      <c r="E38" s="272">
        <f t="shared" si="20"/>
        <v>0</v>
      </c>
      <c r="F38" s="272"/>
      <c r="G38" s="272"/>
      <c r="H38" s="274">
        <f t="shared" si="21"/>
        <v>0</v>
      </c>
      <c r="I38" s="288"/>
      <c r="J38" s="289"/>
      <c r="K38" s="286">
        <f t="shared" si="22"/>
        <v>0</v>
      </c>
      <c r="L38" s="290">
        <f t="shared" si="23"/>
        <v>0</v>
      </c>
      <c r="M38" s="279">
        <f t="shared" si="23"/>
        <v>0</v>
      </c>
      <c r="N38" s="279">
        <f t="shared" si="24"/>
        <v>0</v>
      </c>
      <c r="O38" s="272">
        <v>214241476</v>
      </c>
      <c r="P38" s="272">
        <v>265318316</v>
      </c>
      <c r="Q38" s="272">
        <f t="shared" si="25"/>
        <v>51076840</v>
      </c>
      <c r="R38" s="319">
        <f t="shared" si="26"/>
        <v>214241476</v>
      </c>
      <c r="S38" s="279">
        <f t="shared" si="26"/>
        <v>265318316</v>
      </c>
      <c r="T38" s="279">
        <f t="shared" si="27"/>
        <v>51076840</v>
      </c>
      <c r="U38" s="272">
        <f>R38</f>
        <v>214241476</v>
      </c>
      <c r="V38" s="272">
        <f t="shared" si="35"/>
        <v>265318316</v>
      </c>
      <c r="W38" s="274">
        <f t="shared" si="29"/>
        <v>51076840</v>
      </c>
      <c r="X38" s="288">
        <f t="shared" si="36"/>
        <v>214241476</v>
      </c>
      <c r="Y38" s="289">
        <f t="shared" si="36"/>
        <v>265318316</v>
      </c>
      <c r="Z38" s="286">
        <f t="shared" si="31"/>
        <v>51076840</v>
      </c>
      <c r="AA38" s="288"/>
      <c r="AB38" s="289"/>
      <c r="AC38" s="286">
        <f t="shared" si="32"/>
        <v>0</v>
      </c>
      <c r="AD38" s="288"/>
      <c r="AE38" s="289"/>
      <c r="AF38" s="286">
        <f t="shared" si="33"/>
        <v>0</v>
      </c>
    </row>
    <row r="39" spans="2:33" s="284" customFormat="1" ht="13.8" x14ac:dyDescent="0.3">
      <c r="B39" s="285" t="s">
        <v>41</v>
      </c>
      <c r="C39" s="286">
        <f>SUM(C40:C42)</f>
        <v>0</v>
      </c>
      <c r="D39" s="286">
        <f>SUM(D40:D42)</f>
        <v>0</v>
      </c>
      <c r="E39" s="286">
        <f t="shared" si="20"/>
        <v>0</v>
      </c>
      <c r="F39" s="286">
        <f>SUM(F40:F42)</f>
        <v>0</v>
      </c>
      <c r="G39" s="286">
        <f>SUM(G40:G42)</f>
        <v>0</v>
      </c>
      <c r="H39" s="287">
        <f t="shared" si="21"/>
        <v>0</v>
      </c>
      <c r="I39" s="288">
        <f>SUM(I40:I42)</f>
        <v>0</v>
      </c>
      <c r="J39" s="289">
        <f>SUM(J40:J42)</f>
        <v>0</v>
      </c>
      <c r="K39" s="286">
        <f t="shared" si="22"/>
        <v>0</v>
      </c>
      <c r="L39" s="290">
        <f t="shared" si="23"/>
        <v>0</v>
      </c>
      <c r="M39" s="292">
        <f t="shared" si="23"/>
        <v>0</v>
      </c>
      <c r="N39" s="292">
        <f t="shared" si="24"/>
        <v>0</v>
      </c>
      <c r="O39" s="286">
        <f>SUM(O40:O42)</f>
        <v>0</v>
      </c>
      <c r="P39" s="286">
        <f>SUM(P40:P42)</f>
        <v>0</v>
      </c>
      <c r="Q39" s="286">
        <f t="shared" si="25"/>
        <v>0</v>
      </c>
      <c r="R39" s="293">
        <f t="shared" si="26"/>
        <v>0</v>
      </c>
      <c r="S39" s="292">
        <f t="shared" si="26"/>
        <v>0</v>
      </c>
      <c r="T39" s="292">
        <f t="shared" si="27"/>
        <v>0</v>
      </c>
      <c r="U39" s="286">
        <f>SUM(U40:U42)</f>
        <v>0</v>
      </c>
      <c r="V39" s="286">
        <f>SUM(V40:V42)</f>
        <v>0</v>
      </c>
      <c r="W39" s="287">
        <f t="shared" si="29"/>
        <v>0</v>
      </c>
      <c r="X39" s="288">
        <f t="shared" si="36"/>
        <v>0</v>
      </c>
      <c r="Y39" s="289">
        <f t="shared" si="36"/>
        <v>0</v>
      </c>
      <c r="Z39" s="286">
        <f t="shared" si="31"/>
        <v>0</v>
      </c>
      <c r="AA39" s="288">
        <f>SUM(AA40:AA42)</f>
        <v>0</v>
      </c>
      <c r="AB39" s="289">
        <f>SUM(AB40:AB42)</f>
        <v>0</v>
      </c>
      <c r="AC39" s="286">
        <f t="shared" si="32"/>
        <v>0</v>
      </c>
      <c r="AD39" s="288">
        <f>SUM(AD40:AD42)</f>
        <v>0</v>
      </c>
      <c r="AE39" s="289">
        <f>SUM(AE40:AE42)</f>
        <v>0</v>
      </c>
      <c r="AF39" s="286">
        <f t="shared" si="33"/>
        <v>0</v>
      </c>
    </row>
    <row r="40" spans="2:33" s="284" customFormat="1" ht="13.8" x14ac:dyDescent="0.3">
      <c r="B40" s="404" t="s">
        <v>42</v>
      </c>
      <c r="C40" s="334"/>
      <c r="D40" s="334"/>
      <c r="E40" s="334">
        <f t="shared" si="20"/>
        <v>0</v>
      </c>
      <c r="F40" s="334"/>
      <c r="G40" s="334"/>
      <c r="H40" s="335">
        <f t="shared" si="21"/>
        <v>0</v>
      </c>
      <c r="I40" s="336"/>
      <c r="J40" s="337"/>
      <c r="K40" s="334">
        <f t="shared" si="22"/>
        <v>0</v>
      </c>
      <c r="L40" s="290">
        <f t="shared" si="23"/>
        <v>0</v>
      </c>
      <c r="M40" s="338">
        <f t="shared" si="23"/>
        <v>0</v>
      </c>
      <c r="N40" s="338">
        <f t="shared" si="24"/>
        <v>0</v>
      </c>
      <c r="O40" s="334"/>
      <c r="P40" s="334"/>
      <c r="Q40" s="334">
        <f t="shared" si="25"/>
        <v>0</v>
      </c>
      <c r="R40" s="293">
        <f t="shared" si="26"/>
        <v>0</v>
      </c>
      <c r="S40" s="338">
        <f t="shared" si="26"/>
        <v>0</v>
      </c>
      <c r="T40" s="338">
        <f t="shared" si="27"/>
        <v>0</v>
      </c>
      <c r="U40" s="334">
        <f>R40</f>
        <v>0</v>
      </c>
      <c r="V40" s="334">
        <f t="shared" ref="V40:V42" si="37">+S40</f>
        <v>0</v>
      </c>
      <c r="W40" s="335">
        <f t="shared" si="29"/>
        <v>0</v>
      </c>
      <c r="X40" s="336">
        <f t="shared" si="36"/>
        <v>0</v>
      </c>
      <c r="Y40" s="337">
        <f t="shared" si="36"/>
        <v>0</v>
      </c>
      <c r="Z40" s="334">
        <f t="shared" si="31"/>
        <v>0</v>
      </c>
      <c r="AA40" s="336"/>
      <c r="AB40" s="337"/>
      <c r="AC40" s="334">
        <f t="shared" si="32"/>
        <v>0</v>
      </c>
      <c r="AD40" s="336"/>
      <c r="AE40" s="337"/>
      <c r="AF40" s="334">
        <f t="shared" si="33"/>
        <v>0</v>
      </c>
    </row>
    <row r="41" spans="2:33" s="284" customFormat="1" ht="13.8" x14ac:dyDescent="0.3">
      <c r="B41" s="404" t="s">
        <v>43</v>
      </c>
      <c r="C41" s="334"/>
      <c r="D41" s="334"/>
      <c r="E41" s="334">
        <f t="shared" si="20"/>
        <v>0</v>
      </c>
      <c r="F41" s="334"/>
      <c r="G41" s="334"/>
      <c r="H41" s="335">
        <f t="shared" si="21"/>
        <v>0</v>
      </c>
      <c r="I41" s="336"/>
      <c r="J41" s="337"/>
      <c r="K41" s="334">
        <f t="shared" si="22"/>
        <v>0</v>
      </c>
      <c r="L41" s="290">
        <f t="shared" si="23"/>
        <v>0</v>
      </c>
      <c r="M41" s="338">
        <f t="shared" si="23"/>
        <v>0</v>
      </c>
      <c r="N41" s="338">
        <f t="shared" si="24"/>
        <v>0</v>
      </c>
      <c r="O41" s="334"/>
      <c r="P41" s="334"/>
      <c r="Q41" s="334">
        <f t="shared" si="25"/>
        <v>0</v>
      </c>
      <c r="R41" s="293">
        <f t="shared" si="26"/>
        <v>0</v>
      </c>
      <c r="S41" s="338">
        <f t="shared" si="26"/>
        <v>0</v>
      </c>
      <c r="T41" s="338">
        <f t="shared" si="27"/>
        <v>0</v>
      </c>
      <c r="U41" s="334">
        <f>R41</f>
        <v>0</v>
      </c>
      <c r="V41" s="334">
        <f t="shared" si="37"/>
        <v>0</v>
      </c>
      <c r="W41" s="335">
        <f t="shared" si="29"/>
        <v>0</v>
      </c>
      <c r="X41" s="336">
        <f t="shared" si="36"/>
        <v>0</v>
      </c>
      <c r="Y41" s="337">
        <f t="shared" si="36"/>
        <v>0</v>
      </c>
      <c r="Z41" s="334">
        <f t="shared" si="31"/>
        <v>0</v>
      </c>
      <c r="AA41" s="336"/>
      <c r="AB41" s="337"/>
      <c r="AC41" s="334">
        <f t="shared" si="32"/>
        <v>0</v>
      </c>
      <c r="AD41" s="336"/>
      <c r="AE41" s="337"/>
      <c r="AF41" s="334">
        <f t="shared" si="33"/>
        <v>0</v>
      </c>
    </row>
    <row r="42" spans="2:33" s="284" customFormat="1" ht="14.4" thickBot="1" x14ac:dyDescent="0.35">
      <c r="B42" s="404" t="s">
        <v>44</v>
      </c>
      <c r="C42" s="345"/>
      <c r="D42" s="345"/>
      <c r="E42" s="345">
        <f t="shared" si="20"/>
        <v>0</v>
      </c>
      <c r="F42" s="345"/>
      <c r="G42" s="345"/>
      <c r="H42" s="349">
        <f t="shared" si="21"/>
        <v>0</v>
      </c>
      <c r="I42" s="343"/>
      <c r="J42" s="344"/>
      <c r="K42" s="345">
        <f t="shared" si="22"/>
        <v>0</v>
      </c>
      <c r="L42" s="290">
        <f t="shared" si="23"/>
        <v>0</v>
      </c>
      <c r="M42" s="407">
        <f t="shared" si="23"/>
        <v>0</v>
      </c>
      <c r="N42" s="407">
        <f t="shared" si="24"/>
        <v>0</v>
      </c>
      <c r="O42" s="345">
        <v>0</v>
      </c>
      <c r="P42" s="345"/>
      <c r="Q42" s="345">
        <f t="shared" si="25"/>
        <v>0</v>
      </c>
      <c r="R42" s="380">
        <f t="shared" si="26"/>
        <v>0</v>
      </c>
      <c r="S42" s="407">
        <f t="shared" si="26"/>
        <v>0</v>
      </c>
      <c r="T42" s="407">
        <f t="shared" si="27"/>
        <v>0</v>
      </c>
      <c r="U42" s="345">
        <f>R42</f>
        <v>0</v>
      </c>
      <c r="V42" s="345">
        <f t="shared" si="37"/>
        <v>0</v>
      </c>
      <c r="W42" s="349">
        <f t="shared" si="29"/>
        <v>0</v>
      </c>
      <c r="X42" s="343">
        <f t="shared" si="36"/>
        <v>0</v>
      </c>
      <c r="Y42" s="344">
        <f t="shared" si="36"/>
        <v>0</v>
      </c>
      <c r="Z42" s="345">
        <f t="shared" si="31"/>
        <v>0</v>
      </c>
      <c r="AA42" s="343">
        <v>0</v>
      </c>
      <c r="AB42" s="344"/>
      <c r="AC42" s="345">
        <f t="shared" si="32"/>
        <v>0</v>
      </c>
      <c r="AD42" s="343"/>
      <c r="AE42" s="344"/>
      <c r="AF42" s="345">
        <f t="shared" si="33"/>
        <v>0</v>
      </c>
    </row>
    <row r="43" spans="2:33" s="284" customFormat="1" ht="14.4" thickBot="1" x14ac:dyDescent="0.35">
      <c r="B43" s="307" t="s">
        <v>45</v>
      </c>
      <c r="C43" s="308">
        <f>C37+C38+C39</f>
        <v>0</v>
      </c>
      <c r="D43" s="308">
        <f>D37+D38+D39</f>
        <v>0</v>
      </c>
      <c r="E43" s="308">
        <f t="shared" si="20"/>
        <v>0</v>
      </c>
      <c r="F43" s="308">
        <f>F37+F38+F39</f>
        <v>0</v>
      </c>
      <c r="G43" s="308">
        <f>G37+G38+G39</f>
        <v>280000</v>
      </c>
      <c r="H43" s="308">
        <f t="shared" si="21"/>
        <v>280000</v>
      </c>
      <c r="I43" s="350">
        <f>I37+I38+I39</f>
        <v>127000</v>
      </c>
      <c r="J43" s="350">
        <f>J37+J38+J39</f>
        <v>127000</v>
      </c>
      <c r="K43" s="350">
        <f t="shared" si="22"/>
        <v>0</v>
      </c>
      <c r="L43" s="310">
        <f t="shared" si="23"/>
        <v>127000</v>
      </c>
      <c r="M43" s="311">
        <f t="shared" si="23"/>
        <v>407000</v>
      </c>
      <c r="N43" s="311">
        <f t="shared" si="24"/>
        <v>280000</v>
      </c>
      <c r="O43" s="308">
        <f>O37+O38+O39</f>
        <v>234719964</v>
      </c>
      <c r="P43" s="308">
        <f>P37+P38+P39</f>
        <v>286743618</v>
      </c>
      <c r="Q43" s="308">
        <f t="shared" si="25"/>
        <v>52023654</v>
      </c>
      <c r="R43" s="312">
        <f t="shared" si="26"/>
        <v>234846964</v>
      </c>
      <c r="S43" s="311">
        <f t="shared" si="26"/>
        <v>287150618</v>
      </c>
      <c r="T43" s="311">
        <f t="shared" si="27"/>
        <v>52303654</v>
      </c>
      <c r="U43" s="308">
        <f>U37+U38+U39</f>
        <v>234846964</v>
      </c>
      <c r="V43" s="308">
        <f>V37+V38+V39</f>
        <v>287150618</v>
      </c>
      <c r="W43" s="308">
        <f t="shared" si="29"/>
        <v>52303654</v>
      </c>
      <c r="X43" s="352">
        <f>X37+X38+X39</f>
        <v>234846964</v>
      </c>
      <c r="Y43" s="350">
        <f>Y37+Y38+Y39</f>
        <v>287150618</v>
      </c>
      <c r="Z43" s="350">
        <f t="shared" si="31"/>
        <v>52303654</v>
      </c>
      <c r="AA43" s="353">
        <f>AA37+AA38+AA39</f>
        <v>0</v>
      </c>
      <c r="AB43" s="350">
        <f>AB37+AB38+AB39</f>
        <v>0</v>
      </c>
      <c r="AC43" s="350">
        <f t="shared" si="32"/>
        <v>0</v>
      </c>
      <c r="AD43" s="350">
        <f>AD37+AD38+AD39</f>
        <v>0</v>
      </c>
      <c r="AE43" s="350">
        <f>AE37+AE38+AE39</f>
        <v>0</v>
      </c>
      <c r="AF43" s="350">
        <f t="shared" si="33"/>
        <v>0</v>
      </c>
    </row>
    <row r="44" spans="2:33" s="316" customFormat="1" ht="15.75" customHeight="1" thickBot="1" x14ac:dyDescent="0.35">
      <c r="B44" s="354" t="s">
        <v>279</v>
      </c>
      <c r="C44" s="355">
        <f>C43+C36</f>
        <v>14345085</v>
      </c>
      <c r="D44" s="355">
        <f>D43+D36</f>
        <v>15084585</v>
      </c>
      <c r="E44" s="355">
        <f t="shared" si="20"/>
        <v>739500</v>
      </c>
      <c r="F44" s="355">
        <f>F43+F36</f>
        <v>44044092</v>
      </c>
      <c r="G44" s="355">
        <f>G43+G36</f>
        <v>46663635</v>
      </c>
      <c r="H44" s="355">
        <f t="shared" si="21"/>
        <v>2619543</v>
      </c>
      <c r="I44" s="355">
        <f>I43+I36</f>
        <v>47396965</v>
      </c>
      <c r="J44" s="355">
        <f>J43+J36</f>
        <v>48235386</v>
      </c>
      <c r="K44" s="355">
        <f t="shared" si="22"/>
        <v>838421</v>
      </c>
      <c r="L44" s="356">
        <f t="shared" si="23"/>
        <v>105786142</v>
      </c>
      <c r="M44" s="357">
        <f t="shared" si="23"/>
        <v>109983606</v>
      </c>
      <c r="N44" s="357">
        <f t="shared" si="24"/>
        <v>4197464</v>
      </c>
      <c r="O44" s="355">
        <f>O43+O36</f>
        <v>919247419</v>
      </c>
      <c r="P44" s="355">
        <f>P43+P36</f>
        <v>940271301</v>
      </c>
      <c r="Q44" s="355">
        <f t="shared" si="25"/>
        <v>21023882</v>
      </c>
      <c r="R44" s="358">
        <f t="shared" si="26"/>
        <v>1025033561</v>
      </c>
      <c r="S44" s="357">
        <f t="shared" si="26"/>
        <v>1050254907</v>
      </c>
      <c r="T44" s="357">
        <f t="shared" si="27"/>
        <v>25221346</v>
      </c>
      <c r="U44" s="355">
        <f>U43+U36</f>
        <v>1025033561</v>
      </c>
      <c r="V44" s="355">
        <f>V43+V36</f>
        <v>1050254907</v>
      </c>
      <c r="W44" s="355">
        <f t="shared" si="29"/>
        <v>25221346</v>
      </c>
      <c r="X44" s="360">
        <f>X43+X36</f>
        <v>1022833561</v>
      </c>
      <c r="Y44" s="355">
        <f>Y43+Y36</f>
        <v>1046534907</v>
      </c>
      <c r="Z44" s="355">
        <f t="shared" si="31"/>
        <v>23701346</v>
      </c>
      <c r="AA44" s="361">
        <f>AA43+AA36</f>
        <v>2200000</v>
      </c>
      <c r="AB44" s="355">
        <f>AB43+AB36</f>
        <v>3720000</v>
      </c>
      <c r="AC44" s="355">
        <f t="shared" si="32"/>
        <v>1520000</v>
      </c>
      <c r="AD44" s="355">
        <f>AD43+AD36</f>
        <v>0</v>
      </c>
      <c r="AE44" s="355">
        <f>AE43+AE36</f>
        <v>0</v>
      </c>
      <c r="AF44" s="355">
        <f t="shared" si="33"/>
        <v>0</v>
      </c>
    </row>
    <row r="45" spans="2:33" s="284" customFormat="1" ht="15.75" customHeight="1" thickBot="1" x14ac:dyDescent="0.35">
      <c r="B45" s="408" t="s">
        <v>46</v>
      </c>
      <c r="C45" s="409">
        <v>0</v>
      </c>
      <c r="D45" s="409">
        <v>0</v>
      </c>
      <c r="E45" s="409">
        <f t="shared" si="20"/>
        <v>0</v>
      </c>
      <c r="F45" s="409">
        <v>0</v>
      </c>
      <c r="G45" s="409">
        <v>0</v>
      </c>
      <c r="H45" s="409">
        <f t="shared" si="21"/>
        <v>0</v>
      </c>
      <c r="I45" s="409">
        <v>0</v>
      </c>
      <c r="J45" s="409">
        <v>0</v>
      </c>
      <c r="K45" s="409">
        <f t="shared" si="22"/>
        <v>0</v>
      </c>
      <c r="L45" s="310">
        <f t="shared" si="23"/>
        <v>0</v>
      </c>
      <c r="M45" s="312">
        <f t="shared" si="23"/>
        <v>0</v>
      </c>
      <c r="N45" s="312">
        <f t="shared" si="24"/>
        <v>0</v>
      </c>
      <c r="O45" s="409">
        <f>72586347+5742419</f>
        <v>78328766</v>
      </c>
      <c r="P45" s="409">
        <v>80287809</v>
      </c>
      <c r="Q45" s="409">
        <f t="shared" si="25"/>
        <v>1959043</v>
      </c>
      <c r="R45" s="312">
        <f t="shared" si="26"/>
        <v>78328766</v>
      </c>
      <c r="S45" s="312">
        <f t="shared" si="26"/>
        <v>80287809</v>
      </c>
      <c r="T45" s="312">
        <f t="shared" si="27"/>
        <v>1959043</v>
      </c>
      <c r="U45" s="409">
        <f>R45-L19</f>
        <v>5742419</v>
      </c>
      <c r="V45" s="409">
        <f>S45-M19</f>
        <v>5742419</v>
      </c>
      <c r="W45" s="409">
        <f t="shared" si="29"/>
        <v>0</v>
      </c>
      <c r="X45" s="410">
        <f t="shared" ref="X45:Y45" si="38">+U45-AA45-AD45</f>
        <v>5742419</v>
      </c>
      <c r="Y45" s="409">
        <f t="shared" si="38"/>
        <v>5742419</v>
      </c>
      <c r="Z45" s="409">
        <f t="shared" si="31"/>
        <v>0</v>
      </c>
      <c r="AA45" s="411"/>
      <c r="AB45" s="409">
        <v>0</v>
      </c>
      <c r="AC45" s="409">
        <f t="shared" si="32"/>
        <v>0</v>
      </c>
      <c r="AD45" s="409"/>
      <c r="AE45" s="409">
        <v>0</v>
      </c>
      <c r="AF45" s="409">
        <f t="shared" si="33"/>
        <v>0</v>
      </c>
      <c r="AG45" s="18"/>
    </row>
    <row r="46" spans="2:33" s="316" customFormat="1" ht="15.75" customHeight="1" thickBot="1" x14ac:dyDescent="0.35">
      <c r="B46" s="384" t="s">
        <v>47</v>
      </c>
      <c r="C46" s="350">
        <f>C45+C44</f>
        <v>14345085</v>
      </c>
      <c r="D46" s="350">
        <f>D45+D44</f>
        <v>15084585</v>
      </c>
      <c r="E46" s="350">
        <f t="shared" si="20"/>
        <v>739500</v>
      </c>
      <c r="F46" s="350">
        <f>F45+F44</f>
        <v>44044092</v>
      </c>
      <c r="G46" s="350">
        <f>G45+G44</f>
        <v>46663635</v>
      </c>
      <c r="H46" s="350">
        <f t="shared" si="21"/>
        <v>2619543</v>
      </c>
      <c r="I46" s="350">
        <f>I45+I44</f>
        <v>47396965</v>
      </c>
      <c r="J46" s="350">
        <f>J45+J44</f>
        <v>48235386</v>
      </c>
      <c r="K46" s="350">
        <f t="shared" si="22"/>
        <v>838421</v>
      </c>
      <c r="L46" s="385">
        <f t="shared" si="23"/>
        <v>105786142</v>
      </c>
      <c r="M46" s="386">
        <f t="shared" si="23"/>
        <v>109983606</v>
      </c>
      <c r="N46" s="386">
        <f t="shared" si="24"/>
        <v>4197464</v>
      </c>
      <c r="O46" s="350">
        <f>O45+O44</f>
        <v>997576185</v>
      </c>
      <c r="P46" s="350">
        <f>P45+P44</f>
        <v>1020559110</v>
      </c>
      <c r="Q46" s="350">
        <f t="shared" si="25"/>
        <v>22982925</v>
      </c>
      <c r="R46" s="387">
        <f t="shared" si="26"/>
        <v>1103362327</v>
      </c>
      <c r="S46" s="386">
        <f t="shared" si="26"/>
        <v>1130542716</v>
      </c>
      <c r="T46" s="386">
        <f t="shared" si="27"/>
        <v>27180389</v>
      </c>
      <c r="U46" s="350">
        <f>U45+U44</f>
        <v>1030775980</v>
      </c>
      <c r="V46" s="350">
        <f>V45+V44</f>
        <v>1055997326</v>
      </c>
      <c r="W46" s="350">
        <f t="shared" si="29"/>
        <v>25221346</v>
      </c>
      <c r="X46" s="352">
        <f>X45+X44</f>
        <v>1028575980</v>
      </c>
      <c r="Y46" s="350">
        <f>Y45+Y44</f>
        <v>1052277326</v>
      </c>
      <c r="Z46" s="350">
        <f t="shared" si="31"/>
        <v>23701346</v>
      </c>
      <c r="AA46" s="353">
        <f>AA45+AA44</f>
        <v>2200000</v>
      </c>
      <c r="AB46" s="350">
        <f>AB45+AB44</f>
        <v>3720000</v>
      </c>
      <c r="AC46" s="350">
        <f t="shared" si="32"/>
        <v>1520000</v>
      </c>
      <c r="AD46" s="350">
        <f>AD45+AD44</f>
        <v>0</v>
      </c>
      <c r="AE46" s="350">
        <f>AE45+AE44</f>
        <v>0</v>
      </c>
      <c r="AF46" s="350">
        <f t="shared" si="33"/>
        <v>0</v>
      </c>
    </row>
    <row r="47" spans="2:33" thickBot="1" x14ac:dyDescent="0.35">
      <c r="C47" s="412">
        <f>+C46-C23</f>
        <v>0</v>
      </c>
      <c r="D47" s="412">
        <f>+D46-D23</f>
        <v>0</v>
      </c>
      <c r="E47" s="412">
        <f>+E46-E23</f>
        <v>0</v>
      </c>
      <c r="F47" s="412">
        <f t="shared" ref="F47:R47" si="39">+F46-F23</f>
        <v>0</v>
      </c>
      <c r="G47" s="412">
        <f>+G46-G23</f>
        <v>0</v>
      </c>
      <c r="H47" s="412">
        <f>+H46-H23</f>
        <v>0</v>
      </c>
      <c r="I47" s="412">
        <f t="shared" si="39"/>
        <v>0</v>
      </c>
      <c r="J47" s="412">
        <f>+J46-J23</f>
        <v>0</v>
      </c>
      <c r="K47" s="412">
        <f>+K46-K23</f>
        <v>0</v>
      </c>
      <c r="L47" s="412">
        <f t="shared" si="39"/>
        <v>0</v>
      </c>
      <c r="M47" s="412">
        <f>+M46-M23</f>
        <v>0</v>
      </c>
      <c r="N47" s="412">
        <f>+N46-N23</f>
        <v>0</v>
      </c>
      <c r="O47" s="412">
        <f t="shared" si="39"/>
        <v>0</v>
      </c>
      <c r="P47" s="412">
        <f>+P46-P23</f>
        <v>0</v>
      </c>
      <c r="Q47" s="412">
        <f>+Q46-Q23</f>
        <v>0</v>
      </c>
      <c r="R47" s="412">
        <f t="shared" si="39"/>
        <v>0</v>
      </c>
      <c r="S47" s="412">
        <f>+S46-S23</f>
        <v>0</v>
      </c>
      <c r="T47" s="412">
        <f>+T46-T23</f>
        <v>0</v>
      </c>
      <c r="U47" s="412"/>
      <c r="V47" s="412">
        <f>+V46-V23</f>
        <v>0</v>
      </c>
      <c r="W47" s="412">
        <f>+W46-W23</f>
        <v>0</v>
      </c>
    </row>
    <row r="48" spans="2:33" s="425" customFormat="1" ht="13.2" x14ac:dyDescent="0.25">
      <c r="B48" s="413" t="s">
        <v>48</v>
      </c>
      <c r="C48" s="414">
        <f>SUM(C49:C51)</f>
        <v>4</v>
      </c>
      <c r="D48" s="414">
        <f>SUM(D49:D51)</f>
        <v>4</v>
      </c>
      <c r="E48" s="414">
        <f t="shared" ref="E48:E51" si="40">+D48-C48</f>
        <v>0</v>
      </c>
      <c r="F48" s="415">
        <f>SUM(F49:F51)</f>
        <v>4</v>
      </c>
      <c r="G48" s="414">
        <f>SUM(G49:G51)</f>
        <v>4</v>
      </c>
      <c r="H48" s="416">
        <f t="shared" ref="H48:H51" si="41">+G48-F48</f>
        <v>0</v>
      </c>
      <c r="I48" s="415">
        <f>SUM(I49:I51)</f>
        <v>7.5</v>
      </c>
      <c r="J48" s="414">
        <f>SUM(J49:J51)</f>
        <v>7.5</v>
      </c>
      <c r="K48" s="417">
        <f t="shared" ref="K48:K51" si="42">+J48-I48</f>
        <v>0</v>
      </c>
      <c r="L48" s="418">
        <f>+C48+F48+I48</f>
        <v>15.5</v>
      </c>
      <c r="M48" s="418">
        <f t="shared" ref="M48:M51" si="43">+D48+G48+J48</f>
        <v>15.5</v>
      </c>
      <c r="N48" s="419">
        <f t="shared" ref="N48:N51" si="44">+M48-L48</f>
        <v>0</v>
      </c>
      <c r="O48" s="414">
        <f>SUM(O49:O50)</f>
        <v>8</v>
      </c>
      <c r="P48" s="414">
        <f>SUM(P49:P51)</f>
        <v>7.5</v>
      </c>
      <c r="Q48" s="416">
        <f t="shared" ref="Q48:Q51" si="45">+P48-O48</f>
        <v>-0.5</v>
      </c>
      <c r="R48" s="420">
        <f t="shared" ref="R48:S51" si="46">+O48+L48</f>
        <v>23.5</v>
      </c>
      <c r="S48" s="421">
        <f t="shared" si="46"/>
        <v>23</v>
      </c>
      <c r="T48" s="422">
        <f t="shared" ref="T48:T51" si="47">+S48-R48</f>
        <v>-0.5</v>
      </c>
      <c r="U48" s="423"/>
      <c r="V48" s="424"/>
      <c r="W48" s="424"/>
    </row>
    <row r="49" spans="2:23" s="439" customFormat="1" ht="13.2" x14ac:dyDescent="0.25">
      <c r="B49" s="426" t="s">
        <v>49</v>
      </c>
      <c r="C49" s="427">
        <v>4</v>
      </c>
      <c r="D49" s="427">
        <v>4</v>
      </c>
      <c r="E49" s="427">
        <f t="shared" si="40"/>
        <v>0</v>
      </c>
      <c r="F49" s="428">
        <v>2</v>
      </c>
      <c r="G49" s="428">
        <v>2</v>
      </c>
      <c r="H49" s="429">
        <f t="shared" si="41"/>
        <v>0</v>
      </c>
      <c r="I49" s="430">
        <v>7</v>
      </c>
      <c r="J49" s="428">
        <v>7</v>
      </c>
      <c r="K49" s="431">
        <f t="shared" si="42"/>
        <v>0</v>
      </c>
      <c r="L49" s="432">
        <f t="shared" ref="L49:L51" si="48">+C49+F49+I49</f>
        <v>13</v>
      </c>
      <c r="M49" s="432">
        <f t="shared" si="43"/>
        <v>13</v>
      </c>
      <c r="N49" s="433">
        <f t="shared" si="44"/>
        <v>0</v>
      </c>
      <c r="O49" s="427">
        <v>2</v>
      </c>
      <c r="P49" s="428">
        <v>7</v>
      </c>
      <c r="Q49" s="429">
        <f t="shared" si="45"/>
        <v>5</v>
      </c>
      <c r="R49" s="434">
        <f t="shared" si="46"/>
        <v>15</v>
      </c>
      <c r="S49" s="435">
        <f t="shared" si="46"/>
        <v>20</v>
      </c>
      <c r="T49" s="436">
        <f t="shared" si="47"/>
        <v>5</v>
      </c>
      <c r="U49" s="437"/>
      <c r="V49" s="438"/>
      <c r="W49" s="438"/>
    </row>
    <row r="50" spans="2:23" s="439" customFormat="1" ht="13.2" x14ac:dyDescent="0.25">
      <c r="B50" s="426" t="s">
        <v>50</v>
      </c>
      <c r="C50" s="427"/>
      <c r="D50" s="427"/>
      <c r="E50" s="427">
        <f t="shared" si="40"/>
        <v>0</v>
      </c>
      <c r="F50" s="428">
        <v>1</v>
      </c>
      <c r="G50" s="428">
        <v>1</v>
      </c>
      <c r="H50" s="429">
        <f t="shared" si="41"/>
        <v>0</v>
      </c>
      <c r="I50" s="430">
        <v>0.5</v>
      </c>
      <c r="J50" s="428">
        <v>0.5</v>
      </c>
      <c r="K50" s="431">
        <f t="shared" si="42"/>
        <v>0</v>
      </c>
      <c r="L50" s="432">
        <f t="shared" si="48"/>
        <v>1.5</v>
      </c>
      <c r="M50" s="432">
        <f t="shared" si="43"/>
        <v>1.5</v>
      </c>
      <c r="N50" s="433">
        <f t="shared" si="44"/>
        <v>0</v>
      </c>
      <c r="O50" s="427">
        <v>6</v>
      </c>
      <c r="P50" s="428">
        <v>0.5</v>
      </c>
      <c r="Q50" s="429">
        <f t="shared" si="45"/>
        <v>-5.5</v>
      </c>
      <c r="R50" s="434">
        <f t="shared" si="46"/>
        <v>7.5</v>
      </c>
      <c r="S50" s="435">
        <f t="shared" si="46"/>
        <v>2</v>
      </c>
      <c r="T50" s="436">
        <f t="shared" si="47"/>
        <v>-5.5</v>
      </c>
      <c r="V50" s="438"/>
      <c r="W50" s="438"/>
    </row>
    <row r="51" spans="2:23" s="425" customFormat="1" ht="13.8" thickBot="1" x14ac:dyDescent="0.3">
      <c r="B51" s="440" t="s">
        <v>312</v>
      </c>
      <c r="C51" s="441"/>
      <c r="D51" s="441"/>
      <c r="E51" s="441">
        <f t="shared" si="40"/>
        <v>0</v>
      </c>
      <c r="F51" s="442">
        <v>1</v>
      </c>
      <c r="G51" s="442">
        <v>1</v>
      </c>
      <c r="H51" s="443">
        <f t="shared" si="41"/>
        <v>0</v>
      </c>
      <c r="I51" s="444">
        <v>0</v>
      </c>
      <c r="J51" s="445">
        <v>0</v>
      </c>
      <c r="K51" s="446">
        <f t="shared" si="42"/>
        <v>0</v>
      </c>
      <c r="L51" s="447">
        <f t="shared" si="48"/>
        <v>1</v>
      </c>
      <c r="M51" s="447">
        <f t="shared" si="43"/>
        <v>1</v>
      </c>
      <c r="N51" s="448">
        <f t="shared" si="44"/>
        <v>0</v>
      </c>
      <c r="O51" s="441">
        <v>0</v>
      </c>
      <c r="P51" s="445">
        <v>0</v>
      </c>
      <c r="Q51" s="443">
        <f t="shared" si="45"/>
        <v>0</v>
      </c>
      <c r="R51" s="449">
        <f t="shared" si="46"/>
        <v>1</v>
      </c>
      <c r="S51" s="450">
        <f t="shared" si="46"/>
        <v>1</v>
      </c>
      <c r="T51" s="451">
        <f t="shared" si="47"/>
        <v>0</v>
      </c>
      <c r="V51" s="424"/>
      <c r="W51" s="424"/>
    </row>
  </sheetData>
  <mergeCells count="19">
    <mergeCell ref="R25:T25"/>
    <mergeCell ref="C3:E3"/>
    <mergeCell ref="F3:H3"/>
    <mergeCell ref="I3:K3"/>
    <mergeCell ref="L3:N3"/>
    <mergeCell ref="O3:Q3"/>
    <mergeCell ref="R3:T3"/>
    <mergeCell ref="C25:E25"/>
    <mergeCell ref="F25:H25"/>
    <mergeCell ref="I25:K25"/>
    <mergeCell ref="L25:N25"/>
    <mergeCell ref="O25:Q25"/>
    <mergeCell ref="U25:W25"/>
    <mergeCell ref="AA25:AC25"/>
    <mergeCell ref="AD25:AF25"/>
    <mergeCell ref="U3:W3"/>
    <mergeCell ref="X3:Z3"/>
    <mergeCell ref="AA3:AC3"/>
    <mergeCell ref="AD3:AF3"/>
  </mergeCells>
  <pageMargins left="0.51181102362204722" right="0.39370078740157483" top="0.35433070866141736" bottom="0.43307086614173229" header="0.31496062992125984" footer="0.31496062992125984"/>
  <pageSetup paperSize="9" scale="86" orientation="portrait" r:id="rId1"/>
  <headerFooter alignWithMargins="0"/>
  <colBreaks count="2" manualBreakCount="2">
    <brk id="8" max="50" man="1"/>
    <brk id="20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C953B-9401-46F0-8ECC-E70B484BFE3B}">
  <sheetPr>
    <tabColor rgb="FF00B050"/>
  </sheetPr>
  <dimension ref="A1:E30"/>
  <sheetViews>
    <sheetView workbookViewId="0">
      <selection activeCell="G7" sqref="G7"/>
    </sheetView>
  </sheetViews>
  <sheetFormatPr defaultRowHeight="13.2" x14ac:dyDescent="0.25"/>
  <cols>
    <col min="1" max="1" width="3.88671875" style="511" customWidth="1"/>
    <col min="2" max="2" width="45" style="511" customWidth="1"/>
    <col min="3" max="3" width="12.44140625" style="511" customWidth="1"/>
    <col min="4" max="4" width="13" style="511" customWidth="1"/>
    <col min="5" max="5" width="12.44140625" style="511" customWidth="1"/>
    <col min="6" max="256" width="8.88671875" style="511"/>
    <col min="257" max="257" width="3.88671875" style="511" customWidth="1"/>
    <col min="258" max="258" width="63.88671875" style="511" customWidth="1"/>
    <col min="259" max="259" width="16" style="511" customWidth="1"/>
    <col min="260" max="512" width="8.88671875" style="511"/>
    <col min="513" max="513" width="3.88671875" style="511" customWidth="1"/>
    <col min="514" max="514" width="63.88671875" style="511" customWidth="1"/>
    <col min="515" max="515" width="16" style="511" customWidth="1"/>
    <col min="516" max="768" width="8.88671875" style="511"/>
    <col min="769" max="769" width="3.88671875" style="511" customWidth="1"/>
    <col min="770" max="770" width="63.88671875" style="511" customWidth="1"/>
    <col min="771" max="771" width="16" style="511" customWidth="1"/>
    <col min="772" max="1024" width="8.88671875" style="511"/>
    <col min="1025" max="1025" width="3.88671875" style="511" customWidth="1"/>
    <col min="1026" max="1026" width="63.88671875" style="511" customWidth="1"/>
    <col min="1027" max="1027" width="16" style="511" customWidth="1"/>
    <col min="1028" max="1280" width="8.88671875" style="511"/>
    <col min="1281" max="1281" width="3.88671875" style="511" customWidth="1"/>
    <col min="1282" max="1282" width="63.88671875" style="511" customWidth="1"/>
    <col min="1283" max="1283" width="16" style="511" customWidth="1"/>
    <col min="1284" max="1536" width="8.88671875" style="511"/>
    <col min="1537" max="1537" width="3.88671875" style="511" customWidth="1"/>
    <col min="1538" max="1538" width="63.88671875" style="511" customWidth="1"/>
    <col min="1539" max="1539" width="16" style="511" customWidth="1"/>
    <col min="1540" max="1792" width="8.88671875" style="511"/>
    <col min="1793" max="1793" width="3.88671875" style="511" customWidth="1"/>
    <col min="1794" max="1794" width="63.88671875" style="511" customWidth="1"/>
    <col min="1795" max="1795" width="16" style="511" customWidth="1"/>
    <col min="1796" max="2048" width="8.88671875" style="511"/>
    <col min="2049" max="2049" width="3.88671875" style="511" customWidth="1"/>
    <col min="2050" max="2050" width="63.88671875" style="511" customWidth="1"/>
    <col min="2051" max="2051" width="16" style="511" customWidth="1"/>
    <col min="2052" max="2304" width="8.88671875" style="511"/>
    <col min="2305" max="2305" width="3.88671875" style="511" customWidth="1"/>
    <col min="2306" max="2306" width="63.88671875" style="511" customWidth="1"/>
    <col min="2307" max="2307" width="16" style="511" customWidth="1"/>
    <col min="2308" max="2560" width="8.88671875" style="511"/>
    <col min="2561" max="2561" width="3.88671875" style="511" customWidth="1"/>
    <col min="2562" max="2562" width="63.88671875" style="511" customWidth="1"/>
    <col min="2563" max="2563" width="16" style="511" customWidth="1"/>
    <col min="2564" max="2816" width="8.88671875" style="511"/>
    <col min="2817" max="2817" width="3.88671875" style="511" customWidth="1"/>
    <col min="2818" max="2818" width="63.88671875" style="511" customWidth="1"/>
    <col min="2819" max="2819" width="16" style="511" customWidth="1"/>
    <col min="2820" max="3072" width="8.88671875" style="511"/>
    <col min="3073" max="3073" width="3.88671875" style="511" customWidth="1"/>
    <col min="3074" max="3074" width="63.88671875" style="511" customWidth="1"/>
    <col min="3075" max="3075" width="16" style="511" customWidth="1"/>
    <col min="3076" max="3328" width="8.88671875" style="511"/>
    <col min="3329" max="3329" width="3.88671875" style="511" customWidth="1"/>
    <col min="3330" max="3330" width="63.88671875" style="511" customWidth="1"/>
    <col min="3331" max="3331" width="16" style="511" customWidth="1"/>
    <col min="3332" max="3584" width="8.88671875" style="511"/>
    <col min="3585" max="3585" width="3.88671875" style="511" customWidth="1"/>
    <col min="3586" max="3586" width="63.88671875" style="511" customWidth="1"/>
    <col min="3587" max="3587" width="16" style="511" customWidth="1"/>
    <col min="3588" max="3840" width="8.88671875" style="511"/>
    <col min="3841" max="3841" width="3.88671875" style="511" customWidth="1"/>
    <col min="3842" max="3842" width="63.88671875" style="511" customWidth="1"/>
    <col min="3843" max="3843" width="16" style="511" customWidth="1"/>
    <col min="3844" max="4096" width="8.88671875" style="511"/>
    <col min="4097" max="4097" width="3.88671875" style="511" customWidth="1"/>
    <col min="4098" max="4098" width="63.88671875" style="511" customWidth="1"/>
    <col min="4099" max="4099" width="16" style="511" customWidth="1"/>
    <col min="4100" max="4352" width="8.88671875" style="511"/>
    <col min="4353" max="4353" width="3.88671875" style="511" customWidth="1"/>
    <col min="4354" max="4354" width="63.88671875" style="511" customWidth="1"/>
    <col min="4355" max="4355" width="16" style="511" customWidth="1"/>
    <col min="4356" max="4608" width="8.88671875" style="511"/>
    <col min="4609" max="4609" width="3.88671875" style="511" customWidth="1"/>
    <col min="4610" max="4610" width="63.88671875" style="511" customWidth="1"/>
    <col min="4611" max="4611" width="16" style="511" customWidth="1"/>
    <col min="4612" max="4864" width="8.88671875" style="511"/>
    <col min="4865" max="4865" width="3.88671875" style="511" customWidth="1"/>
    <col min="4866" max="4866" width="63.88671875" style="511" customWidth="1"/>
    <col min="4867" max="4867" width="16" style="511" customWidth="1"/>
    <col min="4868" max="5120" width="8.88671875" style="511"/>
    <col min="5121" max="5121" width="3.88671875" style="511" customWidth="1"/>
    <col min="5122" max="5122" width="63.88671875" style="511" customWidth="1"/>
    <col min="5123" max="5123" width="16" style="511" customWidth="1"/>
    <col min="5124" max="5376" width="8.88671875" style="511"/>
    <col min="5377" max="5377" width="3.88671875" style="511" customWidth="1"/>
    <col min="5378" max="5378" width="63.88671875" style="511" customWidth="1"/>
    <col min="5379" max="5379" width="16" style="511" customWidth="1"/>
    <col min="5380" max="5632" width="8.88671875" style="511"/>
    <col min="5633" max="5633" width="3.88671875" style="511" customWidth="1"/>
    <col min="5634" max="5634" width="63.88671875" style="511" customWidth="1"/>
    <col min="5635" max="5635" width="16" style="511" customWidth="1"/>
    <col min="5636" max="5888" width="8.88671875" style="511"/>
    <col min="5889" max="5889" width="3.88671875" style="511" customWidth="1"/>
    <col min="5890" max="5890" width="63.88671875" style="511" customWidth="1"/>
    <col min="5891" max="5891" width="16" style="511" customWidth="1"/>
    <col min="5892" max="6144" width="8.88671875" style="511"/>
    <col min="6145" max="6145" width="3.88671875" style="511" customWidth="1"/>
    <col min="6146" max="6146" width="63.88671875" style="511" customWidth="1"/>
    <col min="6147" max="6147" width="16" style="511" customWidth="1"/>
    <col min="6148" max="6400" width="8.88671875" style="511"/>
    <col min="6401" max="6401" width="3.88671875" style="511" customWidth="1"/>
    <col min="6402" max="6402" width="63.88671875" style="511" customWidth="1"/>
    <col min="6403" max="6403" width="16" style="511" customWidth="1"/>
    <col min="6404" max="6656" width="8.88671875" style="511"/>
    <col min="6657" max="6657" width="3.88671875" style="511" customWidth="1"/>
    <col min="6658" max="6658" width="63.88671875" style="511" customWidth="1"/>
    <col min="6659" max="6659" width="16" style="511" customWidth="1"/>
    <col min="6660" max="6912" width="8.88671875" style="511"/>
    <col min="6913" max="6913" width="3.88671875" style="511" customWidth="1"/>
    <col min="6914" max="6914" width="63.88671875" style="511" customWidth="1"/>
    <col min="6915" max="6915" width="16" style="511" customWidth="1"/>
    <col min="6916" max="7168" width="8.88671875" style="511"/>
    <col min="7169" max="7169" width="3.88671875" style="511" customWidth="1"/>
    <col min="7170" max="7170" width="63.88671875" style="511" customWidth="1"/>
    <col min="7171" max="7171" width="16" style="511" customWidth="1"/>
    <col min="7172" max="7424" width="8.88671875" style="511"/>
    <col min="7425" max="7425" width="3.88671875" style="511" customWidth="1"/>
    <col min="7426" max="7426" width="63.88671875" style="511" customWidth="1"/>
    <col min="7427" max="7427" width="16" style="511" customWidth="1"/>
    <col min="7428" max="7680" width="8.88671875" style="511"/>
    <col min="7681" max="7681" width="3.88671875" style="511" customWidth="1"/>
    <col min="7682" max="7682" width="63.88671875" style="511" customWidth="1"/>
    <col min="7683" max="7683" width="16" style="511" customWidth="1"/>
    <col min="7684" max="7936" width="8.88671875" style="511"/>
    <col min="7937" max="7937" width="3.88671875" style="511" customWidth="1"/>
    <col min="7938" max="7938" width="63.88671875" style="511" customWidth="1"/>
    <col min="7939" max="7939" width="16" style="511" customWidth="1"/>
    <col min="7940" max="8192" width="8.88671875" style="511"/>
    <col min="8193" max="8193" width="3.88671875" style="511" customWidth="1"/>
    <col min="8194" max="8194" width="63.88671875" style="511" customWidth="1"/>
    <col min="8195" max="8195" width="16" style="511" customWidth="1"/>
    <col min="8196" max="8448" width="8.88671875" style="511"/>
    <col min="8449" max="8449" width="3.88671875" style="511" customWidth="1"/>
    <col min="8450" max="8450" width="63.88671875" style="511" customWidth="1"/>
    <col min="8451" max="8451" width="16" style="511" customWidth="1"/>
    <col min="8452" max="8704" width="8.88671875" style="511"/>
    <col min="8705" max="8705" width="3.88671875" style="511" customWidth="1"/>
    <col min="8706" max="8706" width="63.88671875" style="511" customWidth="1"/>
    <col min="8707" max="8707" width="16" style="511" customWidth="1"/>
    <col min="8708" max="8960" width="8.88671875" style="511"/>
    <col min="8961" max="8961" width="3.88671875" style="511" customWidth="1"/>
    <col min="8962" max="8962" width="63.88671875" style="511" customWidth="1"/>
    <col min="8963" max="8963" width="16" style="511" customWidth="1"/>
    <col min="8964" max="9216" width="8.88671875" style="511"/>
    <col min="9217" max="9217" width="3.88671875" style="511" customWidth="1"/>
    <col min="9218" max="9218" width="63.88671875" style="511" customWidth="1"/>
    <col min="9219" max="9219" width="16" style="511" customWidth="1"/>
    <col min="9220" max="9472" width="8.88671875" style="511"/>
    <col min="9473" max="9473" width="3.88671875" style="511" customWidth="1"/>
    <col min="9474" max="9474" width="63.88671875" style="511" customWidth="1"/>
    <col min="9475" max="9475" width="16" style="511" customWidth="1"/>
    <col min="9476" max="9728" width="8.88671875" style="511"/>
    <col min="9729" max="9729" width="3.88671875" style="511" customWidth="1"/>
    <col min="9730" max="9730" width="63.88671875" style="511" customWidth="1"/>
    <col min="9731" max="9731" width="16" style="511" customWidth="1"/>
    <col min="9732" max="9984" width="8.88671875" style="511"/>
    <col min="9985" max="9985" width="3.88671875" style="511" customWidth="1"/>
    <col min="9986" max="9986" width="63.88671875" style="511" customWidth="1"/>
    <col min="9987" max="9987" width="16" style="511" customWidth="1"/>
    <col min="9988" max="10240" width="8.88671875" style="511"/>
    <col min="10241" max="10241" width="3.88671875" style="511" customWidth="1"/>
    <col min="10242" max="10242" width="63.88671875" style="511" customWidth="1"/>
    <col min="10243" max="10243" width="16" style="511" customWidth="1"/>
    <col min="10244" max="10496" width="8.88671875" style="511"/>
    <col min="10497" max="10497" width="3.88671875" style="511" customWidth="1"/>
    <col min="10498" max="10498" width="63.88671875" style="511" customWidth="1"/>
    <col min="10499" max="10499" width="16" style="511" customWidth="1"/>
    <col min="10500" max="10752" width="8.88671875" style="511"/>
    <col min="10753" max="10753" width="3.88671875" style="511" customWidth="1"/>
    <col min="10754" max="10754" width="63.88671875" style="511" customWidth="1"/>
    <col min="10755" max="10755" width="16" style="511" customWidth="1"/>
    <col min="10756" max="11008" width="8.88671875" style="511"/>
    <col min="11009" max="11009" width="3.88671875" style="511" customWidth="1"/>
    <col min="11010" max="11010" width="63.88671875" style="511" customWidth="1"/>
    <col min="11011" max="11011" width="16" style="511" customWidth="1"/>
    <col min="11012" max="11264" width="8.88671875" style="511"/>
    <col min="11265" max="11265" width="3.88671875" style="511" customWidth="1"/>
    <col min="11266" max="11266" width="63.88671875" style="511" customWidth="1"/>
    <col min="11267" max="11267" width="16" style="511" customWidth="1"/>
    <col min="11268" max="11520" width="8.88671875" style="511"/>
    <col min="11521" max="11521" width="3.88671875" style="511" customWidth="1"/>
    <col min="11522" max="11522" width="63.88671875" style="511" customWidth="1"/>
    <col min="11523" max="11523" width="16" style="511" customWidth="1"/>
    <col min="11524" max="11776" width="8.88671875" style="511"/>
    <col min="11777" max="11777" width="3.88671875" style="511" customWidth="1"/>
    <col min="11778" max="11778" width="63.88671875" style="511" customWidth="1"/>
    <col min="11779" max="11779" width="16" style="511" customWidth="1"/>
    <col min="11780" max="12032" width="8.88671875" style="511"/>
    <col min="12033" max="12033" width="3.88671875" style="511" customWidth="1"/>
    <col min="12034" max="12034" width="63.88671875" style="511" customWidth="1"/>
    <col min="12035" max="12035" width="16" style="511" customWidth="1"/>
    <col min="12036" max="12288" width="8.88671875" style="511"/>
    <col min="12289" max="12289" width="3.88671875" style="511" customWidth="1"/>
    <col min="12290" max="12290" width="63.88671875" style="511" customWidth="1"/>
    <col min="12291" max="12291" width="16" style="511" customWidth="1"/>
    <col min="12292" max="12544" width="8.88671875" style="511"/>
    <col min="12545" max="12545" width="3.88671875" style="511" customWidth="1"/>
    <col min="12546" max="12546" width="63.88671875" style="511" customWidth="1"/>
    <col min="12547" max="12547" width="16" style="511" customWidth="1"/>
    <col min="12548" max="12800" width="8.88671875" style="511"/>
    <col min="12801" max="12801" width="3.88671875" style="511" customWidth="1"/>
    <col min="12802" max="12802" width="63.88671875" style="511" customWidth="1"/>
    <col min="12803" max="12803" width="16" style="511" customWidth="1"/>
    <col min="12804" max="13056" width="8.88671875" style="511"/>
    <col min="13057" max="13057" width="3.88671875" style="511" customWidth="1"/>
    <col min="13058" max="13058" width="63.88671875" style="511" customWidth="1"/>
    <col min="13059" max="13059" width="16" style="511" customWidth="1"/>
    <col min="13060" max="13312" width="8.88671875" style="511"/>
    <col min="13313" max="13313" width="3.88671875" style="511" customWidth="1"/>
    <col min="13314" max="13314" width="63.88671875" style="511" customWidth="1"/>
    <col min="13315" max="13315" width="16" style="511" customWidth="1"/>
    <col min="13316" max="13568" width="8.88671875" style="511"/>
    <col min="13569" max="13569" width="3.88671875" style="511" customWidth="1"/>
    <col min="13570" max="13570" width="63.88671875" style="511" customWidth="1"/>
    <col min="13571" max="13571" width="16" style="511" customWidth="1"/>
    <col min="13572" max="13824" width="8.88671875" style="511"/>
    <col min="13825" max="13825" width="3.88671875" style="511" customWidth="1"/>
    <col min="13826" max="13826" width="63.88671875" style="511" customWidth="1"/>
    <col min="13827" max="13827" width="16" style="511" customWidth="1"/>
    <col min="13828" max="14080" width="8.88671875" style="511"/>
    <col min="14081" max="14081" width="3.88671875" style="511" customWidth="1"/>
    <col min="14082" max="14082" width="63.88671875" style="511" customWidth="1"/>
    <col min="14083" max="14083" width="16" style="511" customWidth="1"/>
    <col min="14084" max="14336" width="8.88671875" style="511"/>
    <col min="14337" max="14337" width="3.88671875" style="511" customWidth="1"/>
    <col min="14338" max="14338" width="63.88671875" style="511" customWidth="1"/>
    <col min="14339" max="14339" width="16" style="511" customWidth="1"/>
    <col min="14340" max="14592" width="8.88671875" style="511"/>
    <col min="14593" max="14593" width="3.88671875" style="511" customWidth="1"/>
    <col min="14594" max="14594" width="63.88671875" style="511" customWidth="1"/>
    <col min="14595" max="14595" width="16" style="511" customWidth="1"/>
    <col min="14596" max="14848" width="8.88671875" style="511"/>
    <col min="14849" max="14849" width="3.88671875" style="511" customWidth="1"/>
    <col min="14850" max="14850" width="63.88671875" style="511" customWidth="1"/>
    <col min="14851" max="14851" width="16" style="511" customWidth="1"/>
    <col min="14852" max="15104" width="8.88671875" style="511"/>
    <col min="15105" max="15105" width="3.88671875" style="511" customWidth="1"/>
    <col min="15106" max="15106" width="63.88671875" style="511" customWidth="1"/>
    <col min="15107" max="15107" width="16" style="511" customWidth="1"/>
    <col min="15108" max="15360" width="8.88671875" style="511"/>
    <col min="15361" max="15361" width="3.88671875" style="511" customWidth="1"/>
    <col min="15362" max="15362" width="63.88671875" style="511" customWidth="1"/>
    <col min="15363" max="15363" width="16" style="511" customWidth="1"/>
    <col min="15364" max="15616" width="8.88671875" style="511"/>
    <col min="15617" max="15617" width="3.88671875" style="511" customWidth="1"/>
    <col min="15618" max="15618" width="63.88671875" style="511" customWidth="1"/>
    <col min="15619" max="15619" width="16" style="511" customWidth="1"/>
    <col min="15620" max="15872" width="8.88671875" style="511"/>
    <col min="15873" max="15873" width="3.88671875" style="511" customWidth="1"/>
    <col min="15874" max="15874" width="63.88671875" style="511" customWidth="1"/>
    <col min="15875" max="15875" width="16" style="511" customWidth="1"/>
    <col min="15876" max="16128" width="8.88671875" style="511"/>
    <col min="16129" max="16129" width="3.88671875" style="511" customWidth="1"/>
    <col min="16130" max="16130" width="63.88671875" style="511" customWidth="1"/>
    <col min="16131" max="16131" width="16" style="511" customWidth="1"/>
    <col min="16132" max="16384" width="8.88671875" style="511"/>
  </cols>
  <sheetData>
    <row r="1" spans="1:5" s="19" customFormat="1" ht="13.8" x14ac:dyDescent="0.3">
      <c r="A1" s="782" t="s">
        <v>338</v>
      </c>
      <c r="B1" s="782"/>
      <c r="C1" s="782"/>
      <c r="E1" s="22"/>
    </row>
    <row r="2" spans="1:5" s="19" customFormat="1" x14ac:dyDescent="0.25">
      <c r="C2" s="22"/>
      <c r="E2" s="22"/>
    </row>
    <row r="3" spans="1:5" s="19" customFormat="1" ht="16.5" customHeight="1" x14ac:dyDescent="0.25">
      <c r="A3" s="663" t="s">
        <v>373</v>
      </c>
      <c r="B3" s="663"/>
      <c r="C3" s="663"/>
      <c r="D3" s="663"/>
      <c r="E3" s="663"/>
    </row>
    <row r="4" spans="1:5" s="19" customFormat="1" ht="24" customHeight="1" thickBot="1" x14ac:dyDescent="0.3">
      <c r="A4" s="783"/>
      <c r="B4" s="783"/>
      <c r="C4" s="783"/>
      <c r="D4" s="138"/>
      <c r="E4" s="138"/>
    </row>
    <row r="5" spans="1:5" s="23" customFormat="1" ht="26.4" x14ac:dyDescent="0.25">
      <c r="A5" s="452"/>
      <c r="B5" s="453"/>
      <c r="C5" s="454" t="s">
        <v>371</v>
      </c>
      <c r="D5" s="455" t="s">
        <v>369</v>
      </c>
      <c r="E5" s="456" t="s">
        <v>370</v>
      </c>
    </row>
    <row r="6" spans="1:5" s="461" customFormat="1" ht="19.2" customHeight="1" thickBot="1" x14ac:dyDescent="0.35">
      <c r="A6" s="457" t="s">
        <v>120</v>
      </c>
      <c r="B6" s="458" t="s">
        <v>121</v>
      </c>
      <c r="C6" s="459">
        <v>0</v>
      </c>
      <c r="D6" s="459"/>
      <c r="E6" s="460"/>
    </row>
    <row r="7" spans="1:5" s="462" customFormat="1" ht="13.8" thickBot="1" x14ac:dyDescent="0.35">
      <c r="C7" s="463"/>
      <c r="D7" s="464"/>
      <c r="E7" s="463"/>
    </row>
    <row r="8" spans="1:5" s="470" customFormat="1" ht="27" thickBot="1" x14ac:dyDescent="0.35">
      <c r="A8" s="465" t="s">
        <v>127</v>
      </c>
      <c r="B8" s="466" t="s">
        <v>20</v>
      </c>
      <c r="C8" s="467">
        <v>0</v>
      </c>
      <c r="D8" s="468"/>
      <c r="E8" s="469"/>
    </row>
    <row r="9" spans="1:5" s="462" customFormat="1" ht="13.8" thickBot="1" x14ac:dyDescent="0.35">
      <c r="B9" s="461"/>
      <c r="C9" s="463"/>
      <c r="D9" s="464"/>
      <c r="E9" s="463"/>
    </row>
    <row r="10" spans="1:5" s="470" customFormat="1" ht="13.8" thickBot="1" x14ac:dyDescent="0.35">
      <c r="A10" s="465" t="s">
        <v>128</v>
      </c>
      <c r="B10" s="466" t="s">
        <v>23</v>
      </c>
      <c r="C10" s="467"/>
      <c r="D10" s="468"/>
      <c r="E10" s="469"/>
    </row>
    <row r="11" spans="1:5" s="470" customFormat="1" x14ac:dyDescent="0.3">
      <c r="B11" s="471"/>
      <c r="C11" s="472"/>
      <c r="D11" s="473"/>
      <c r="E11" s="472"/>
    </row>
    <row r="12" spans="1:5" s="470" customFormat="1" ht="13.8" thickBot="1" x14ac:dyDescent="0.35">
      <c r="C12" s="472"/>
      <c r="D12" s="473"/>
      <c r="E12" s="472"/>
    </row>
    <row r="13" spans="1:5" s="470" customFormat="1" x14ac:dyDescent="0.3">
      <c r="A13" s="474" t="s">
        <v>129</v>
      </c>
      <c r="B13" s="475" t="s">
        <v>130</v>
      </c>
      <c r="C13" s="476"/>
      <c r="D13" s="477"/>
      <c r="E13" s="478"/>
    </row>
    <row r="14" spans="1:5" s="133" customFormat="1" ht="26.4" x14ac:dyDescent="0.3">
      <c r="A14" s="479" t="s">
        <v>122</v>
      </c>
      <c r="B14" s="480" t="s">
        <v>140</v>
      </c>
      <c r="C14" s="481">
        <f>+'[1]5. melléklet '!C21</f>
        <v>38231779</v>
      </c>
      <c r="D14" s="481">
        <f>+C14</f>
        <v>38231779</v>
      </c>
      <c r="E14" s="482">
        <f>+D14-C14</f>
        <v>0</v>
      </c>
    </row>
    <row r="15" spans="1:5" s="133" customFormat="1" ht="26.4" x14ac:dyDescent="0.3">
      <c r="A15" s="479" t="s">
        <v>123</v>
      </c>
      <c r="B15" s="480" t="s">
        <v>141</v>
      </c>
      <c r="C15" s="481">
        <f>+'[1]5. melléklet '!C22</f>
        <v>27369078</v>
      </c>
      <c r="D15" s="481">
        <f t="shared" ref="D15:D16" si="0">+C15</f>
        <v>27369078</v>
      </c>
      <c r="E15" s="482">
        <f t="shared" ref="E15:E18" si="1">+D15-C15</f>
        <v>0</v>
      </c>
    </row>
    <row r="16" spans="1:5" s="133" customFormat="1" ht="32.4" customHeight="1" x14ac:dyDescent="0.3">
      <c r="A16" s="479" t="s">
        <v>124</v>
      </c>
      <c r="B16" s="480" t="s">
        <v>142</v>
      </c>
      <c r="C16" s="481">
        <f>+'[1]5. melléklet '!C23</f>
        <v>81361276</v>
      </c>
      <c r="D16" s="481">
        <f t="shared" si="0"/>
        <v>81361276</v>
      </c>
      <c r="E16" s="482">
        <f t="shared" si="1"/>
        <v>0</v>
      </c>
    </row>
    <row r="17" spans="1:5" s="133" customFormat="1" ht="26.4" x14ac:dyDescent="0.25">
      <c r="A17" s="479" t="s">
        <v>125</v>
      </c>
      <c r="B17" s="483" t="s">
        <v>311</v>
      </c>
      <c r="C17" s="481">
        <f>+'[1]5. melléklet '!C24</f>
        <v>59513343</v>
      </c>
      <c r="D17" s="481">
        <f>'[1]5. melléklet '!D24</f>
        <v>63498288</v>
      </c>
      <c r="E17" s="482">
        <f t="shared" si="1"/>
        <v>3984945</v>
      </c>
    </row>
    <row r="18" spans="1:5" s="133" customFormat="1" ht="26.4" x14ac:dyDescent="0.3">
      <c r="A18" s="479" t="s">
        <v>143</v>
      </c>
      <c r="B18" s="480" t="s">
        <v>144</v>
      </c>
      <c r="C18" s="481">
        <f>+'[1]5. melléklet '!C6+'[1]5. melléklet '!C7+'[1]5. melléklet '!C8+'[1]5. melléklet '!C25+'[1]5. melléklet '!C26+'[1]5. melléklet '!C27+'[1]5. melléklet '!C15</f>
        <v>28371488</v>
      </c>
      <c r="D18" s="481">
        <f>+'[1]5. melléklet '!D25+'[1]5. melléklet '!D26+'[1]5. melléklet '!D27+'[1]5. melléklet '!D29+'[1]5. melléklet '!D30+'[1]5. melléklet '!D14+'[1]5. melléklet '!D17</f>
        <v>72004382</v>
      </c>
      <c r="E18" s="482">
        <f t="shared" si="1"/>
        <v>43632894</v>
      </c>
    </row>
    <row r="19" spans="1:5" s="470" customFormat="1" ht="13.8" thickBot="1" x14ac:dyDescent="0.35">
      <c r="A19" s="484"/>
      <c r="B19" s="485" t="s">
        <v>126</v>
      </c>
      <c r="C19" s="486">
        <f>SUM(C14:C18)</f>
        <v>234846964</v>
      </c>
      <c r="D19" s="486">
        <f>SUM(D14:D18)</f>
        <v>282464803</v>
      </c>
      <c r="E19" s="486">
        <f t="shared" ref="E19" si="2">SUM(E14:E18)</f>
        <v>47617839</v>
      </c>
    </row>
    <row r="20" spans="1:5" s="462" customFormat="1" ht="13.8" thickBot="1" x14ac:dyDescent="0.35">
      <c r="C20" s="487"/>
      <c r="D20" s="488"/>
      <c r="E20" s="487"/>
    </row>
    <row r="21" spans="1:5" s="470" customFormat="1" ht="13.8" thickBot="1" x14ac:dyDescent="0.35">
      <c r="A21" s="465"/>
      <c r="B21" s="466" t="s">
        <v>131</v>
      </c>
      <c r="C21" s="489">
        <f>C19</f>
        <v>234846964</v>
      </c>
      <c r="D21" s="489">
        <f>D19</f>
        <v>282464803</v>
      </c>
      <c r="E21" s="489">
        <f t="shared" ref="E21" si="3">E19</f>
        <v>47617839</v>
      </c>
    </row>
    <row r="22" spans="1:5" s="470" customFormat="1" x14ac:dyDescent="0.3">
      <c r="B22" s="471"/>
      <c r="C22" s="490"/>
      <c r="D22" s="491"/>
      <c r="E22" s="490"/>
    </row>
    <row r="23" spans="1:5" s="133" customFormat="1" ht="40.200000000000003" thickBot="1" x14ac:dyDescent="0.35">
      <c r="A23" s="479" t="s">
        <v>122</v>
      </c>
      <c r="B23" s="492" t="s">
        <v>374</v>
      </c>
      <c r="C23" s="493"/>
      <c r="D23" s="493">
        <f>+'[1]5. melléklet '!D28</f>
        <v>4685853</v>
      </c>
      <c r="E23" s="482">
        <f>+D23-C23</f>
        <v>4685853</v>
      </c>
    </row>
    <row r="24" spans="1:5" s="497" customFormat="1" ht="27" customHeight="1" thickBot="1" x14ac:dyDescent="0.35">
      <c r="A24" s="494"/>
      <c r="B24" s="495" t="s">
        <v>132</v>
      </c>
      <c r="C24" s="496">
        <f>+C21+C23</f>
        <v>234846964</v>
      </c>
      <c r="D24" s="496">
        <f>+D21+D23</f>
        <v>287150656</v>
      </c>
      <c r="E24" s="496">
        <f t="shared" ref="E24" si="4">+E21+E23</f>
        <v>52303692</v>
      </c>
    </row>
    <row r="25" spans="1:5" s="462" customFormat="1" x14ac:dyDescent="0.3">
      <c r="A25" s="498"/>
      <c r="B25" s="499" t="s">
        <v>133</v>
      </c>
      <c r="C25" s="500"/>
      <c r="D25" s="501"/>
      <c r="E25" s="502"/>
    </row>
    <row r="26" spans="1:5" s="462" customFormat="1" ht="13.8" x14ac:dyDescent="0.3">
      <c r="A26" s="479"/>
      <c r="B26" s="503" t="s">
        <v>134</v>
      </c>
      <c r="C26" s="504">
        <f>C24-C27</f>
        <v>234846964</v>
      </c>
      <c r="D26" s="504">
        <f t="shared" ref="D26:E26" si="5">D24-D27</f>
        <v>287150656</v>
      </c>
      <c r="E26" s="504">
        <f t="shared" si="5"/>
        <v>52303692</v>
      </c>
    </row>
    <row r="27" spans="1:5" s="462" customFormat="1" ht="14.4" thickBot="1" x14ac:dyDescent="0.35">
      <c r="A27" s="505"/>
      <c r="B27" s="506" t="s">
        <v>278</v>
      </c>
      <c r="C27" s="507">
        <v>0</v>
      </c>
      <c r="D27" s="507">
        <v>0</v>
      </c>
      <c r="E27" s="507">
        <v>0</v>
      </c>
    </row>
    <row r="28" spans="1:5" s="462" customFormat="1" x14ac:dyDescent="0.3">
      <c r="C28" s="508"/>
      <c r="D28" s="509"/>
      <c r="E28" s="508"/>
    </row>
    <row r="29" spans="1:5" s="510" customFormat="1" x14ac:dyDescent="0.25"/>
    <row r="30" spans="1:5" x14ac:dyDescent="0.25">
      <c r="C30" s="512"/>
    </row>
  </sheetData>
  <mergeCells count="3">
    <mergeCell ref="A1:C1"/>
    <mergeCell ref="A3:E3"/>
    <mergeCell ref="A4:C4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8725-28C7-4990-9CDC-71EB5EF862BB}">
  <sheetPr>
    <tabColor rgb="FF00B050"/>
  </sheetPr>
  <dimension ref="A1:E47"/>
  <sheetViews>
    <sheetView view="pageBreakPreview" zoomScaleNormal="100" zoomScaleSheetLayoutView="100" workbookViewId="0">
      <selection activeCell="I12" sqref="I12"/>
    </sheetView>
  </sheetViews>
  <sheetFormatPr defaultRowHeight="13.2" x14ac:dyDescent="0.25"/>
  <cols>
    <col min="1" max="1" width="3.33203125" style="511" customWidth="1"/>
    <col min="2" max="2" width="45.88671875" style="510" customWidth="1"/>
    <col min="3" max="3" width="12.5546875" style="511" customWidth="1"/>
    <col min="4" max="4" width="12.6640625" style="511" customWidth="1"/>
    <col min="5" max="5" width="12.33203125" style="511" customWidth="1"/>
    <col min="6" max="6" width="9.33203125" style="511" bestFit="1" customWidth="1"/>
    <col min="7" max="256" width="8.88671875" style="511"/>
    <col min="257" max="257" width="4.109375" style="511" bestFit="1" customWidth="1"/>
    <col min="258" max="258" width="66.109375" style="511" customWidth="1"/>
    <col min="259" max="259" width="18.88671875" style="511" customWidth="1"/>
    <col min="260" max="261" width="8.88671875" style="511"/>
    <col min="262" max="262" width="9.33203125" style="511" bestFit="1" customWidth="1"/>
    <col min="263" max="512" width="8.88671875" style="511"/>
    <col min="513" max="513" width="4.109375" style="511" bestFit="1" customWidth="1"/>
    <col min="514" max="514" width="66.109375" style="511" customWidth="1"/>
    <col min="515" max="515" width="18.88671875" style="511" customWidth="1"/>
    <col min="516" max="517" width="8.88671875" style="511"/>
    <col min="518" max="518" width="9.33203125" style="511" bestFit="1" customWidth="1"/>
    <col min="519" max="768" width="8.88671875" style="511"/>
    <col min="769" max="769" width="4.109375" style="511" bestFit="1" customWidth="1"/>
    <col min="770" max="770" width="66.109375" style="511" customWidth="1"/>
    <col min="771" max="771" width="18.88671875" style="511" customWidth="1"/>
    <col min="772" max="773" width="8.88671875" style="511"/>
    <col min="774" max="774" width="9.33203125" style="511" bestFit="1" customWidth="1"/>
    <col min="775" max="1024" width="8.88671875" style="511"/>
    <col min="1025" max="1025" width="4.109375" style="511" bestFit="1" customWidth="1"/>
    <col min="1026" max="1026" width="66.109375" style="511" customWidth="1"/>
    <col min="1027" max="1027" width="18.88671875" style="511" customWidth="1"/>
    <col min="1028" max="1029" width="8.88671875" style="511"/>
    <col min="1030" max="1030" width="9.33203125" style="511" bestFit="1" customWidth="1"/>
    <col min="1031" max="1280" width="8.88671875" style="511"/>
    <col min="1281" max="1281" width="4.109375" style="511" bestFit="1" customWidth="1"/>
    <col min="1282" max="1282" width="66.109375" style="511" customWidth="1"/>
    <col min="1283" max="1283" width="18.88671875" style="511" customWidth="1"/>
    <col min="1284" max="1285" width="8.88671875" style="511"/>
    <col min="1286" max="1286" width="9.33203125" style="511" bestFit="1" customWidth="1"/>
    <col min="1287" max="1536" width="8.88671875" style="511"/>
    <col min="1537" max="1537" width="4.109375" style="511" bestFit="1" customWidth="1"/>
    <col min="1538" max="1538" width="66.109375" style="511" customWidth="1"/>
    <col min="1539" max="1539" width="18.88671875" style="511" customWidth="1"/>
    <col min="1540" max="1541" width="8.88671875" style="511"/>
    <col min="1542" max="1542" width="9.33203125" style="511" bestFit="1" customWidth="1"/>
    <col min="1543" max="1792" width="8.88671875" style="511"/>
    <col min="1793" max="1793" width="4.109375" style="511" bestFit="1" customWidth="1"/>
    <col min="1794" max="1794" width="66.109375" style="511" customWidth="1"/>
    <col min="1795" max="1795" width="18.88671875" style="511" customWidth="1"/>
    <col min="1796" max="1797" width="8.88671875" style="511"/>
    <col min="1798" max="1798" width="9.33203125" style="511" bestFit="1" customWidth="1"/>
    <col min="1799" max="2048" width="8.88671875" style="511"/>
    <col min="2049" max="2049" width="4.109375" style="511" bestFit="1" customWidth="1"/>
    <col min="2050" max="2050" width="66.109375" style="511" customWidth="1"/>
    <col min="2051" max="2051" width="18.88671875" style="511" customWidth="1"/>
    <col min="2052" max="2053" width="8.88671875" style="511"/>
    <col min="2054" max="2054" width="9.33203125" style="511" bestFit="1" customWidth="1"/>
    <col min="2055" max="2304" width="8.88671875" style="511"/>
    <col min="2305" max="2305" width="4.109375" style="511" bestFit="1" customWidth="1"/>
    <col min="2306" max="2306" width="66.109375" style="511" customWidth="1"/>
    <col min="2307" max="2307" width="18.88671875" style="511" customWidth="1"/>
    <col min="2308" max="2309" width="8.88671875" style="511"/>
    <col min="2310" max="2310" width="9.33203125" style="511" bestFit="1" customWidth="1"/>
    <col min="2311" max="2560" width="8.88671875" style="511"/>
    <col min="2561" max="2561" width="4.109375" style="511" bestFit="1" customWidth="1"/>
    <col min="2562" max="2562" width="66.109375" style="511" customWidth="1"/>
    <col min="2563" max="2563" width="18.88671875" style="511" customWidth="1"/>
    <col min="2564" max="2565" width="8.88671875" style="511"/>
    <col min="2566" max="2566" width="9.33203125" style="511" bestFit="1" customWidth="1"/>
    <col min="2567" max="2816" width="8.88671875" style="511"/>
    <col min="2817" max="2817" width="4.109375" style="511" bestFit="1" customWidth="1"/>
    <col min="2818" max="2818" width="66.109375" style="511" customWidth="1"/>
    <col min="2819" max="2819" width="18.88671875" style="511" customWidth="1"/>
    <col min="2820" max="2821" width="8.88671875" style="511"/>
    <col min="2822" max="2822" width="9.33203125" style="511" bestFit="1" customWidth="1"/>
    <col min="2823" max="3072" width="8.88671875" style="511"/>
    <col min="3073" max="3073" width="4.109375" style="511" bestFit="1" customWidth="1"/>
    <col min="3074" max="3074" width="66.109375" style="511" customWidth="1"/>
    <col min="3075" max="3075" width="18.88671875" style="511" customWidth="1"/>
    <col min="3076" max="3077" width="8.88671875" style="511"/>
    <col min="3078" max="3078" width="9.33203125" style="511" bestFit="1" customWidth="1"/>
    <col min="3079" max="3328" width="8.88671875" style="511"/>
    <col min="3329" max="3329" width="4.109375" style="511" bestFit="1" customWidth="1"/>
    <col min="3330" max="3330" width="66.109375" style="511" customWidth="1"/>
    <col min="3331" max="3331" width="18.88671875" style="511" customWidth="1"/>
    <col min="3332" max="3333" width="8.88671875" style="511"/>
    <col min="3334" max="3334" width="9.33203125" style="511" bestFit="1" customWidth="1"/>
    <col min="3335" max="3584" width="8.88671875" style="511"/>
    <col min="3585" max="3585" width="4.109375" style="511" bestFit="1" customWidth="1"/>
    <col min="3586" max="3586" width="66.109375" style="511" customWidth="1"/>
    <col min="3587" max="3587" width="18.88671875" style="511" customWidth="1"/>
    <col min="3588" max="3589" width="8.88671875" style="511"/>
    <col min="3590" max="3590" width="9.33203125" style="511" bestFit="1" customWidth="1"/>
    <col min="3591" max="3840" width="8.88671875" style="511"/>
    <col min="3841" max="3841" width="4.109375" style="511" bestFit="1" customWidth="1"/>
    <col min="3842" max="3842" width="66.109375" style="511" customWidth="1"/>
    <col min="3843" max="3843" width="18.88671875" style="511" customWidth="1"/>
    <col min="3844" max="3845" width="8.88671875" style="511"/>
    <col min="3846" max="3846" width="9.33203125" style="511" bestFit="1" customWidth="1"/>
    <col min="3847" max="4096" width="8.88671875" style="511"/>
    <col min="4097" max="4097" width="4.109375" style="511" bestFit="1" customWidth="1"/>
    <col min="4098" max="4098" width="66.109375" style="511" customWidth="1"/>
    <col min="4099" max="4099" width="18.88671875" style="511" customWidth="1"/>
    <col min="4100" max="4101" width="8.88671875" style="511"/>
    <col min="4102" max="4102" width="9.33203125" style="511" bestFit="1" customWidth="1"/>
    <col min="4103" max="4352" width="8.88671875" style="511"/>
    <col min="4353" max="4353" width="4.109375" style="511" bestFit="1" customWidth="1"/>
    <col min="4354" max="4354" width="66.109375" style="511" customWidth="1"/>
    <col min="4355" max="4355" width="18.88671875" style="511" customWidth="1"/>
    <col min="4356" max="4357" width="8.88671875" style="511"/>
    <col min="4358" max="4358" width="9.33203125" style="511" bestFit="1" customWidth="1"/>
    <col min="4359" max="4608" width="8.88671875" style="511"/>
    <col min="4609" max="4609" width="4.109375" style="511" bestFit="1" customWidth="1"/>
    <col min="4610" max="4610" width="66.109375" style="511" customWidth="1"/>
    <col min="4611" max="4611" width="18.88671875" style="511" customWidth="1"/>
    <col min="4612" max="4613" width="8.88671875" style="511"/>
    <col min="4614" max="4614" width="9.33203125" style="511" bestFit="1" customWidth="1"/>
    <col min="4615" max="4864" width="8.88671875" style="511"/>
    <col min="4865" max="4865" width="4.109375" style="511" bestFit="1" customWidth="1"/>
    <col min="4866" max="4866" width="66.109375" style="511" customWidth="1"/>
    <col min="4867" max="4867" width="18.88671875" style="511" customWidth="1"/>
    <col min="4868" max="4869" width="8.88671875" style="511"/>
    <col min="4870" max="4870" width="9.33203125" style="511" bestFit="1" customWidth="1"/>
    <col min="4871" max="5120" width="8.88671875" style="511"/>
    <col min="5121" max="5121" width="4.109375" style="511" bestFit="1" customWidth="1"/>
    <col min="5122" max="5122" width="66.109375" style="511" customWidth="1"/>
    <col min="5123" max="5123" width="18.88671875" style="511" customWidth="1"/>
    <col min="5124" max="5125" width="8.88671875" style="511"/>
    <col min="5126" max="5126" width="9.33203125" style="511" bestFit="1" customWidth="1"/>
    <col min="5127" max="5376" width="8.88671875" style="511"/>
    <col min="5377" max="5377" width="4.109375" style="511" bestFit="1" customWidth="1"/>
    <col min="5378" max="5378" width="66.109375" style="511" customWidth="1"/>
    <col min="5379" max="5379" width="18.88671875" style="511" customWidth="1"/>
    <col min="5380" max="5381" width="8.88671875" style="511"/>
    <col min="5382" max="5382" width="9.33203125" style="511" bestFit="1" customWidth="1"/>
    <col min="5383" max="5632" width="8.88671875" style="511"/>
    <col min="5633" max="5633" width="4.109375" style="511" bestFit="1" customWidth="1"/>
    <col min="5634" max="5634" width="66.109375" style="511" customWidth="1"/>
    <col min="5635" max="5635" width="18.88671875" style="511" customWidth="1"/>
    <col min="5636" max="5637" width="8.88671875" style="511"/>
    <col min="5638" max="5638" width="9.33203125" style="511" bestFit="1" customWidth="1"/>
    <col min="5639" max="5888" width="8.88671875" style="511"/>
    <col min="5889" max="5889" width="4.109375" style="511" bestFit="1" customWidth="1"/>
    <col min="5890" max="5890" width="66.109375" style="511" customWidth="1"/>
    <col min="5891" max="5891" width="18.88671875" style="511" customWidth="1"/>
    <col min="5892" max="5893" width="8.88671875" style="511"/>
    <col min="5894" max="5894" width="9.33203125" style="511" bestFit="1" customWidth="1"/>
    <col min="5895" max="6144" width="8.88671875" style="511"/>
    <col min="6145" max="6145" width="4.109375" style="511" bestFit="1" customWidth="1"/>
    <col min="6146" max="6146" width="66.109375" style="511" customWidth="1"/>
    <col min="6147" max="6147" width="18.88671875" style="511" customWidth="1"/>
    <col min="6148" max="6149" width="8.88671875" style="511"/>
    <col min="6150" max="6150" width="9.33203125" style="511" bestFit="1" customWidth="1"/>
    <col min="6151" max="6400" width="8.88671875" style="511"/>
    <col min="6401" max="6401" width="4.109375" style="511" bestFit="1" customWidth="1"/>
    <col min="6402" max="6402" width="66.109375" style="511" customWidth="1"/>
    <col min="6403" max="6403" width="18.88671875" style="511" customWidth="1"/>
    <col min="6404" max="6405" width="8.88671875" style="511"/>
    <col min="6406" max="6406" width="9.33203125" style="511" bestFit="1" customWidth="1"/>
    <col min="6407" max="6656" width="8.88671875" style="511"/>
    <col min="6657" max="6657" width="4.109375" style="511" bestFit="1" customWidth="1"/>
    <col min="6658" max="6658" width="66.109375" style="511" customWidth="1"/>
    <col min="6659" max="6659" width="18.88671875" style="511" customWidth="1"/>
    <col min="6660" max="6661" width="8.88671875" style="511"/>
    <col min="6662" max="6662" width="9.33203125" style="511" bestFit="1" customWidth="1"/>
    <col min="6663" max="6912" width="8.88671875" style="511"/>
    <col min="6913" max="6913" width="4.109375" style="511" bestFit="1" customWidth="1"/>
    <col min="6914" max="6914" width="66.109375" style="511" customWidth="1"/>
    <col min="6915" max="6915" width="18.88671875" style="511" customWidth="1"/>
    <col min="6916" max="6917" width="8.88671875" style="511"/>
    <col min="6918" max="6918" width="9.33203125" style="511" bestFit="1" customWidth="1"/>
    <col min="6919" max="7168" width="8.88671875" style="511"/>
    <col min="7169" max="7169" width="4.109375" style="511" bestFit="1" customWidth="1"/>
    <col min="7170" max="7170" width="66.109375" style="511" customWidth="1"/>
    <col min="7171" max="7171" width="18.88671875" style="511" customWidth="1"/>
    <col min="7172" max="7173" width="8.88671875" style="511"/>
    <col min="7174" max="7174" width="9.33203125" style="511" bestFit="1" customWidth="1"/>
    <col min="7175" max="7424" width="8.88671875" style="511"/>
    <col min="7425" max="7425" width="4.109375" style="511" bestFit="1" customWidth="1"/>
    <col min="7426" max="7426" width="66.109375" style="511" customWidth="1"/>
    <col min="7427" max="7427" width="18.88671875" style="511" customWidth="1"/>
    <col min="7428" max="7429" width="8.88671875" style="511"/>
    <col min="7430" max="7430" width="9.33203125" style="511" bestFit="1" customWidth="1"/>
    <col min="7431" max="7680" width="8.88671875" style="511"/>
    <col min="7681" max="7681" width="4.109375" style="511" bestFit="1" customWidth="1"/>
    <col min="7682" max="7682" width="66.109375" style="511" customWidth="1"/>
    <col min="7683" max="7683" width="18.88671875" style="511" customWidth="1"/>
    <col min="7684" max="7685" width="8.88671875" style="511"/>
    <col min="7686" max="7686" width="9.33203125" style="511" bestFit="1" customWidth="1"/>
    <col min="7687" max="7936" width="8.88671875" style="511"/>
    <col min="7937" max="7937" width="4.109375" style="511" bestFit="1" customWidth="1"/>
    <col min="7938" max="7938" width="66.109375" style="511" customWidth="1"/>
    <col min="7939" max="7939" width="18.88671875" style="511" customWidth="1"/>
    <col min="7940" max="7941" width="8.88671875" style="511"/>
    <col min="7942" max="7942" width="9.33203125" style="511" bestFit="1" customWidth="1"/>
    <col min="7943" max="8192" width="8.88671875" style="511"/>
    <col min="8193" max="8193" width="4.109375" style="511" bestFit="1" customWidth="1"/>
    <col min="8194" max="8194" width="66.109375" style="511" customWidth="1"/>
    <col min="8195" max="8195" width="18.88671875" style="511" customWidth="1"/>
    <col min="8196" max="8197" width="8.88671875" style="511"/>
    <col min="8198" max="8198" width="9.33203125" style="511" bestFit="1" customWidth="1"/>
    <col min="8199" max="8448" width="8.88671875" style="511"/>
    <col min="8449" max="8449" width="4.109375" style="511" bestFit="1" customWidth="1"/>
    <col min="8450" max="8450" width="66.109375" style="511" customWidth="1"/>
    <col min="8451" max="8451" width="18.88671875" style="511" customWidth="1"/>
    <col min="8452" max="8453" width="8.88671875" style="511"/>
    <col min="8454" max="8454" width="9.33203125" style="511" bestFit="1" customWidth="1"/>
    <col min="8455" max="8704" width="8.88671875" style="511"/>
    <col min="8705" max="8705" width="4.109375" style="511" bestFit="1" customWidth="1"/>
    <col min="8706" max="8706" width="66.109375" style="511" customWidth="1"/>
    <col min="8707" max="8707" width="18.88671875" style="511" customWidth="1"/>
    <col min="8708" max="8709" width="8.88671875" style="511"/>
    <col min="8710" max="8710" width="9.33203125" style="511" bestFit="1" customWidth="1"/>
    <col min="8711" max="8960" width="8.88671875" style="511"/>
    <col min="8961" max="8961" width="4.109375" style="511" bestFit="1" customWidth="1"/>
    <col min="8962" max="8962" width="66.109375" style="511" customWidth="1"/>
    <col min="8963" max="8963" width="18.88671875" style="511" customWidth="1"/>
    <col min="8964" max="8965" width="8.88671875" style="511"/>
    <col min="8966" max="8966" width="9.33203125" style="511" bestFit="1" customWidth="1"/>
    <col min="8967" max="9216" width="8.88671875" style="511"/>
    <col min="9217" max="9217" width="4.109375" style="511" bestFit="1" customWidth="1"/>
    <col min="9218" max="9218" width="66.109375" style="511" customWidth="1"/>
    <col min="9219" max="9219" width="18.88671875" style="511" customWidth="1"/>
    <col min="9220" max="9221" width="8.88671875" style="511"/>
    <col min="9222" max="9222" width="9.33203125" style="511" bestFit="1" customWidth="1"/>
    <col min="9223" max="9472" width="8.88671875" style="511"/>
    <col min="9473" max="9473" width="4.109375" style="511" bestFit="1" customWidth="1"/>
    <col min="9474" max="9474" width="66.109375" style="511" customWidth="1"/>
    <col min="9475" max="9475" width="18.88671875" style="511" customWidth="1"/>
    <col min="9476" max="9477" width="8.88671875" style="511"/>
    <col min="9478" max="9478" width="9.33203125" style="511" bestFit="1" customWidth="1"/>
    <col min="9479" max="9728" width="8.88671875" style="511"/>
    <col min="9729" max="9729" width="4.109375" style="511" bestFit="1" customWidth="1"/>
    <col min="9730" max="9730" width="66.109375" style="511" customWidth="1"/>
    <col min="9731" max="9731" width="18.88671875" style="511" customWidth="1"/>
    <col min="9732" max="9733" width="8.88671875" style="511"/>
    <col min="9734" max="9734" width="9.33203125" style="511" bestFit="1" customWidth="1"/>
    <col min="9735" max="9984" width="8.88671875" style="511"/>
    <col min="9985" max="9985" width="4.109375" style="511" bestFit="1" customWidth="1"/>
    <col min="9986" max="9986" width="66.109375" style="511" customWidth="1"/>
    <col min="9987" max="9987" width="18.88671875" style="511" customWidth="1"/>
    <col min="9988" max="9989" width="8.88671875" style="511"/>
    <col min="9990" max="9990" width="9.33203125" style="511" bestFit="1" customWidth="1"/>
    <col min="9991" max="10240" width="8.88671875" style="511"/>
    <col min="10241" max="10241" width="4.109375" style="511" bestFit="1" customWidth="1"/>
    <col min="10242" max="10242" width="66.109375" style="511" customWidth="1"/>
    <col min="10243" max="10243" width="18.88671875" style="511" customWidth="1"/>
    <col min="10244" max="10245" width="8.88671875" style="511"/>
    <col min="10246" max="10246" width="9.33203125" style="511" bestFit="1" customWidth="1"/>
    <col min="10247" max="10496" width="8.88671875" style="511"/>
    <col min="10497" max="10497" width="4.109375" style="511" bestFit="1" customWidth="1"/>
    <col min="10498" max="10498" width="66.109375" style="511" customWidth="1"/>
    <col min="10499" max="10499" width="18.88671875" style="511" customWidth="1"/>
    <col min="10500" max="10501" width="8.88671875" style="511"/>
    <col min="10502" max="10502" width="9.33203125" style="511" bestFit="1" customWidth="1"/>
    <col min="10503" max="10752" width="8.88671875" style="511"/>
    <col min="10753" max="10753" width="4.109375" style="511" bestFit="1" customWidth="1"/>
    <col min="10754" max="10754" width="66.109375" style="511" customWidth="1"/>
    <col min="10755" max="10755" width="18.88671875" style="511" customWidth="1"/>
    <col min="10756" max="10757" width="8.88671875" style="511"/>
    <col min="10758" max="10758" width="9.33203125" style="511" bestFit="1" customWidth="1"/>
    <col min="10759" max="11008" width="8.88671875" style="511"/>
    <col min="11009" max="11009" width="4.109375" style="511" bestFit="1" customWidth="1"/>
    <col min="11010" max="11010" width="66.109375" style="511" customWidth="1"/>
    <col min="11011" max="11011" width="18.88671875" style="511" customWidth="1"/>
    <col min="11012" max="11013" width="8.88671875" style="511"/>
    <col min="11014" max="11014" width="9.33203125" style="511" bestFit="1" customWidth="1"/>
    <col min="11015" max="11264" width="8.88671875" style="511"/>
    <col min="11265" max="11265" width="4.109375" style="511" bestFit="1" customWidth="1"/>
    <col min="11266" max="11266" width="66.109375" style="511" customWidth="1"/>
    <col min="11267" max="11267" width="18.88671875" style="511" customWidth="1"/>
    <col min="11268" max="11269" width="8.88671875" style="511"/>
    <col min="11270" max="11270" width="9.33203125" style="511" bestFit="1" customWidth="1"/>
    <col min="11271" max="11520" width="8.88671875" style="511"/>
    <col min="11521" max="11521" width="4.109375" style="511" bestFit="1" customWidth="1"/>
    <col min="11522" max="11522" width="66.109375" style="511" customWidth="1"/>
    <col min="11523" max="11523" width="18.88671875" style="511" customWidth="1"/>
    <col min="11524" max="11525" width="8.88671875" style="511"/>
    <col min="11526" max="11526" width="9.33203125" style="511" bestFit="1" customWidth="1"/>
    <col min="11527" max="11776" width="8.88671875" style="511"/>
    <col min="11777" max="11777" width="4.109375" style="511" bestFit="1" customWidth="1"/>
    <col min="11778" max="11778" width="66.109375" style="511" customWidth="1"/>
    <col min="11779" max="11779" width="18.88671875" style="511" customWidth="1"/>
    <col min="11780" max="11781" width="8.88671875" style="511"/>
    <col min="11782" max="11782" width="9.33203125" style="511" bestFit="1" customWidth="1"/>
    <col min="11783" max="12032" width="8.88671875" style="511"/>
    <col min="12033" max="12033" width="4.109375" style="511" bestFit="1" customWidth="1"/>
    <col min="12034" max="12034" width="66.109375" style="511" customWidth="1"/>
    <col min="12035" max="12035" width="18.88671875" style="511" customWidth="1"/>
    <col min="12036" max="12037" width="8.88671875" style="511"/>
    <col min="12038" max="12038" width="9.33203125" style="511" bestFit="1" customWidth="1"/>
    <col min="12039" max="12288" width="8.88671875" style="511"/>
    <col min="12289" max="12289" width="4.109375" style="511" bestFit="1" customWidth="1"/>
    <col min="12290" max="12290" width="66.109375" style="511" customWidth="1"/>
    <col min="12291" max="12291" width="18.88671875" style="511" customWidth="1"/>
    <col min="12292" max="12293" width="8.88671875" style="511"/>
    <col min="12294" max="12294" width="9.33203125" style="511" bestFit="1" customWidth="1"/>
    <col min="12295" max="12544" width="8.88671875" style="511"/>
    <col min="12545" max="12545" width="4.109375" style="511" bestFit="1" customWidth="1"/>
    <col min="12546" max="12546" width="66.109375" style="511" customWidth="1"/>
    <col min="12547" max="12547" width="18.88671875" style="511" customWidth="1"/>
    <col min="12548" max="12549" width="8.88671875" style="511"/>
    <col min="12550" max="12550" width="9.33203125" style="511" bestFit="1" customWidth="1"/>
    <col min="12551" max="12800" width="8.88671875" style="511"/>
    <col min="12801" max="12801" width="4.109375" style="511" bestFit="1" customWidth="1"/>
    <col min="12802" max="12802" width="66.109375" style="511" customWidth="1"/>
    <col min="12803" max="12803" width="18.88671875" style="511" customWidth="1"/>
    <col min="12804" max="12805" width="8.88671875" style="511"/>
    <col min="12806" max="12806" width="9.33203125" style="511" bestFit="1" customWidth="1"/>
    <col min="12807" max="13056" width="8.88671875" style="511"/>
    <col min="13057" max="13057" width="4.109375" style="511" bestFit="1" customWidth="1"/>
    <col min="13058" max="13058" width="66.109375" style="511" customWidth="1"/>
    <col min="13059" max="13059" width="18.88671875" style="511" customWidth="1"/>
    <col min="13060" max="13061" width="8.88671875" style="511"/>
    <col min="13062" max="13062" width="9.33203125" style="511" bestFit="1" customWidth="1"/>
    <col min="13063" max="13312" width="8.88671875" style="511"/>
    <col min="13313" max="13313" width="4.109375" style="511" bestFit="1" customWidth="1"/>
    <col min="13314" max="13314" width="66.109375" style="511" customWidth="1"/>
    <col min="13315" max="13315" width="18.88671875" style="511" customWidth="1"/>
    <col min="13316" max="13317" width="8.88671875" style="511"/>
    <col min="13318" max="13318" width="9.33203125" style="511" bestFit="1" customWidth="1"/>
    <col min="13319" max="13568" width="8.88671875" style="511"/>
    <col min="13569" max="13569" width="4.109375" style="511" bestFit="1" customWidth="1"/>
    <col min="13570" max="13570" width="66.109375" style="511" customWidth="1"/>
    <col min="13571" max="13571" width="18.88671875" style="511" customWidth="1"/>
    <col min="13572" max="13573" width="8.88671875" style="511"/>
    <col min="13574" max="13574" width="9.33203125" style="511" bestFit="1" customWidth="1"/>
    <col min="13575" max="13824" width="8.88671875" style="511"/>
    <col min="13825" max="13825" width="4.109375" style="511" bestFit="1" customWidth="1"/>
    <col min="13826" max="13826" width="66.109375" style="511" customWidth="1"/>
    <col min="13827" max="13827" width="18.88671875" style="511" customWidth="1"/>
    <col min="13828" max="13829" width="8.88671875" style="511"/>
    <col min="13830" max="13830" width="9.33203125" style="511" bestFit="1" customWidth="1"/>
    <col min="13831" max="14080" width="8.88671875" style="511"/>
    <col min="14081" max="14081" width="4.109375" style="511" bestFit="1" customWidth="1"/>
    <col min="14082" max="14082" width="66.109375" style="511" customWidth="1"/>
    <col min="14083" max="14083" width="18.88671875" style="511" customWidth="1"/>
    <col min="14084" max="14085" width="8.88671875" style="511"/>
    <col min="14086" max="14086" width="9.33203125" style="511" bestFit="1" customWidth="1"/>
    <col min="14087" max="14336" width="8.88671875" style="511"/>
    <col min="14337" max="14337" width="4.109375" style="511" bestFit="1" customWidth="1"/>
    <col min="14338" max="14338" width="66.109375" style="511" customWidth="1"/>
    <col min="14339" max="14339" width="18.88671875" style="511" customWidth="1"/>
    <col min="14340" max="14341" width="8.88671875" style="511"/>
    <col min="14342" max="14342" width="9.33203125" style="511" bestFit="1" customWidth="1"/>
    <col min="14343" max="14592" width="8.88671875" style="511"/>
    <col min="14593" max="14593" width="4.109375" style="511" bestFit="1" customWidth="1"/>
    <col min="14594" max="14594" width="66.109375" style="511" customWidth="1"/>
    <col min="14595" max="14595" width="18.88671875" style="511" customWidth="1"/>
    <col min="14596" max="14597" width="8.88671875" style="511"/>
    <col min="14598" max="14598" width="9.33203125" style="511" bestFit="1" customWidth="1"/>
    <col min="14599" max="14848" width="8.88671875" style="511"/>
    <col min="14849" max="14849" width="4.109375" style="511" bestFit="1" customWidth="1"/>
    <col min="14850" max="14850" width="66.109375" style="511" customWidth="1"/>
    <col min="14851" max="14851" width="18.88671875" style="511" customWidth="1"/>
    <col min="14852" max="14853" width="8.88671875" style="511"/>
    <col min="14854" max="14854" width="9.33203125" style="511" bestFit="1" customWidth="1"/>
    <col min="14855" max="15104" width="8.88671875" style="511"/>
    <col min="15105" max="15105" width="4.109375" style="511" bestFit="1" customWidth="1"/>
    <col min="15106" max="15106" width="66.109375" style="511" customWidth="1"/>
    <col min="15107" max="15107" width="18.88671875" style="511" customWidth="1"/>
    <col min="15108" max="15109" width="8.88671875" style="511"/>
    <col min="15110" max="15110" width="9.33203125" style="511" bestFit="1" customWidth="1"/>
    <col min="15111" max="15360" width="8.88671875" style="511"/>
    <col min="15361" max="15361" width="4.109375" style="511" bestFit="1" customWidth="1"/>
    <col min="15362" max="15362" width="66.109375" style="511" customWidth="1"/>
    <col min="15363" max="15363" width="18.88671875" style="511" customWidth="1"/>
    <col min="15364" max="15365" width="8.88671875" style="511"/>
    <col min="15366" max="15366" width="9.33203125" style="511" bestFit="1" customWidth="1"/>
    <col min="15367" max="15616" width="8.88671875" style="511"/>
    <col min="15617" max="15617" width="4.109375" style="511" bestFit="1" customWidth="1"/>
    <col min="15618" max="15618" width="66.109375" style="511" customWidth="1"/>
    <col min="15619" max="15619" width="18.88671875" style="511" customWidth="1"/>
    <col min="15620" max="15621" width="8.88671875" style="511"/>
    <col min="15622" max="15622" width="9.33203125" style="511" bestFit="1" customWidth="1"/>
    <col min="15623" max="15872" width="8.88671875" style="511"/>
    <col min="15873" max="15873" width="4.109375" style="511" bestFit="1" customWidth="1"/>
    <col min="15874" max="15874" width="66.109375" style="511" customWidth="1"/>
    <col min="15875" max="15875" width="18.88671875" style="511" customWidth="1"/>
    <col min="15876" max="15877" width="8.88671875" style="511"/>
    <col min="15878" max="15878" width="9.33203125" style="511" bestFit="1" customWidth="1"/>
    <col min="15879" max="16128" width="8.88671875" style="511"/>
    <col min="16129" max="16129" width="4.109375" style="511" bestFit="1" customWidth="1"/>
    <col min="16130" max="16130" width="66.109375" style="511" customWidth="1"/>
    <col min="16131" max="16131" width="18.88671875" style="511" customWidth="1"/>
    <col min="16132" max="16133" width="8.88671875" style="511"/>
    <col min="16134" max="16134" width="9.33203125" style="511" bestFit="1" customWidth="1"/>
    <col min="16135" max="16384" width="8.88671875" style="511"/>
  </cols>
  <sheetData>
    <row r="1" spans="1:5" s="19" customFormat="1" ht="13.5" customHeight="1" x14ac:dyDescent="0.3">
      <c r="A1" s="782" t="s">
        <v>339</v>
      </c>
      <c r="B1" s="782"/>
      <c r="C1" s="782"/>
    </row>
    <row r="2" spans="1:5" s="19" customFormat="1" ht="15" customHeight="1" x14ac:dyDescent="0.25">
      <c r="A2" s="663" t="s">
        <v>306</v>
      </c>
      <c r="B2" s="663"/>
      <c r="C2" s="663"/>
      <c r="D2" s="663"/>
      <c r="E2" s="663"/>
    </row>
    <row r="3" spans="1:5" s="19" customFormat="1" ht="9" customHeight="1" thickBot="1" x14ac:dyDescent="0.3">
      <c r="A3" s="138"/>
      <c r="B3" s="513"/>
      <c r="C3" s="138"/>
    </row>
    <row r="4" spans="1:5" s="19" customFormat="1" ht="26.4" x14ac:dyDescent="0.25">
      <c r="A4" s="514"/>
      <c r="B4" s="515"/>
      <c r="C4" s="516" t="s">
        <v>371</v>
      </c>
      <c r="D4" s="517" t="s">
        <v>369</v>
      </c>
      <c r="E4" s="518" t="s">
        <v>370</v>
      </c>
    </row>
    <row r="5" spans="1:5" s="522" customFormat="1" x14ac:dyDescent="0.3">
      <c r="A5" s="519" t="s">
        <v>120</v>
      </c>
      <c r="B5" s="503" t="s">
        <v>2</v>
      </c>
      <c r="C5" s="520"/>
      <c r="D5" s="520"/>
      <c r="E5" s="521"/>
    </row>
    <row r="6" spans="1:5" s="522" customFormat="1" x14ac:dyDescent="0.3">
      <c r="A6" s="523" t="s">
        <v>122</v>
      </c>
      <c r="B6" s="524" t="s">
        <v>304</v>
      </c>
      <c r="C6" s="525">
        <f>19144767+200000</f>
        <v>19344767</v>
      </c>
      <c r="D6" s="526">
        <f>+C6+254000</f>
        <v>19598767</v>
      </c>
      <c r="E6" s="527">
        <f>+D6-C6</f>
        <v>254000</v>
      </c>
    </row>
    <row r="7" spans="1:5" s="522" customFormat="1" x14ac:dyDescent="0.3">
      <c r="A7" s="523" t="s">
        <v>123</v>
      </c>
      <c r="B7" s="528" t="s">
        <v>305</v>
      </c>
      <c r="C7" s="526">
        <f>776000*1.27</f>
        <v>985520</v>
      </c>
      <c r="D7" s="526">
        <f>+C7</f>
        <v>985520</v>
      </c>
      <c r="E7" s="527">
        <f t="shared" ref="E7:E13" si="0">+D7-C7</f>
        <v>0</v>
      </c>
    </row>
    <row r="8" spans="1:5" s="522" customFormat="1" ht="26.4" x14ac:dyDescent="0.3">
      <c r="A8" s="523" t="s">
        <v>124</v>
      </c>
      <c r="B8" s="528" t="s">
        <v>307</v>
      </c>
      <c r="C8" s="526">
        <f>116694+31507</f>
        <v>148201</v>
      </c>
      <c r="D8" s="526">
        <f>+C8</f>
        <v>148201</v>
      </c>
      <c r="E8" s="527">
        <f t="shared" si="0"/>
        <v>0</v>
      </c>
    </row>
    <row r="9" spans="1:5" s="522" customFormat="1" ht="26.4" x14ac:dyDescent="0.3">
      <c r="A9" s="523" t="s">
        <v>125</v>
      </c>
      <c r="B9" s="529" t="s">
        <v>375</v>
      </c>
      <c r="C9" s="530"/>
      <c r="D9" s="530">
        <v>19800</v>
      </c>
      <c r="E9" s="527">
        <f t="shared" si="0"/>
        <v>19800</v>
      </c>
    </row>
    <row r="10" spans="1:5" s="522" customFormat="1" ht="26.4" x14ac:dyDescent="0.3">
      <c r="A10" s="523" t="s">
        <v>143</v>
      </c>
      <c r="B10" s="529" t="s">
        <v>376</v>
      </c>
      <c r="C10" s="530"/>
      <c r="D10" s="530">
        <v>182080</v>
      </c>
      <c r="E10" s="527">
        <f t="shared" si="0"/>
        <v>182080</v>
      </c>
    </row>
    <row r="11" spans="1:5" s="522" customFormat="1" ht="26.4" x14ac:dyDescent="0.3">
      <c r="A11" s="523" t="s">
        <v>145</v>
      </c>
      <c r="B11" s="529" t="s">
        <v>377</v>
      </c>
      <c r="C11" s="530"/>
      <c r="D11" s="530">
        <v>234989</v>
      </c>
      <c r="E11" s="527">
        <f t="shared" si="0"/>
        <v>234989</v>
      </c>
    </row>
    <row r="12" spans="1:5" s="522" customFormat="1" ht="26.4" x14ac:dyDescent="0.3">
      <c r="A12" s="523" t="s">
        <v>244</v>
      </c>
      <c r="B12" s="529" t="s">
        <v>378</v>
      </c>
      <c r="C12" s="530"/>
      <c r="D12" s="530">
        <v>191213</v>
      </c>
      <c r="E12" s="527">
        <f t="shared" si="0"/>
        <v>191213</v>
      </c>
    </row>
    <row r="13" spans="1:5" s="522" customFormat="1" ht="26.4" x14ac:dyDescent="0.3">
      <c r="A13" s="523" t="s">
        <v>246</v>
      </c>
      <c r="B13" s="529" t="s">
        <v>379</v>
      </c>
      <c r="C13" s="530"/>
      <c r="D13" s="530">
        <v>64770</v>
      </c>
      <c r="E13" s="527">
        <f t="shared" si="0"/>
        <v>64770</v>
      </c>
    </row>
    <row r="14" spans="1:5" s="522" customFormat="1" ht="27.6" x14ac:dyDescent="0.3">
      <c r="A14" s="531"/>
      <c r="B14" s="532" t="s">
        <v>380</v>
      </c>
      <c r="C14" s="533">
        <f>SUM(C6:C13)</f>
        <v>20478488</v>
      </c>
      <c r="D14" s="533">
        <f t="shared" ref="D14:E14" si="1">SUM(D6:D13)</f>
        <v>21425340</v>
      </c>
      <c r="E14" s="533">
        <f t="shared" si="1"/>
        <v>946852</v>
      </c>
    </row>
    <row r="15" spans="1:5" s="522" customFormat="1" x14ac:dyDescent="0.3">
      <c r="A15" s="523" t="s">
        <v>248</v>
      </c>
      <c r="B15" s="529" t="s">
        <v>381</v>
      </c>
      <c r="C15" s="530">
        <v>127000</v>
      </c>
      <c r="D15" s="530">
        <v>127000</v>
      </c>
      <c r="E15" s="527">
        <f>+D15-C15</f>
        <v>0</v>
      </c>
    </row>
    <row r="16" spans="1:5" s="522" customFormat="1" ht="26.4" x14ac:dyDescent="0.3">
      <c r="A16" s="523" t="s">
        <v>250</v>
      </c>
      <c r="B16" s="529" t="s">
        <v>382</v>
      </c>
      <c r="C16" s="530"/>
      <c r="D16" s="530">
        <v>280000</v>
      </c>
      <c r="E16" s="527">
        <f t="shared" ref="E16" si="2">+D16-C16</f>
        <v>280000</v>
      </c>
    </row>
    <row r="17" spans="1:5" s="522" customFormat="1" ht="27.6" x14ac:dyDescent="0.3">
      <c r="A17" s="534"/>
      <c r="B17" s="532" t="s">
        <v>383</v>
      </c>
      <c r="C17" s="533">
        <f>SUM(C15:C16)</f>
        <v>127000</v>
      </c>
      <c r="D17" s="533">
        <f t="shared" ref="D17:E17" si="3">SUM(D15:D16)</f>
        <v>407000</v>
      </c>
      <c r="E17" s="533">
        <f t="shared" si="3"/>
        <v>280000</v>
      </c>
    </row>
    <row r="18" spans="1:5" s="522" customFormat="1" ht="13.8" thickBot="1" x14ac:dyDescent="0.35">
      <c r="A18" s="535"/>
      <c r="B18" s="536" t="s">
        <v>126</v>
      </c>
      <c r="C18" s="537">
        <f>+C17+C14</f>
        <v>20605488</v>
      </c>
      <c r="D18" s="537">
        <f t="shared" ref="D18:E18" si="4">+D17+D14</f>
        <v>21832340</v>
      </c>
      <c r="E18" s="537">
        <f t="shared" si="4"/>
        <v>1226852</v>
      </c>
    </row>
    <row r="19" spans="1:5" s="522" customFormat="1" ht="15" customHeight="1" thickBot="1" x14ac:dyDescent="0.35">
      <c r="A19" s="538"/>
      <c r="B19" s="470"/>
      <c r="C19" s="539"/>
    </row>
    <row r="20" spans="1:5" s="522" customFormat="1" ht="26.4" x14ac:dyDescent="0.25">
      <c r="A20" s="540" t="s">
        <v>120</v>
      </c>
      <c r="B20" s="541" t="s">
        <v>135</v>
      </c>
      <c r="C20" s="516" t="s">
        <v>371</v>
      </c>
      <c r="D20" s="517" t="s">
        <v>369</v>
      </c>
      <c r="E20" s="518" t="s">
        <v>370</v>
      </c>
    </row>
    <row r="21" spans="1:5" s="522" customFormat="1" ht="26.4" x14ac:dyDescent="0.3">
      <c r="A21" s="542" t="s">
        <v>122</v>
      </c>
      <c r="B21" s="543" t="s">
        <v>140</v>
      </c>
      <c r="C21" s="544">
        <f>18990889+18990890+250000</f>
        <v>38231779</v>
      </c>
      <c r="D21" s="544">
        <f>+C21</f>
        <v>38231779</v>
      </c>
      <c r="E21" s="545">
        <f t="shared" ref="E21:E30" si="5">+D21-C21</f>
        <v>0</v>
      </c>
    </row>
    <row r="22" spans="1:5" s="546" customFormat="1" ht="26.4" x14ac:dyDescent="0.3">
      <c r="A22" s="542" t="s">
        <v>123</v>
      </c>
      <c r="B22" s="543" t="s">
        <v>141</v>
      </c>
      <c r="C22" s="544">
        <f>26979078+390000</f>
        <v>27369078</v>
      </c>
      <c r="D22" s="544">
        <f>+C22</f>
        <v>27369078</v>
      </c>
      <c r="E22" s="545">
        <f t="shared" si="5"/>
        <v>0</v>
      </c>
    </row>
    <row r="23" spans="1:5" s="546" customFormat="1" x14ac:dyDescent="0.3">
      <c r="A23" s="542" t="s">
        <v>124</v>
      </c>
      <c r="B23" s="543" t="s">
        <v>142</v>
      </c>
      <c r="C23" s="544">
        <f>15954114+21272152+43235010+400000+500000</f>
        <v>81361276</v>
      </c>
      <c r="D23" s="544">
        <f>+C23</f>
        <v>81361276</v>
      </c>
      <c r="E23" s="545">
        <f t="shared" si="5"/>
        <v>0</v>
      </c>
    </row>
    <row r="24" spans="1:5" s="546" customFormat="1" ht="26.4" x14ac:dyDescent="0.3">
      <c r="A24" s="542" t="s">
        <v>125</v>
      </c>
      <c r="B24" s="547" t="s">
        <v>311</v>
      </c>
      <c r="C24" s="544">
        <f>58751343+762000</f>
        <v>59513343</v>
      </c>
      <c r="D24" s="544">
        <f>+C24+3984945</f>
        <v>63498288</v>
      </c>
      <c r="E24" s="545">
        <f t="shared" si="5"/>
        <v>3984945</v>
      </c>
    </row>
    <row r="25" spans="1:5" s="522" customFormat="1" x14ac:dyDescent="0.3">
      <c r="A25" s="542" t="s">
        <v>143</v>
      </c>
      <c r="B25" s="543" t="s">
        <v>309</v>
      </c>
      <c r="C25" s="544">
        <v>5500000</v>
      </c>
      <c r="D25" s="544">
        <f>+C25</f>
        <v>5500000</v>
      </c>
      <c r="E25" s="545">
        <f t="shared" si="5"/>
        <v>0</v>
      </c>
    </row>
    <row r="26" spans="1:5" s="522" customFormat="1" x14ac:dyDescent="0.3">
      <c r="A26" s="542" t="s">
        <v>145</v>
      </c>
      <c r="B26" s="543" t="s">
        <v>310</v>
      </c>
      <c r="C26" s="544">
        <v>1266000</v>
      </c>
      <c r="D26" s="544">
        <f>+C26</f>
        <v>1266000</v>
      </c>
      <c r="E26" s="545">
        <f t="shared" si="5"/>
        <v>0</v>
      </c>
    </row>
    <row r="27" spans="1:5" s="546" customFormat="1" x14ac:dyDescent="0.3">
      <c r="A27" s="542" t="s">
        <v>244</v>
      </c>
      <c r="B27" s="543" t="s">
        <v>308</v>
      </c>
      <c r="C27" s="544">
        <v>1000000</v>
      </c>
      <c r="D27" s="544">
        <f>+C27</f>
        <v>1000000</v>
      </c>
      <c r="E27" s="545">
        <f t="shared" si="5"/>
        <v>0</v>
      </c>
    </row>
    <row r="28" spans="1:5" s="546" customFormat="1" ht="26.4" x14ac:dyDescent="0.3">
      <c r="A28" s="542" t="s">
        <v>246</v>
      </c>
      <c r="B28" s="543" t="s">
        <v>384</v>
      </c>
      <c r="C28" s="544"/>
      <c r="D28" s="544">
        <v>4685853</v>
      </c>
      <c r="E28" s="545">
        <f t="shared" si="5"/>
        <v>4685853</v>
      </c>
    </row>
    <row r="29" spans="1:5" s="546" customFormat="1" ht="39.6" x14ac:dyDescent="0.3">
      <c r="A29" s="542" t="s">
        <v>248</v>
      </c>
      <c r="B29" s="543" t="s">
        <v>385</v>
      </c>
      <c r="C29" s="544"/>
      <c r="D29" s="544">
        <v>2602286</v>
      </c>
      <c r="E29" s="545">
        <f t="shared" si="5"/>
        <v>2602286</v>
      </c>
    </row>
    <row r="30" spans="1:5" s="546" customFormat="1" ht="26.4" x14ac:dyDescent="0.3">
      <c r="A30" s="542" t="s">
        <v>250</v>
      </c>
      <c r="B30" s="547" t="s">
        <v>386</v>
      </c>
      <c r="C30" s="544"/>
      <c r="D30" s="544">
        <v>39803756</v>
      </c>
      <c r="E30" s="545">
        <f t="shared" si="5"/>
        <v>39803756</v>
      </c>
    </row>
    <row r="31" spans="1:5" s="546" customFormat="1" ht="13.8" thickBot="1" x14ac:dyDescent="0.35">
      <c r="A31" s="548"/>
      <c r="B31" s="536" t="s">
        <v>126</v>
      </c>
      <c r="C31" s="537">
        <f>SUM(C21:C27)</f>
        <v>214241476</v>
      </c>
      <c r="D31" s="537">
        <f>SUM(D21:D30)</f>
        <v>265318316</v>
      </c>
      <c r="E31" s="537">
        <f>SUM(E21:E30)</f>
        <v>51076840</v>
      </c>
    </row>
    <row r="32" spans="1:5" s="546" customFormat="1" ht="13.8" thickBot="1" x14ac:dyDescent="0.35">
      <c r="A32" s="522"/>
      <c r="B32" s="470"/>
      <c r="C32" s="539"/>
    </row>
    <row r="33" spans="1:5" s="522" customFormat="1" ht="13.8" thickBot="1" x14ac:dyDescent="0.35">
      <c r="A33" s="549" t="s">
        <v>128</v>
      </c>
      <c r="B33" s="550" t="s">
        <v>41</v>
      </c>
      <c r="C33" s="551">
        <v>0</v>
      </c>
      <c r="D33" s="552"/>
      <c r="E33" s="553"/>
    </row>
    <row r="34" spans="1:5" s="556" customFormat="1" ht="14.4" thickBot="1" x14ac:dyDescent="0.35">
      <c r="A34" s="546"/>
      <c r="B34" s="470"/>
      <c r="C34" s="554"/>
      <c r="D34" s="555"/>
    </row>
    <row r="35" spans="1:5" s="546" customFormat="1" ht="27" thickBot="1" x14ac:dyDescent="0.35">
      <c r="A35" s="549"/>
      <c r="B35" s="550" t="s">
        <v>136</v>
      </c>
      <c r="C35" s="551">
        <f>C33+C31+C18</f>
        <v>234846964</v>
      </c>
      <c r="D35" s="551">
        <f t="shared" ref="D35:E35" si="6">D33+D31+D18</f>
        <v>287150656</v>
      </c>
      <c r="E35" s="551">
        <f t="shared" si="6"/>
        <v>52303692</v>
      </c>
    </row>
    <row r="36" spans="1:5" s="556" customFormat="1" ht="14.4" thickBot="1" x14ac:dyDescent="0.35">
      <c r="A36" s="546"/>
      <c r="B36" s="470"/>
      <c r="C36" s="554"/>
    </row>
    <row r="37" spans="1:5" s="546" customFormat="1" ht="13.8" thickBot="1" x14ac:dyDescent="0.35">
      <c r="A37" s="549" t="s">
        <v>129</v>
      </c>
      <c r="B37" s="466" t="s">
        <v>137</v>
      </c>
      <c r="C37" s="551">
        <v>0</v>
      </c>
      <c r="D37" s="557"/>
      <c r="E37" s="558"/>
    </row>
    <row r="38" spans="1:5" s="546" customFormat="1" ht="13.8" thickBot="1" x14ac:dyDescent="0.35">
      <c r="A38" s="559"/>
      <c r="B38" s="462"/>
      <c r="C38" s="560"/>
    </row>
    <row r="39" spans="1:5" s="546" customFormat="1" x14ac:dyDescent="0.3">
      <c r="A39" s="561"/>
      <c r="B39" s="475" t="s">
        <v>126</v>
      </c>
      <c r="C39" s="562">
        <f>SUM(C38:C38)</f>
        <v>0</v>
      </c>
      <c r="D39" s="563"/>
      <c r="E39" s="564"/>
    </row>
    <row r="40" spans="1:5" s="522" customFormat="1" ht="13.8" x14ac:dyDescent="0.3">
      <c r="A40" s="565"/>
      <c r="B40" s="566" t="s">
        <v>138</v>
      </c>
      <c r="C40" s="567">
        <v>0</v>
      </c>
      <c r="D40" s="520"/>
      <c r="E40" s="521"/>
    </row>
    <row r="41" spans="1:5" s="522" customFormat="1" x14ac:dyDescent="0.3">
      <c r="A41" s="568"/>
      <c r="B41" s="503"/>
      <c r="C41" s="567"/>
      <c r="D41" s="520"/>
      <c r="E41" s="521"/>
    </row>
    <row r="42" spans="1:5" s="522" customFormat="1" x14ac:dyDescent="0.3">
      <c r="A42" s="568"/>
      <c r="B42" s="503" t="s">
        <v>132</v>
      </c>
      <c r="C42" s="567">
        <f>C35+C40</f>
        <v>234846964</v>
      </c>
      <c r="D42" s="567">
        <f t="shared" ref="D42:E42" si="7">D35+D40</f>
        <v>287150656</v>
      </c>
      <c r="E42" s="567">
        <f t="shared" si="7"/>
        <v>52303692</v>
      </c>
    </row>
    <row r="43" spans="1:5" s="522" customFormat="1" ht="13.8" x14ac:dyDescent="0.3">
      <c r="A43" s="568"/>
      <c r="B43" s="569" t="s">
        <v>280</v>
      </c>
      <c r="C43" s="570">
        <f>C42</f>
        <v>234846964</v>
      </c>
      <c r="D43" s="570">
        <f t="shared" ref="D43:E43" si="8">D42</f>
        <v>287150656</v>
      </c>
      <c r="E43" s="570">
        <f t="shared" si="8"/>
        <v>52303692</v>
      </c>
    </row>
    <row r="44" spans="1:5" s="522" customFormat="1" ht="14.4" thickBot="1" x14ac:dyDescent="0.35">
      <c r="A44" s="571"/>
      <c r="B44" s="572" t="s">
        <v>281</v>
      </c>
      <c r="C44" s="573">
        <v>0</v>
      </c>
      <c r="D44" s="573">
        <v>0</v>
      </c>
      <c r="E44" s="573">
        <v>0</v>
      </c>
    </row>
    <row r="45" spans="1:5" s="522" customFormat="1" ht="13.8" thickBot="1" x14ac:dyDescent="0.35">
      <c r="B45" s="470"/>
      <c r="C45" s="554"/>
    </row>
    <row r="46" spans="1:5" s="522" customFormat="1" ht="13.8" thickBot="1" x14ac:dyDescent="0.35">
      <c r="A46" s="574"/>
      <c r="B46" s="550" t="s">
        <v>139</v>
      </c>
      <c r="C46" s="551">
        <f>'[1]4. melléklet'!C24-'5. melléklet  (2)'!C42</f>
        <v>0</v>
      </c>
      <c r="D46" s="552"/>
      <c r="E46" s="553"/>
    </row>
    <row r="47" spans="1:5" s="522" customFormat="1" x14ac:dyDescent="0.3">
      <c r="B47" s="470"/>
      <c r="C47" s="554"/>
    </row>
  </sheetData>
  <mergeCells count="2">
    <mergeCell ref="A1:C1"/>
    <mergeCell ref="A2:E2"/>
  </mergeCells>
  <pageMargins left="0.70866141732283472" right="0.59055118110236227" top="0.59055118110236227" bottom="0.59055118110236227" header="0.31496062992125984" footer="0.31496062992125984"/>
  <pageSetup paperSize="9" orientation="portrait" r:id="rId1"/>
  <headerFooter alignWithMargins="0"/>
  <rowBreaks count="1" manualBreakCount="1"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8CD32-789B-42F0-88D7-759E03F681F9}">
  <dimension ref="A1:H27"/>
  <sheetViews>
    <sheetView zoomScale="85" zoomScaleNormal="85" workbookViewId="0">
      <selection sqref="A1:H1"/>
    </sheetView>
  </sheetViews>
  <sheetFormatPr defaultRowHeight="14.4" x14ac:dyDescent="0.3"/>
  <cols>
    <col min="1" max="1" width="82.5546875" customWidth="1"/>
    <col min="4" max="4" width="12.5546875" customWidth="1"/>
    <col min="5" max="7" width="12" bestFit="1" customWidth="1"/>
    <col min="8" max="8" width="13.109375" bestFit="1" customWidth="1"/>
    <col min="258" max="258" width="51.6640625" customWidth="1"/>
    <col min="514" max="514" width="51.6640625" customWidth="1"/>
    <col min="770" max="770" width="51.6640625" customWidth="1"/>
    <col min="1026" max="1026" width="51.6640625" customWidth="1"/>
    <col min="1282" max="1282" width="51.6640625" customWidth="1"/>
    <col min="1538" max="1538" width="51.6640625" customWidth="1"/>
    <col min="1794" max="1794" width="51.6640625" customWidth="1"/>
    <col min="2050" max="2050" width="51.6640625" customWidth="1"/>
    <col min="2306" max="2306" width="51.6640625" customWidth="1"/>
    <col min="2562" max="2562" width="51.6640625" customWidth="1"/>
    <col min="2818" max="2818" width="51.6640625" customWidth="1"/>
    <col min="3074" max="3074" width="51.6640625" customWidth="1"/>
    <col min="3330" max="3330" width="51.6640625" customWidth="1"/>
    <col min="3586" max="3586" width="51.6640625" customWidth="1"/>
    <col min="3842" max="3842" width="51.6640625" customWidth="1"/>
    <col min="4098" max="4098" width="51.6640625" customWidth="1"/>
    <col min="4354" max="4354" width="51.6640625" customWidth="1"/>
    <col min="4610" max="4610" width="51.6640625" customWidth="1"/>
    <col min="4866" max="4866" width="51.6640625" customWidth="1"/>
    <col min="5122" max="5122" width="51.6640625" customWidth="1"/>
    <col min="5378" max="5378" width="51.6640625" customWidth="1"/>
    <col min="5634" max="5634" width="51.6640625" customWidth="1"/>
    <col min="5890" max="5890" width="51.6640625" customWidth="1"/>
    <col min="6146" max="6146" width="51.6640625" customWidth="1"/>
    <col min="6402" max="6402" width="51.6640625" customWidth="1"/>
    <col min="6658" max="6658" width="51.6640625" customWidth="1"/>
    <col min="6914" max="6914" width="51.6640625" customWidth="1"/>
    <col min="7170" max="7170" width="51.6640625" customWidth="1"/>
    <col min="7426" max="7426" width="51.6640625" customWidth="1"/>
    <col min="7682" max="7682" width="51.6640625" customWidth="1"/>
    <col min="7938" max="7938" width="51.6640625" customWidth="1"/>
    <col min="8194" max="8194" width="51.6640625" customWidth="1"/>
    <col min="8450" max="8450" width="51.6640625" customWidth="1"/>
    <col min="8706" max="8706" width="51.6640625" customWidth="1"/>
    <col min="8962" max="8962" width="51.6640625" customWidth="1"/>
    <col min="9218" max="9218" width="51.6640625" customWidth="1"/>
    <col min="9474" max="9474" width="51.6640625" customWidth="1"/>
    <col min="9730" max="9730" width="51.6640625" customWidth="1"/>
    <col min="9986" max="9986" width="51.6640625" customWidth="1"/>
    <col min="10242" max="10242" width="51.6640625" customWidth="1"/>
    <col min="10498" max="10498" width="51.6640625" customWidth="1"/>
    <col min="10754" max="10754" width="51.6640625" customWidth="1"/>
    <col min="11010" max="11010" width="51.6640625" customWidth="1"/>
    <col min="11266" max="11266" width="51.6640625" customWidth="1"/>
    <col min="11522" max="11522" width="51.6640625" customWidth="1"/>
    <col min="11778" max="11778" width="51.6640625" customWidth="1"/>
    <col min="12034" max="12034" width="51.6640625" customWidth="1"/>
    <col min="12290" max="12290" width="51.6640625" customWidth="1"/>
    <col min="12546" max="12546" width="51.6640625" customWidth="1"/>
    <col min="12802" max="12802" width="51.6640625" customWidth="1"/>
    <col min="13058" max="13058" width="51.6640625" customWidth="1"/>
    <col min="13314" max="13314" width="51.6640625" customWidth="1"/>
    <col min="13570" max="13570" width="51.6640625" customWidth="1"/>
    <col min="13826" max="13826" width="51.6640625" customWidth="1"/>
    <col min="14082" max="14082" width="51.6640625" customWidth="1"/>
    <col min="14338" max="14338" width="51.6640625" customWidth="1"/>
    <col min="14594" max="14594" width="51.6640625" customWidth="1"/>
    <col min="14850" max="14850" width="51.6640625" customWidth="1"/>
    <col min="15106" max="15106" width="51.6640625" customWidth="1"/>
    <col min="15362" max="15362" width="51.6640625" customWidth="1"/>
    <col min="15618" max="15618" width="51.6640625" customWidth="1"/>
    <col min="15874" max="15874" width="51.6640625" customWidth="1"/>
    <col min="16130" max="16130" width="51.6640625" customWidth="1"/>
  </cols>
  <sheetData>
    <row r="1" spans="1:8" ht="25.5" customHeight="1" x14ac:dyDescent="0.3">
      <c r="A1" s="809" t="s">
        <v>340</v>
      </c>
      <c r="B1" s="809"/>
      <c r="C1" s="809"/>
      <c r="D1" s="809"/>
      <c r="E1" s="809"/>
      <c r="F1" s="809"/>
      <c r="G1" s="809"/>
      <c r="H1" s="809"/>
    </row>
    <row r="2" spans="1:8" ht="45" customHeight="1" thickBot="1" x14ac:dyDescent="0.35">
      <c r="A2" s="810" t="s">
        <v>167</v>
      </c>
      <c r="B2" s="810"/>
      <c r="C2" s="810"/>
      <c r="D2" s="810"/>
      <c r="E2" s="810"/>
      <c r="F2" s="810"/>
      <c r="G2" s="810"/>
      <c r="H2" s="810"/>
    </row>
    <row r="3" spans="1:8" ht="15" thickBot="1" x14ac:dyDescent="0.35">
      <c r="A3" s="811" t="s">
        <v>183</v>
      </c>
      <c r="B3" s="812"/>
      <c r="C3" s="813"/>
      <c r="D3" s="820" t="s">
        <v>171</v>
      </c>
      <c r="E3" s="821"/>
      <c r="F3" s="821"/>
      <c r="G3" s="821"/>
      <c r="H3" s="822"/>
    </row>
    <row r="4" spans="1:8" ht="24" customHeight="1" x14ac:dyDescent="0.3">
      <c r="A4" s="814"/>
      <c r="B4" s="815"/>
      <c r="C4" s="816"/>
      <c r="D4" s="24" t="s">
        <v>147</v>
      </c>
      <c r="E4" s="24" t="s">
        <v>168</v>
      </c>
      <c r="F4" s="24" t="s">
        <v>169</v>
      </c>
      <c r="G4" s="24" t="s">
        <v>313</v>
      </c>
      <c r="H4" s="823" t="s">
        <v>148</v>
      </c>
    </row>
    <row r="5" spans="1:8" ht="15" thickBot="1" x14ac:dyDescent="0.35">
      <c r="A5" s="817"/>
      <c r="B5" s="818"/>
      <c r="C5" s="819"/>
      <c r="D5" s="25" t="s">
        <v>149</v>
      </c>
      <c r="E5" s="25" t="s">
        <v>149</v>
      </c>
      <c r="F5" s="25" t="s">
        <v>149</v>
      </c>
      <c r="G5" s="25" t="s">
        <v>149</v>
      </c>
      <c r="H5" s="824"/>
    </row>
    <row r="6" spans="1:8" s="17" customFormat="1" ht="28.2" thickBot="1" x14ac:dyDescent="0.35">
      <c r="A6" s="26" t="s">
        <v>151</v>
      </c>
      <c r="B6" s="27" t="s">
        <v>152</v>
      </c>
      <c r="C6" s="27" t="s">
        <v>153</v>
      </c>
      <c r="D6" s="105"/>
      <c r="E6" s="105"/>
      <c r="F6" s="105"/>
      <c r="G6" s="105"/>
      <c r="H6" s="28"/>
    </row>
    <row r="7" spans="1:8" x14ac:dyDescent="0.3">
      <c r="A7" s="29" t="s">
        <v>150</v>
      </c>
      <c r="B7" s="30"/>
      <c r="C7" s="30"/>
      <c r="D7" s="31">
        <v>0</v>
      </c>
      <c r="E7" s="31">
        <v>0</v>
      </c>
      <c r="F7" s="31">
        <v>0</v>
      </c>
      <c r="G7" s="31">
        <v>0</v>
      </c>
      <c r="H7" s="32">
        <f>SUM(D7:G7)</f>
        <v>0</v>
      </c>
    </row>
    <row r="8" spans="1:8" ht="27.6" x14ac:dyDescent="0.3">
      <c r="A8" s="33" t="s">
        <v>155</v>
      </c>
      <c r="B8" s="104"/>
      <c r="C8" s="104"/>
      <c r="D8" s="34">
        <v>0</v>
      </c>
      <c r="E8" s="34">
        <v>0</v>
      </c>
      <c r="F8" s="34">
        <v>0</v>
      </c>
      <c r="G8" s="34">
        <v>0</v>
      </c>
      <c r="H8" s="35">
        <f t="shared" ref="H8:H13" si="0">SUM(D8:G8)</f>
        <v>0</v>
      </c>
    </row>
    <row r="9" spans="1:8" x14ac:dyDescent="0.3">
      <c r="A9" s="33" t="s">
        <v>156</v>
      </c>
      <c r="B9" s="104"/>
      <c r="C9" s="104"/>
      <c r="D9" s="34">
        <v>0</v>
      </c>
      <c r="E9" s="34">
        <v>0</v>
      </c>
      <c r="F9" s="34">
        <v>0</v>
      </c>
      <c r="G9" s="34">
        <v>0</v>
      </c>
      <c r="H9" s="35">
        <f t="shared" si="0"/>
        <v>0</v>
      </c>
    </row>
    <row r="10" spans="1:8" ht="27.6" x14ac:dyDescent="0.3">
      <c r="A10" s="33" t="s">
        <v>157</v>
      </c>
      <c r="B10" s="104"/>
      <c r="C10" s="104"/>
      <c r="D10" s="34">
        <v>0</v>
      </c>
      <c r="E10" s="34">
        <v>0</v>
      </c>
      <c r="F10" s="34">
        <v>0</v>
      </c>
      <c r="G10" s="34">
        <v>0</v>
      </c>
      <c r="H10" s="35">
        <f t="shared" si="0"/>
        <v>0</v>
      </c>
    </row>
    <row r="11" spans="1:8" ht="27.6" x14ac:dyDescent="0.3">
      <c r="A11" s="36" t="s">
        <v>158</v>
      </c>
      <c r="B11" s="104"/>
      <c r="C11" s="104"/>
      <c r="D11" s="34">
        <v>0</v>
      </c>
      <c r="E11" s="34">
        <v>0</v>
      </c>
      <c r="F11" s="34">
        <v>0</v>
      </c>
      <c r="G11" s="34">
        <v>0</v>
      </c>
      <c r="H11" s="35">
        <f t="shared" si="0"/>
        <v>0</v>
      </c>
    </row>
    <row r="12" spans="1:8" ht="27.6" x14ac:dyDescent="0.3">
      <c r="A12" s="33" t="s">
        <v>159</v>
      </c>
      <c r="B12" s="104"/>
      <c r="C12" s="104"/>
      <c r="D12" s="34">
        <v>0</v>
      </c>
      <c r="E12" s="34">
        <v>0</v>
      </c>
      <c r="F12" s="34">
        <v>0</v>
      </c>
      <c r="G12" s="34">
        <v>0</v>
      </c>
      <c r="H12" s="35">
        <f t="shared" si="0"/>
        <v>0</v>
      </c>
    </row>
    <row r="13" spans="1:8" ht="41.4" x14ac:dyDescent="0.3">
      <c r="A13" s="33" t="s">
        <v>170</v>
      </c>
      <c r="B13" s="104"/>
      <c r="C13" s="104"/>
      <c r="D13" s="34">
        <v>0</v>
      </c>
      <c r="E13" s="34">
        <v>0</v>
      </c>
      <c r="F13" s="34">
        <v>0</v>
      </c>
      <c r="G13" s="34">
        <v>0</v>
      </c>
      <c r="H13" s="35">
        <f t="shared" si="0"/>
        <v>0</v>
      </c>
    </row>
    <row r="14" spans="1:8" ht="30" customHeight="1" thickBot="1" x14ac:dyDescent="0.35">
      <c r="A14" s="825" t="s">
        <v>180</v>
      </c>
      <c r="B14" s="826"/>
      <c r="C14" s="826"/>
      <c r="D14" s="37">
        <f>SUM(D7:D13)</f>
        <v>0</v>
      </c>
      <c r="E14" s="37">
        <f t="shared" ref="E14:H14" si="1">SUM(E7:E13)</f>
        <v>0</v>
      </c>
      <c r="F14" s="37">
        <f t="shared" si="1"/>
        <v>0</v>
      </c>
      <c r="G14" s="37">
        <f t="shared" si="1"/>
        <v>0</v>
      </c>
      <c r="H14" s="38">
        <f t="shared" si="1"/>
        <v>0</v>
      </c>
    </row>
    <row r="15" spans="1:8" ht="12" customHeight="1" thickBot="1" x14ac:dyDescent="0.35">
      <c r="A15" s="41"/>
      <c r="B15" s="42"/>
      <c r="C15" s="43"/>
      <c r="D15" s="587"/>
      <c r="E15" s="587"/>
      <c r="F15" s="587"/>
      <c r="G15" s="587"/>
      <c r="H15" s="588"/>
    </row>
    <row r="16" spans="1:8" x14ac:dyDescent="0.3">
      <c r="A16" s="789" t="s">
        <v>182</v>
      </c>
      <c r="B16" s="790"/>
      <c r="C16" s="791"/>
      <c r="D16" s="795" t="s">
        <v>187</v>
      </c>
      <c r="E16" s="796"/>
      <c r="F16" s="796"/>
      <c r="G16" s="796"/>
      <c r="H16" s="797"/>
    </row>
    <row r="17" spans="1:8" x14ac:dyDescent="0.3">
      <c r="A17" s="792"/>
      <c r="B17" s="793"/>
      <c r="C17" s="794"/>
      <c r="D17" s="24" t="s">
        <v>147</v>
      </c>
      <c r="E17" s="24" t="s">
        <v>168</v>
      </c>
      <c r="F17" s="24" t="s">
        <v>169</v>
      </c>
      <c r="G17" s="24" t="s">
        <v>313</v>
      </c>
      <c r="H17" s="798" t="s">
        <v>181</v>
      </c>
    </row>
    <row r="18" spans="1:8" ht="15" thickBot="1" x14ac:dyDescent="0.35">
      <c r="A18" s="792"/>
      <c r="B18" s="793"/>
      <c r="C18" s="794"/>
      <c r="D18" s="25" t="s">
        <v>149</v>
      </c>
      <c r="E18" s="25" t="s">
        <v>149</v>
      </c>
      <c r="F18" s="25" t="s">
        <v>149</v>
      </c>
      <c r="G18" s="25" t="s">
        <v>149</v>
      </c>
      <c r="H18" s="798"/>
    </row>
    <row r="19" spans="1:8" ht="15" customHeight="1" x14ac:dyDescent="0.3">
      <c r="A19" s="799" t="s">
        <v>185</v>
      </c>
      <c r="B19" s="801" t="s">
        <v>186</v>
      </c>
      <c r="C19" s="803" t="s">
        <v>161</v>
      </c>
      <c r="D19" s="805"/>
      <c r="E19" s="807"/>
      <c r="F19" s="807"/>
      <c r="G19" s="807"/>
      <c r="H19" s="784"/>
    </row>
    <row r="20" spans="1:8" ht="15.75" customHeight="1" thickBot="1" x14ac:dyDescent="0.35">
      <c r="A20" s="800"/>
      <c r="B20" s="802"/>
      <c r="C20" s="804"/>
      <c r="D20" s="806"/>
      <c r="E20" s="808"/>
      <c r="F20" s="808"/>
      <c r="G20" s="808"/>
      <c r="H20" s="785"/>
    </row>
    <row r="21" spans="1:8" ht="20.25" customHeight="1" x14ac:dyDescent="0.3">
      <c r="A21" s="29" t="s">
        <v>160</v>
      </c>
      <c r="B21" s="40"/>
      <c r="C21" s="40"/>
      <c r="D21" s="45">
        <v>86000000</v>
      </c>
      <c r="E21" s="45">
        <v>86000000</v>
      </c>
      <c r="F21" s="45">
        <v>86000000</v>
      </c>
      <c r="G21" s="45">
        <v>86000000</v>
      </c>
      <c r="H21" s="46">
        <f>SUM(D21:G21)</f>
        <v>344000000</v>
      </c>
    </row>
    <row r="22" spans="1:8" ht="27.6" x14ac:dyDescent="0.3">
      <c r="A22" s="33" t="s">
        <v>162</v>
      </c>
      <c r="B22" s="39"/>
      <c r="C22" s="39"/>
      <c r="D22" s="44"/>
      <c r="E22" s="44"/>
      <c r="F22" s="44"/>
      <c r="G22" s="44"/>
      <c r="H22" s="46">
        <f t="shared" ref="H22:H26" si="2">SUM(D22:G22)</f>
        <v>0</v>
      </c>
    </row>
    <row r="23" spans="1:8" x14ac:dyDescent="0.3">
      <c r="A23" s="33" t="s">
        <v>163</v>
      </c>
      <c r="B23" s="104"/>
      <c r="C23" s="104"/>
      <c r="D23" s="44"/>
      <c r="E23" s="44"/>
      <c r="F23" s="44"/>
      <c r="G23" s="44"/>
      <c r="H23" s="46">
        <f t="shared" si="2"/>
        <v>0</v>
      </c>
    </row>
    <row r="24" spans="1:8" ht="36.75" customHeight="1" x14ac:dyDescent="0.3">
      <c r="A24" s="33" t="s">
        <v>164</v>
      </c>
      <c r="B24" s="104"/>
      <c r="C24" s="104"/>
      <c r="D24" s="44"/>
      <c r="E24" s="44"/>
      <c r="F24" s="44"/>
      <c r="G24" s="44"/>
      <c r="H24" s="46">
        <f t="shared" si="2"/>
        <v>0</v>
      </c>
    </row>
    <row r="25" spans="1:8" x14ac:dyDescent="0.3">
      <c r="A25" s="33" t="s">
        <v>165</v>
      </c>
      <c r="B25" s="104"/>
      <c r="C25" s="104"/>
      <c r="D25" s="44"/>
      <c r="E25" s="44"/>
      <c r="F25" s="44"/>
      <c r="G25" s="44"/>
      <c r="H25" s="46">
        <f t="shared" si="2"/>
        <v>0</v>
      </c>
    </row>
    <row r="26" spans="1:8" ht="27.6" x14ac:dyDescent="0.3">
      <c r="A26" s="33" t="s">
        <v>166</v>
      </c>
      <c r="B26" s="104"/>
      <c r="C26" s="104"/>
      <c r="D26" s="44"/>
      <c r="E26" s="44"/>
      <c r="F26" s="44"/>
      <c r="G26" s="44"/>
      <c r="H26" s="46">
        <f t="shared" si="2"/>
        <v>0</v>
      </c>
    </row>
    <row r="27" spans="1:8" ht="32.25" customHeight="1" thickBot="1" x14ac:dyDescent="0.35">
      <c r="A27" s="786" t="s">
        <v>184</v>
      </c>
      <c r="B27" s="787"/>
      <c r="C27" s="788"/>
      <c r="D27" s="45">
        <f>SUM(D21:D26)</f>
        <v>86000000</v>
      </c>
      <c r="E27" s="45">
        <f t="shared" ref="E27:H27" si="3">SUM(E21:E26)</f>
        <v>86000000</v>
      </c>
      <c r="F27" s="45">
        <f t="shared" si="3"/>
        <v>86000000</v>
      </c>
      <c r="G27" s="45">
        <f t="shared" si="3"/>
        <v>86000000</v>
      </c>
      <c r="H27" s="45">
        <f t="shared" si="3"/>
        <v>344000000</v>
      </c>
    </row>
  </sheetData>
  <mergeCells count="18">
    <mergeCell ref="A14:C14"/>
    <mergeCell ref="A1:H1"/>
    <mergeCell ref="A2:H2"/>
    <mergeCell ref="A3:C5"/>
    <mergeCell ref="D3:H3"/>
    <mergeCell ref="H4:H5"/>
    <mergeCell ref="H19:H20"/>
    <mergeCell ref="A27:C27"/>
    <mergeCell ref="A16:C18"/>
    <mergeCell ref="D16:H16"/>
    <mergeCell ref="H17:H18"/>
    <mergeCell ref="A19:A20"/>
    <mergeCell ref="B19:B20"/>
    <mergeCell ref="C19:C20"/>
    <mergeCell ref="D19:D20"/>
    <mergeCell ref="E19:E20"/>
    <mergeCell ref="F19:F20"/>
    <mergeCell ref="G19:G20"/>
  </mergeCells>
  <pageMargins left="0.59055118110236227" right="0.59055118110236227" top="0.59055118110236227" bottom="0.59055118110236227" header="0.31496062992125984" footer="0.31496062992125984"/>
  <pageSetup paperSize="9" scale="81" fitToHeight="5" orientation="landscape" r:id="rId1"/>
  <headerFoot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45"/>
  <sheetViews>
    <sheetView zoomScaleNormal="100" workbookViewId="0"/>
  </sheetViews>
  <sheetFormatPr defaultRowHeight="13.2" x14ac:dyDescent="0.25"/>
  <cols>
    <col min="1" max="1" width="65.88671875" style="55" customWidth="1"/>
    <col min="2" max="2" width="17.6640625" style="56" customWidth="1"/>
    <col min="3" max="254" width="9.109375" style="55"/>
    <col min="255" max="255" width="64.33203125" style="55" customWidth="1"/>
    <col min="256" max="510" width="9.109375" style="55"/>
    <col min="511" max="511" width="64.33203125" style="55" customWidth="1"/>
    <col min="512" max="766" width="9.109375" style="55"/>
    <col min="767" max="767" width="64.33203125" style="55" customWidth="1"/>
    <col min="768" max="1022" width="9.109375" style="55"/>
    <col min="1023" max="1023" width="64.33203125" style="55" customWidth="1"/>
    <col min="1024" max="1278" width="9.109375" style="55"/>
    <col min="1279" max="1279" width="64.33203125" style="55" customWidth="1"/>
    <col min="1280" max="1534" width="9.109375" style="55"/>
    <col min="1535" max="1535" width="64.33203125" style="55" customWidth="1"/>
    <col min="1536" max="1790" width="9.109375" style="55"/>
    <col min="1791" max="1791" width="64.33203125" style="55" customWidth="1"/>
    <col min="1792" max="2046" width="9.109375" style="55"/>
    <col min="2047" max="2047" width="64.33203125" style="55" customWidth="1"/>
    <col min="2048" max="2302" width="9.109375" style="55"/>
    <col min="2303" max="2303" width="64.33203125" style="55" customWidth="1"/>
    <col min="2304" max="2558" width="9.109375" style="55"/>
    <col min="2559" max="2559" width="64.33203125" style="55" customWidth="1"/>
    <col min="2560" max="2814" width="9.109375" style="55"/>
    <col min="2815" max="2815" width="64.33203125" style="55" customWidth="1"/>
    <col min="2816" max="3070" width="9.109375" style="55"/>
    <col min="3071" max="3071" width="64.33203125" style="55" customWidth="1"/>
    <col min="3072" max="3326" width="9.109375" style="55"/>
    <col min="3327" max="3327" width="64.33203125" style="55" customWidth="1"/>
    <col min="3328" max="3582" width="9.109375" style="55"/>
    <col min="3583" max="3583" width="64.33203125" style="55" customWidth="1"/>
    <col min="3584" max="3838" width="9.109375" style="55"/>
    <col min="3839" max="3839" width="64.33203125" style="55" customWidth="1"/>
    <col min="3840" max="4094" width="9.109375" style="55"/>
    <col min="4095" max="4095" width="64.33203125" style="55" customWidth="1"/>
    <col min="4096" max="4350" width="9.109375" style="55"/>
    <col min="4351" max="4351" width="64.33203125" style="55" customWidth="1"/>
    <col min="4352" max="4606" width="9.109375" style="55"/>
    <col min="4607" max="4607" width="64.33203125" style="55" customWidth="1"/>
    <col min="4608" max="4862" width="9.109375" style="55"/>
    <col min="4863" max="4863" width="64.33203125" style="55" customWidth="1"/>
    <col min="4864" max="5118" width="9.109375" style="55"/>
    <col min="5119" max="5119" width="64.33203125" style="55" customWidth="1"/>
    <col min="5120" max="5374" width="9.109375" style="55"/>
    <col min="5375" max="5375" width="64.33203125" style="55" customWidth="1"/>
    <col min="5376" max="5630" width="9.109375" style="55"/>
    <col min="5631" max="5631" width="64.33203125" style="55" customWidth="1"/>
    <col min="5632" max="5886" width="9.109375" style="55"/>
    <col min="5887" max="5887" width="64.33203125" style="55" customWidth="1"/>
    <col min="5888" max="6142" width="9.109375" style="55"/>
    <col min="6143" max="6143" width="64.33203125" style="55" customWidth="1"/>
    <col min="6144" max="6398" width="9.109375" style="55"/>
    <col min="6399" max="6399" width="64.33203125" style="55" customWidth="1"/>
    <col min="6400" max="6654" width="9.109375" style="55"/>
    <col min="6655" max="6655" width="64.33203125" style="55" customWidth="1"/>
    <col min="6656" max="6910" width="9.109375" style="55"/>
    <col min="6911" max="6911" width="64.33203125" style="55" customWidth="1"/>
    <col min="6912" max="7166" width="9.109375" style="55"/>
    <col min="7167" max="7167" width="64.33203125" style="55" customWidth="1"/>
    <col min="7168" max="7422" width="9.109375" style="55"/>
    <col min="7423" max="7423" width="64.33203125" style="55" customWidth="1"/>
    <col min="7424" max="7678" width="9.109375" style="55"/>
    <col min="7679" max="7679" width="64.33203125" style="55" customWidth="1"/>
    <col min="7680" max="7934" width="9.109375" style="55"/>
    <col min="7935" max="7935" width="64.33203125" style="55" customWidth="1"/>
    <col min="7936" max="8190" width="9.109375" style="55"/>
    <col min="8191" max="8191" width="64.33203125" style="55" customWidth="1"/>
    <col min="8192" max="8446" width="9.109375" style="55"/>
    <col min="8447" max="8447" width="64.33203125" style="55" customWidth="1"/>
    <col min="8448" max="8702" width="9.109375" style="55"/>
    <col min="8703" max="8703" width="64.33203125" style="55" customWidth="1"/>
    <col min="8704" max="8958" width="9.109375" style="55"/>
    <col min="8959" max="8959" width="64.33203125" style="55" customWidth="1"/>
    <col min="8960" max="9214" width="9.109375" style="55"/>
    <col min="9215" max="9215" width="64.33203125" style="55" customWidth="1"/>
    <col min="9216" max="9470" width="9.109375" style="55"/>
    <col min="9471" max="9471" width="64.33203125" style="55" customWidth="1"/>
    <col min="9472" max="9726" width="9.109375" style="55"/>
    <col min="9727" max="9727" width="64.33203125" style="55" customWidth="1"/>
    <col min="9728" max="9982" width="9.109375" style="55"/>
    <col min="9983" max="9983" width="64.33203125" style="55" customWidth="1"/>
    <col min="9984" max="10238" width="9.109375" style="55"/>
    <col min="10239" max="10239" width="64.33203125" style="55" customWidth="1"/>
    <col min="10240" max="10494" width="9.109375" style="55"/>
    <col min="10495" max="10495" width="64.33203125" style="55" customWidth="1"/>
    <col min="10496" max="10750" width="9.109375" style="55"/>
    <col min="10751" max="10751" width="64.33203125" style="55" customWidth="1"/>
    <col min="10752" max="11006" width="9.109375" style="55"/>
    <col min="11007" max="11007" width="64.33203125" style="55" customWidth="1"/>
    <col min="11008" max="11262" width="9.109375" style="55"/>
    <col min="11263" max="11263" width="64.33203125" style="55" customWidth="1"/>
    <col min="11264" max="11518" width="9.109375" style="55"/>
    <col min="11519" max="11519" width="64.33203125" style="55" customWidth="1"/>
    <col min="11520" max="11774" width="9.109375" style="55"/>
    <col min="11775" max="11775" width="64.33203125" style="55" customWidth="1"/>
    <col min="11776" max="12030" width="9.109375" style="55"/>
    <col min="12031" max="12031" width="64.33203125" style="55" customWidth="1"/>
    <col min="12032" max="12286" width="9.109375" style="55"/>
    <col min="12287" max="12287" width="64.33203125" style="55" customWidth="1"/>
    <col min="12288" max="12542" width="9.109375" style="55"/>
    <col min="12543" max="12543" width="64.33203125" style="55" customWidth="1"/>
    <col min="12544" max="12798" width="9.109375" style="55"/>
    <col min="12799" max="12799" width="64.33203125" style="55" customWidth="1"/>
    <col min="12800" max="13054" width="9.109375" style="55"/>
    <col min="13055" max="13055" width="64.33203125" style="55" customWidth="1"/>
    <col min="13056" max="13310" width="9.109375" style="55"/>
    <col min="13311" max="13311" width="64.33203125" style="55" customWidth="1"/>
    <col min="13312" max="13566" width="9.109375" style="55"/>
    <col min="13567" max="13567" width="64.33203125" style="55" customWidth="1"/>
    <col min="13568" max="13822" width="9.109375" style="55"/>
    <col min="13823" max="13823" width="64.33203125" style="55" customWidth="1"/>
    <col min="13824" max="14078" width="9.109375" style="55"/>
    <col min="14079" max="14079" width="64.33203125" style="55" customWidth="1"/>
    <col min="14080" max="14334" width="9.109375" style="55"/>
    <col min="14335" max="14335" width="64.33203125" style="55" customWidth="1"/>
    <col min="14336" max="14590" width="9.109375" style="55"/>
    <col min="14591" max="14591" width="64.33203125" style="55" customWidth="1"/>
    <col min="14592" max="14846" width="9.109375" style="55"/>
    <col min="14847" max="14847" width="64.33203125" style="55" customWidth="1"/>
    <col min="14848" max="15102" width="9.109375" style="55"/>
    <col min="15103" max="15103" width="64.33203125" style="55" customWidth="1"/>
    <col min="15104" max="15358" width="9.109375" style="55"/>
    <col min="15359" max="15359" width="64.33203125" style="55" customWidth="1"/>
    <col min="15360" max="15614" width="9.109375" style="55"/>
    <col min="15615" max="15615" width="64.33203125" style="55" customWidth="1"/>
    <col min="15616" max="15870" width="9.109375" style="55"/>
    <col min="15871" max="15871" width="64.33203125" style="55" customWidth="1"/>
    <col min="15872" max="16126" width="9.109375" style="55"/>
    <col min="16127" max="16127" width="64.33203125" style="55" customWidth="1"/>
    <col min="16128" max="16384" width="9.109375" style="55"/>
  </cols>
  <sheetData>
    <row r="1" spans="1:2" ht="13.8" x14ac:dyDescent="0.25">
      <c r="A1" s="69" t="s">
        <v>341</v>
      </c>
      <c r="B1" s="54"/>
    </row>
    <row r="2" spans="1:2" x14ac:dyDescent="0.25">
      <c r="A2" s="47"/>
      <c r="B2" s="54"/>
    </row>
    <row r="3" spans="1:2" x14ac:dyDescent="0.25">
      <c r="A3" s="47" t="s">
        <v>317</v>
      </c>
      <c r="B3" s="54"/>
    </row>
    <row r="4" spans="1:2" ht="24" customHeight="1" thickBot="1" x14ac:dyDescent="0.3">
      <c r="A4" s="47"/>
      <c r="B4" s="54"/>
    </row>
    <row r="5" spans="1:2" ht="13.8" thickBot="1" x14ac:dyDescent="0.3">
      <c r="A5" s="48" t="s">
        <v>188</v>
      </c>
      <c r="B5" s="67" t="s">
        <v>146</v>
      </c>
    </row>
    <row r="6" spans="1:2" ht="13.8" thickBot="1" x14ac:dyDescent="0.3">
      <c r="A6" s="57" t="s">
        <v>189</v>
      </c>
      <c r="B6" s="50"/>
    </row>
    <row r="7" spans="1:2" ht="13.8" thickBot="1" x14ac:dyDescent="0.3">
      <c r="A7" s="57" t="s">
        <v>190</v>
      </c>
      <c r="B7" s="62"/>
    </row>
    <row r="8" spans="1:2" ht="13.8" thickBot="1" x14ac:dyDescent="0.3">
      <c r="A8" s="57" t="s">
        <v>191</v>
      </c>
      <c r="B8" s="62">
        <f>6566000+560500</f>
        <v>7126500</v>
      </c>
    </row>
    <row r="9" spans="1:2" ht="13.8" thickBot="1" x14ac:dyDescent="0.3">
      <c r="A9" s="57" t="s">
        <v>192</v>
      </c>
      <c r="B9" s="62"/>
    </row>
    <row r="10" spans="1:2" ht="13.8" thickBot="1" x14ac:dyDescent="0.3">
      <c r="A10" s="59" t="s">
        <v>193</v>
      </c>
      <c r="B10" s="63">
        <f>SUM(B6:B9)</f>
        <v>7126500</v>
      </c>
    </row>
    <row r="11" spans="1:2" ht="27" thickBot="1" x14ac:dyDescent="0.3">
      <c r="A11" s="57" t="s">
        <v>194</v>
      </c>
      <c r="B11" s="62"/>
    </row>
    <row r="12" spans="1:2" ht="27" thickBot="1" x14ac:dyDescent="0.3">
      <c r="A12" s="57" t="s">
        <v>195</v>
      </c>
      <c r="B12" s="62"/>
    </row>
    <row r="13" spans="1:2" ht="13.8" thickBot="1" x14ac:dyDescent="0.3">
      <c r="A13" s="52" t="s">
        <v>196</v>
      </c>
      <c r="B13" s="64"/>
    </row>
    <row r="14" spans="1:2" ht="13.8" thickBot="1" x14ac:dyDescent="0.3">
      <c r="A14" s="57" t="s">
        <v>197</v>
      </c>
      <c r="B14" s="62">
        <v>222445</v>
      </c>
    </row>
    <row r="15" spans="1:2" ht="13.8" thickBot="1" x14ac:dyDescent="0.3">
      <c r="A15" s="52" t="s">
        <v>198</v>
      </c>
      <c r="B15" s="64">
        <f>SUM(B14)</f>
        <v>222445</v>
      </c>
    </row>
    <row r="16" spans="1:2" ht="13.8" thickBot="1" x14ac:dyDescent="0.3">
      <c r="A16" s="57" t="s">
        <v>199</v>
      </c>
      <c r="B16" s="62">
        <f>7700400-126000</f>
        <v>7574400</v>
      </c>
    </row>
    <row r="17" spans="1:2" ht="13.8" thickBot="1" x14ac:dyDescent="0.3">
      <c r="A17" s="52" t="s">
        <v>200</v>
      </c>
      <c r="B17" s="64">
        <f>SUM(B16)</f>
        <v>7574400</v>
      </c>
    </row>
    <row r="18" spans="1:2" ht="13.8" thickBot="1" x14ac:dyDescent="0.3">
      <c r="A18" s="52" t="s">
        <v>201</v>
      </c>
      <c r="B18" s="64"/>
    </row>
    <row r="19" spans="1:2" ht="13.8" thickBot="1" x14ac:dyDescent="0.3">
      <c r="A19" s="57" t="s">
        <v>202</v>
      </c>
      <c r="B19" s="62"/>
    </row>
    <row r="20" spans="1:2" ht="13.8" thickBot="1" x14ac:dyDescent="0.3">
      <c r="A20" s="57" t="s">
        <v>203</v>
      </c>
      <c r="B20" s="62"/>
    </row>
    <row r="21" spans="1:2" ht="13.8" thickBot="1" x14ac:dyDescent="0.3">
      <c r="A21" s="52" t="s">
        <v>204</v>
      </c>
      <c r="B21" s="64"/>
    </row>
    <row r="22" spans="1:2" ht="13.8" thickBot="1" x14ac:dyDescent="0.3">
      <c r="A22" s="59" t="s">
        <v>205</v>
      </c>
      <c r="B22" s="65"/>
    </row>
    <row r="23" spans="1:2" ht="27" thickBot="1" x14ac:dyDescent="0.3">
      <c r="A23" s="57" t="s">
        <v>206</v>
      </c>
      <c r="B23" s="64"/>
    </row>
    <row r="24" spans="1:2" ht="27" thickBot="1" x14ac:dyDescent="0.3">
      <c r="A24" s="57" t="s">
        <v>207</v>
      </c>
      <c r="B24" s="64"/>
    </row>
    <row r="25" spans="1:2" ht="13.8" thickBot="1" x14ac:dyDescent="0.3">
      <c r="A25" s="52" t="s">
        <v>208</v>
      </c>
      <c r="B25" s="64"/>
    </row>
    <row r="26" spans="1:2" ht="27" thickBot="1" x14ac:dyDescent="0.3">
      <c r="A26" s="57" t="s">
        <v>209</v>
      </c>
      <c r="B26" s="64"/>
    </row>
    <row r="27" spans="1:2" ht="27" thickBot="1" x14ac:dyDescent="0.3">
      <c r="A27" s="57" t="s">
        <v>210</v>
      </c>
      <c r="B27" s="64"/>
    </row>
    <row r="28" spans="1:2" ht="13.8" thickBot="1" x14ac:dyDescent="0.3">
      <c r="A28" s="52" t="s">
        <v>211</v>
      </c>
      <c r="B28" s="64"/>
    </row>
    <row r="29" spans="1:2" ht="14.4" thickBot="1" x14ac:dyDescent="0.3">
      <c r="A29" s="57" t="s">
        <v>212</v>
      </c>
      <c r="B29" s="66">
        <f>8022*2*9+8600*9</f>
        <v>221796</v>
      </c>
    </row>
    <row r="30" spans="1:2" ht="13.8" thickBot="1" x14ac:dyDescent="0.3">
      <c r="A30" s="52" t="s">
        <v>213</v>
      </c>
      <c r="B30" s="64">
        <f>SUM(B29)</f>
        <v>221796</v>
      </c>
    </row>
    <row r="31" spans="1:2" ht="14.4" thickBot="1" x14ac:dyDescent="0.3">
      <c r="A31" s="57" t="s">
        <v>214</v>
      </c>
      <c r="B31" s="66"/>
    </row>
    <row r="32" spans="1:2" ht="13.8" thickBot="1" x14ac:dyDescent="0.3">
      <c r="A32" s="51" t="s">
        <v>215</v>
      </c>
      <c r="B32" s="62"/>
    </row>
    <row r="33" spans="1:2" ht="13.8" thickBot="1" x14ac:dyDescent="0.3">
      <c r="A33" s="51" t="s">
        <v>216</v>
      </c>
      <c r="B33" s="64"/>
    </row>
    <row r="34" spans="1:2" ht="13.8" thickBot="1" x14ac:dyDescent="0.3">
      <c r="A34" s="52" t="s">
        <v>217</v>
      </c>
      <c r="B34" s="64"/>
    </row>
    <row r="35" spans="1:2" ht="14.4" thickBot="1" x14ac:dyDescent="0.3">
      <c r="A35" s="57" t="s">
        <v>218</v>
      </c>
      <c r="B35" s="66"/>
    </row>
    <row r="36" spans="1:2" ht="13.8" thickBot="1" x14ac:dyDescent="0.3">
      <c r="A36" s="52" t="s">
        <v>219</v>
      </c>
      <c r="B36" s="64"/>
    </row>
    <row r="37" spans="1:2" ht="13.8" thickBot="1" x14ac:dyDescent="0.3">
      <c r="A37" s="52" t="s">
        <v>220</v>
      </c>
      <c r="B37" s="64"/>
    </row>
    <row r="38" spans="1:2" ht="27" thickBot="1" x14ac:dyDescent="0.3">
      <c r="A38" s="57" t="s">
        <v>221</v>
      </c>
      <c r="B38" s="53"/>
    </row>
    <row r="39" spans="1:2" ht="27" thickBot="1" x14ac:dyDescent="0.3">
      <c r="A39" s="51" t="s">
        <v>222</v>
      </c>
      <c r="B39" s="50"/>
    </row>
    <row r="40" spans="1:2" ht="13.8" thickBot="1" x14ac:dyDescent="0.3">
      <c r="A40" s="52" t="s">
        <v>223</v>
      </c>
      <c r="B40" s="53"/>
    </row>
    <row r="41" spans="1:2" ht="27" thickBot="1" x14ac:dyDescent="0.3">
      <c r="A41" s="57" t="s">
        <v>224</v>
      </c>
      <c r="B41" s="50"/>
    </row>
    <row r="42" spans="1:2" ht="53.4" thickBot="1" x14ac:dyDescent="0.3">
      <c r="A42" s="58" t="s">
        <v>225</v>
      </c>
      <c r="B42" s="49"/>
    </row>
    <row r="43" spans="1:2" ht="27" thickBot="1" x14ac:dyDescent="0.3">
      <c r="A43" s="51" t="s">
        <v>226</v>
      </c>
      <c r="B43" s="53"/>
    </row>
    <row r="44" spans="1:2" ht="13.8" thickBot="1" x14ac:dyDescent="0.3">
      <c r="A44" s="52" t="s">
        <v>227</v>
      </c>
      <c r="B44" s="53"/>
    </row>
    <row r="45" spans="1:2" ht="13.8" thickBot="1" x14ac:dyDescent="0.3">
      <c r="A45" s="52" t="s">
        <v>228</v>
      </c>
      <c r="B45" s="68">
        <f>B30+B17+B15+B10</f>
        <v>15145141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A94D9-F29F-4686-9B43-78CADA354400}">
  <sheetPr>
    <tabColor rgb="FF00B050"/>
  </sheetPr>
  <dimension ref="A1:K82"/>
  <sheetViews>
    <sheetView view="pageBreakPreview" zoomScaleNormal="100" zoomScaleSheetLayoutView="100" workbookViewId="0">
      <selection activeCell="N17" sqref="N17"/>
    </sheetView>
  </sheetViews>
  <sheetFormatPr defaultRowHeight="13.8" x14ac:dyDescent="0.3"/>
  <cols>
    <col min="1" max="1" width="5.44140625" style="20" customWidth="1"/>
    <col min="2" max="2" width="31.6640625" style="23" customWidth="1"/>
    <col min="3" max="6" width="13.5546875" style="22" customWidth="1"/>
    <col min="7" max="7" width="11.6640625" style="22" customWidth="1"/>
    <col min="8" max="8" width="10.6640625" style="22" customWidth="1"/>
    <col min="9" max="9" width="11.33203125" style="19" customWidth="1"/>
    <col min="10" max="10" width="8.88671875" style="19"/>
    <col min="11" max="11" width="13.88671875" style="19" customWidth="1"/>
    <col min="12" max="253" width="8.88671875" style="19"/>
    <col min="254" max="254" width="7.109375" style="19" customWidth="1"/>
    <col min="255" max="255" width="39.44140625" style="19" customWidth="1"/>
    <col min="256" max="256" width="14" style="19" customWidth="1"/>
    <col min="257" max="257" width="16.109375" style="19" customWidth="1"/>
    <col min="258" max="509" width="8.88671875" style="19"/>
    <col min="510" max="510" width="7.109375" style="19" customWidth="1"/>
    <col min="511" max="511" width="39.44140625" style="19" customWidth="1"/>
    <col min="512" max="512" width="14" style="19" customWidth="1"/>
    <col min="513" max="513" width="16.109375" style="19" customWidth="1"/>
    <col min="514" max="765" width="8.88671875" style="19"/>
    <col min="766" max="766" width="7.109375" style="19" customWidth="1"/>
    <col min="767" max="767" width="39.44140625" style="19" customWidth="1"/>
    <col min="768" max="768" width="14" style="19" customWidth="1"/>
    <col min="769" max="769" width="16.109375" style="19" customWidth="1"/>
    <col min="770" max="1021" width="8.88671875" style="19"/>
    <col min="1022" max="1022" width="7.109375" style="19" customWidth="1"/>
    <col min="1023" max="1023" width="39.44140625" style="19" customWidth="1"/>
    <col min="1024" max="1024" width="14" style="19" customWidth="1"/>
    <col min="1025" max="1025" width="16.109375" style="19" customWidth="1"/>
    <col min="1026" max="1277" width="8.88671875" style="19"/>
    <col min="1278" max="1278" width="7.109375" style="19" customWidth="1"/>
    <col min="1279" max="1279" width="39.44140625" style="19" customWidth="1"/>
    <col min="1280" max="1280" width="14" style="19" customWidth="1"/>
    <col min="1281" max="1281" width="16.109375" style="19" customWidth="1"/>
    <col min="1282" max="1533" width="8.88671875" style="19"/>
    <col min="1534" max="1534" width="7.109375" style="19" customWidth="1"/>
    <col min="1535" max="1535" width="39.44140625" style="19" customWidth="1"/>
    <col min="1536" max="1536" width="14" style="19" customWidth="1"/>
    <col min="1537" max="1537" width="16.109375" style="19" customWidth="1"/>
    <col min="1538" max="1789" width="8.88671875" style="19"/>
    <col min="1790" max="1790" width="7.109375" style="19" customWidth="1"/>
    <col min="1791" max="1791" width="39.44140625" style="19" customWidth="1"/>
    <col min="1792" max="1792" width="14" style="19" customWidth="1"/>
    <col min="1793" max="1793" width="16.109375" style="19" customWidth="1"/>
    <col min="1794" max="2045" width="8.88671875" style="19"/>
    <col min="2046" max="2046" width="7.109375" style="19" customWidth="1"/>
    <col min="2047" max="2047" width="39.44140625" style="19" customWidth="1"/>
    <col min="2048" max="2048" width="14" style="19" customWidth="1"/>
    <col min="2049" max="2049" width="16.109375" style="19" customWidth="1"/>
    <col min="2050" max="2301" width="8.88671875" style="19"/>
    <col min="2302" max="2302" width="7.109375" style="19" customWidth="1"/>
    <col min="2303" max="2303" width="39.44140625" style="19" customWidth="1"/>
    <col min="2304" max="2304" width="14" style="19" customWidth="1"/>
    <col min="2305" max="2305" width="16.109375" style="19" customWidth="1"/>
    <col min="2306" max="2557" width="8.88671875" style="19"/>
    <col min="2558" max="2558" width="7.109375" style="19" customWidth="1"/>
    <col min="2559" max="2559" width="39.44140625" style="19" customWidth="1"/>
    <col min="2560" max="2560" width="14" style="19" customWidth="1"/>
    <col min="2561" max="2561" width="16.109375" style="19" customWidth="1"/>
    <col min="2562" max="2813" width="8.88671875" style="19"/>
    <col min="2814" max="2814" width="7.109375" style="19" customWidth="1"/>
    <col min="2815" max="2815" width="39.44140625" style="19" customWidth="1"/>
    <col min="2816" max="2816" width="14" style="19" customWidth="1"/>
    <col min="2817" max="2817" width="16.109375" style="19" customWidth="1"/>
    <col min="2818" max="3069" width="8.88671875" style="19"/>
    <col min="3070" max="3070" width="7.109375" style="19" customWidth="1"/>
    <col min="3071" max="3071" width="39.44140625" style="19" customWidth="1"/>
    <col min="3072" max="3072" width="14" style="19" customWidth="1"/>
    <col min="3073" max="3073" width="16.109375" style="19" customWidth="1"/>
    <col min="3074" max="3325" width="8.88671875" style="19"/>
    <col min="3326" max="3326" width="7.109375" style="19" customWidth="1"/>
    <col min="3327" max="3327" width="39.44140625" style="19" customWidth="1"/>
    <col min="3328" max="3328" width="14" style="19" customWidth="1"/>
    <col min="3329" max="3329" width="16.109375" style="19" customWidth="1"/>
    <col min="3330" max="3581" width="8.88671875" style="19"/>
    <col min="3582" max="3582" width="7.109375" style="19" customWidth="1"/>
    <col min="3583" max="3583" width="39.44140625" style="19" customWidth="1"/>
    <col min="3584" max="3584" width="14" style="19" customWidth="1"/>
    <col min="3585" max="3585" width="16.109375" style="19" customWidth="1"/>
    <col min="3586" max="3837" width="8.88671875" style="19"/>
    <col min="3838" max="3838" width="7.109375" style="19" customWidth="1"/>
    <col min="3839" max="3839" width="39.44140625" style="19" customWidth="1"/>
    <col min="3840" max="3840" width="14" style="19" customWidth="1"/>
    <col min="3841" max="3841" width="16.109375" style="19" customWidth="1"/>
    <col min="3842" max="4093" width="8.88671875" style="19"/>
    <col min="4094" max="4094" width="7.109375" style="19" customWidth="1"/>
    <col min="4095" max="4095" width="39.44140625" style="19" customWidth="1"/>
    <col min="4096" max="4096" width="14" style="19" customWidth="1"/>
    <col min="4097" max="4097" width="16.109375" style="19" customWidth="1"/>
    <col min="4098" max="4349" width="8.88671875" style="19"/>
    <col min="4350" max="4350" width="7.109375" style="19" customWidth="1"/>
    <col min="4351" max="4351" width="39.44140625" style="19" customWidth="1"/>
    <col min="4352" max="4352" width="14" style="19" customWidth="1"/>
    <col min="4353" max="4353" width="16.109375" style="19" customWidth="1"/>
    <col min="4354" max="4605" width="8.88671875" style="19"/>
    <col min="4606" max="4606" width="7.109375" style="19" customWidth="1"/>
    <col min="4607" max="4607" width="39.44140625" style="19" customWidth="1"/>
    <col min="4608" max="4608" width="14" style="19" customWidth="1"/>
    <col min="4609" max="4609" width="16.109375" style="19" customWidth="1"/>
    <col min="4610" max="4861" width="8.88671875" style="19"/>
    <col min="4862" max="4862" width="7.109375" style="19" customWidth="1"/>
    <col min="4863" max="4863" width="39.44140625" style="19" customWidth="1"/>
    <col min="4864" max="4864" width="14" style="19" customWidth="1"/>
    <col min="4865" max="4865" width="16.109375" style="19" customWidth="1"/>
    <col min="4866" max="5117" width="8.88671875" style="19"/>
    <col min="5118" max="5118" width="7.109375" style="19" customWidth="1"/>
    <col min="5119" max="5119" width="39.44140625" style="19" customWidth="1"/>
    <col min="5120" max="5120" width="14" style="19" customWidth="1"/>
    <col min="5121" max="5121" width="16.109375" style="19" customWidth="1"/>
    <col min="5122" max="5373" width="8.88671875" style="19"/>
    <col min="5374" max="5374" width="7.109375" style="19" customWidth="1"/>
    <col min="5375" max="5375" width="39.44140625" style="19" customWidth="1"/>
    <col min="5376" max="5376" width="14" style="19" customWidth="1"/>
    <col min="5377" max="5377" width="16.109375" style="19" customWidth="1"/>
    <col min="5378" max="5629" width="8.88671875" style="19"/>
    <col min="5630" max="5630" width="7.109375" style="19" customWidth="1"/>
    <col min="5631" max="5631" width="39.44140625" style="19" customWidth="1"/>
    <col min="5632" max="5632" width="14" style="19" customWidth="1"/>
    <col min="5633" max="5633" width="16.109375" style="19" customWidth="1"/>
    <col min="5634" max="5885" width="8.88671875" style="19"/>
    <col min="5886" max="5886" width="7.109375" style="19" customWidth="1"/>
    <col min="5887" max="5887" width="39.44140625" style="19" customWidth="1"/>
    <col min="5888" max="5888" width="14" style="19" customWidth="1"/>
    <col min="5889" max="5889" width="16.109375" style="19" customWidth="1"/>
    <col min="5890" max="6141" width="8.88671875" style="19"/>
    <col min="6142" max="6142" width="7.109375" style="19" customWidth="1"/>
    <col min="6143" max="6143" width="39.44140625" style="19" customWidth="1"/>
    <col min="6144" max="6144" width="14" style="19" customWidth="1"/>
    <col min="6145" max="6145" width="16.109375" style="19" customWidth="1"/>
    <col min="6146" max="6397" width="8.88671875" style="19"/>
    <col min="6398" max="6398" width="7.109375" style="19" customWidth="1"/>
    <col min="6399" max="6399" width="39.44140625" style="19" customWidth="1"/>
    <col min="6400" max="6400" width="14" style="19" customWidth="1"/>
    <col min="6401" max="6401" width="16.109375" style="19" customWidth="1"/>
    <col min="6402" max="6653" width="8.88671875" style="19"/>
    <col min="6654" max="6654" width="7.109375" style="19" customWidth="1"/>
    <col min="6655" max="6655" width="39.44140625" style="19" customWidth="1"/>
    <col min="6656" max="6656" width="14" style="19" customWidth="1"/>
    <col min="6657" max="6657" width="16.109375" style="19" customWidth="1"/>
    <col min="6658" max="6909" width="8.88671875" style="19"/>
    <col min="6910" max="6910" width="7.109375" style="19" customWidth="1"/>
    <col min="6911" max="6911" width="39.44140625" style="19" customWidth="1"/>
    <col min="6912" max="6912" width="14" style="19" customWidth="1"/>
    <col min="6913" max="6913" width="16.109375" style="19" customWidth="1"/>
    <col min="6914" max="7165" width="8.88671875" style="19"/>
    <col min="7166" max="7166" width="7.109375" style="19" customWidth="1"/>
    <col min="7167" max="7167" width="39.44140625" style="19" customWidth="1"/>
    <col min="7168" max="7168" width="14" style="19" customWidth="1"/>
    <col min="7169" max="7169" width="16.109375" style="19" customWidth="1"/>
    <col min="7170" max="7421" width="8.88671875" style="19"/>
    <col min="7422" max="7422" width="7.109375" style="19" customWidth="1"/>
    <col min="7423" max="7423" width="39.44140625" style="19" customWidth="1"/>
    <col min="7424" max="7424" width="14" style="19" customWidth="1"/>
    <col min="7425" max="7425" width="16.109375" style="19" customWidth="1"/>
    <col min="7426" max="7677" width="8.88671875" style="19"/>
    <col min="7678" max="7678" width="7.109375" style="19" customWidth="1"/>
    <col min="7679" max="7679" width="39.44140625" style="19" customWidth="1"/>
    <col min="7680" max="7680" width="14" style="19" customWidth="1"/>
    <col min="7681" max="7681" width="16.109375" style="19" customWidth="1"/>
    <col min="7682" max="7933" width="8.88671875" style="19"/>
    <col min="7934" max="7934" width="7.109375" style="19" customWidth="1"/>
    <col min="7935" max="7935" width="39.44140625" style="19" customWidth="1"/>
    <col min="7936" max="7936" width="14" style="19" customWidth="1"/>
    <col min="7937" max="7937" width="16.109375" style="19" customWidth="1"/>
    <col min="7938" max="8189" width="8.88671875" style="19"/>
    <col min="8190" max="8190" width="7.109375" style="19" customWidth="1"/>
    <col min="8191" max="8191" width="39.44140625" style="19" customWidth="1"/>
    <col min="8192" max="8192" width="14" style="19" customWidth="1"/>
    <col min="8193" max="8193" width="16.109375" style="19" customWidth="1"/>
    <col min="8194" max="8445" width="8.88671875" style="19"/>
    <col min="8446" max="8446" width="7.109375" style="19" customWidth="1"/>
    <col min="8447" max="8447" width="39.44140625" style="19" customWidth="1"/>
    <col min="8448" max="8448" width="14" style="19" customWidth="1"/>
    <col min="8449" max="8449" width="16.109375" style="19" customWidth="1"/>
    <col min="8450" max="8701" width="8.88671875" style="19"/>
    <col min="8702" max="8702" width="7.109375" style="19" customWidth="1"/>
    <col min="8703" max="8703" width="39.44140625" style="19" customWidth="1"/>
    <col min="8704" max="8704" width="14" style="19" customWidth="1"/>
    <col min="8705" max="8705" width="16.109375" style="19" customWidth="1"/>
    <col min="8706" max="8957" width="8.88671875" style="19"/>
    <col min="8958" max="8958" width="7.109375" style="19" customWidth="1"/>
    <col min="8959" max="8959" width="39.44140625" style="19" customWidth="1"/>
    <col min="8960" max="8960" width="14" style="19" customWidth="1"/>
    <col min="8961" max="8961" width="16.109375" style="19" customWidth="1"/>
    <col min="8962" max="9213" width="8.88671875" style="19"/>
    <col min="9214" max="9214" width="7.109375" style="19" customWidth="1"/>
    <col min="9215" max="9215" width="39.44140625" style="19" customWidth="1"/>
    <col min="9216" max="9216" width="14" style="19" customWidth="1"/>
    <col min="9217" max="9217" width="16.109375" style="19" customWidth="1"/>
    <col min="9218" max="9469" width="8.88671875" style="19"/>
    <col min="9470" max="9470" width="7.109375" style="19" customWidth="1"/>
    <col min="9471" max="9471" width="39.44140625" style="19" customWidth="1"/>
    <col min="9472" max="9472" width="14" style="19" customWidth="1"/>
    <col min="9473" max="9473" width="16.109375" style="19" customWidth="1"/>
    <col min="9474" max="9725" width="8.88671875" style="19"/>
    <col min="9726" max="9726" width="7.109375" style="19" customWidth="1"/>
    <col min="9727" max="9727" width="39.44140625" style="19" customWidth="1"/>
    <col min="9728" max="9728" width="14" style="19" customWidth="1"/>
    <col min="9729" max="9729" width="16.109375" style="19" customWidth="1"/>
    <col min="9730" max="9981" width="8.88671875" style="19"/>
    <col min="9982" max="9982" width="7.109375" style="19" customWidth="1"/>
    <col min="9983" max="9983" width="39.44140625" style="19" customWidth="1"/>
    <col min="9984" max="9984" width="14" style="19" customWidth="1"/>
    <col min="9985" max="9985" width="16.109375" style="19" customWidth="1"/>
    <col min="9986" max="10237" width="8.88671875" style="19"/>
    <col min="10238" max="10238" width="7.109375" style="19" customWidth="1"/>
    <col min="10239" max="10239" width="39.44140625" style="19" customWidth="1"/>
    <col min="10240" max="10240" width="14" style="19" customWidth="1"/>
    <col min="10241" max="10241" width="16.109375" style="19" customWidth="1"/>
    <col min="10242" max="10493" width="8.88671875" style="19"/>
    <col min="10494" max="10494" width="7.109375" style="19" customWidth="1"/>
    <col min="10495" max="10495" width="39.44140625" style="19" customWidth="1"/>
    <col min="10496" max="10496" width="14" style="19" customWidth="1"/>
    <col min="10497" max="10497" width="16.109375" style="19" customWidth="1"/>
    <col min="10498" max="10749" width="8.88671875" style="19"/>
    <col min="10750" max="10750" width="7.109375" style="19" customWidth="1"/>
    <col min="10751" max="10751" width="39.44140625" style="19" customWidth="1"/>
    <col min="10752" max="10752" width="14" style="19" customWidth="1"/>
    <col min="10753" max="10753" width="16.109375" style="19" customWidth="1"/>
    <col min="10754" max="11005" width="8.88671875" style="19"/>
    <col min="11006" max="11006" width="7.109375" style="19" customWidth="1"/>
    <col min="11007" max="11007" width="39.44140625" style="19" customWidth="1"/>
    <col min="11008" max="11008" width="14" style="19" customWidth="1"/>
    <col min="11009" max="11009" width="16.109375" style="19" customWidth="1"/>
    <col min="11010" max="11261" width="8.88671875" style="19"/>
    <col min="11262" max="11262" width="7.109375" style="19" customWidth="1"/>
    <col min="11263" max="11263" width="39.44140625" style="19" customWidth="1"/>
    <col min="11264" max="11264" width="14" style="19" customWidth="1"/>
    <col min="11265" max="11265" width="16.109375" style="19" customWidth="1"/>
    <col min="11266" max="11517" width="8.88671875" style="19"/>
    <col min="11518" max="11518" width="7.109375" style="19" customWidth="1"/>
    <col min="11519" max="11519" width="39.44140625" style="19" customWidth="1"/>
    <col min="11520" max="11520" width="14" style="19" customWidth="1"/>
    <col min="11521" max="11521" width="16.109375" style="19" customWidth="1"/>
    <col min="11522" max="11773" width="8.88671875" style="19"/>
    <col min="11774" max="11774" width="7.109375" style="19" customWidth="1"/>
    <col min="11775" max="11775" width="39.44140625" style="19" customWidth="1"/>
    <col min="11776" max="11776" width="14" style="19" customWidth="1"/>
    <col min="11777" max="11777" width="16.109375" style="19" customWidth="1"/>
    <col min="11778" max="12029" width="8.88671875" style="19"/>
    <col min="12030" max="12030" width="7.109375" style="19" customWidth="1"/>
    <col min="12031" max="12031" width="39.44140625" style="19" customWidth="1"/>
    <col min="12032" max="12032" width="14" style="19" customWidth="1"/>
    <col min="12033" max="12033" width="16.109375" style="19" customWidth="1"/>
    <col min="12034" max="12285" width="8.88671875" style="19"/>
    <col min="12286" max="12286" width="7.109375" style="19" customWidth="1"/>
    <col min="12287" max="12287" width="39.44140625" style="19" customWidth="1"/>
    <col min="12288" max="12288" width="14" style="19" customWidth="1"/>
    <col min="12289" max="12289" width="16.109375" style="19" customWidth="1"/>
    <col min="12290" max="12541" width="8.88671875" style="19"/>
    <col min="12542" max="12542" width="7.109375" style="19" customWidth="1"/>
    <col min="12543" max="12543" width="39.44140625" style="19" customWidth="1"/>
    <col min="12544" max="12544" width="14" style="19" customWidth="1"/>
    <col min="12545" max="12545" width="16.109375" style="19" customWidth="1"/>
    <col min="12546" max="12797" width="8.88671875" style="19"/>
    <col min="12798" max="12798" width="7.109375" style="19" customWidth="1"/>
    <col min="12799" max="12799" width="39.44140625" style="19" customWidth="1"/>
    <col min="12800" max="12800" width="14" style="19" customWidth="1"/>
    <col min="12801" max="12801" width="16.109375" style="19" customWidth="1"/>
    <col min="12802" max="13053" width="8.88671875" style="19"/>
    <col min="13054" max="13054" width="7.109375" style="19" customWidth="1"/>
    <col min="13055" max="13055" width="39.44140625" style="19" customWidth="1"/>
    <col min="13056" max="13056" width="14" style="19" customWidth="1"/>
    <col min="13057" max="13057" width="16.109375" style="19" customWidth="1"/>
    <col min="13058" max="13309" width="8.88671875" style="19"/>
    <col min="13310" max="13310" width="7.109375" style="19" customWidth="1"/>
    <col min="13311" max="13311" width="39.44140625" style="19" customWidth="1"/>
    <col min="13312" max="13312" width="14" style="19" customWidth="1"/>
    <col min="13313" max="13313" width="16.109375" style="19" customWidth="1"/>
    <col min="13314" max="13565" width="8.88671875" style="19"/>
    <col min="13566" max="13566" width="7.109375" style="19" customWidth="1"/>
    <col min="13567" max="13567" width="39.44140625" style="19" customWidth="1"/>
    <col min="13568" max="13568" width="14" style="19" customWidth="1"/>
    <col min="13569" max="13569" width="16.109375" style="19" customWidth="1"/>
    <col min="13570" max="13821" width="8.88671875" style="19"/>
    <col min="13822" max="13822" width="7.109375" style="19" customWidth="1"/>
    <col min="13823" max="13823" width="39.44140625" style="19" customWidth="1"/>
    <col min="13824" max="13824" width="14" style="19" customWidth="1"/>
    <col min="13825" max="13825" width="16.109375" style="19" customWidth="1"/>
    <col min="13826" max="14077" width="8.88671875" style="19"/>
    <col min="14078" max="14078" width="7.109375" style="19" customWidth="1"/>
    <col min="14079" max="14079" width="39.44140625" style="19" customWidth="1"/>
    <col min="14080" max="14080" width="14" style="19" customWidth="1"/>
    <col min="14081" max="14081" width="16.109375" style="19" customWidth="1"/>
    <col min="14082" max="14333" width="8.88671875" style="19"/>
    <col min="14334" max="14334" width="7.109375" style="19" customWidth="1"/>
    <col min="14335" max="14335" width="39.44140625" style="19" customWidth="1"/>
    <col min="14336" max="14336" width="14" style="19" customWidth="1"/>
    <col min="14337" max="14337" width="16.109375" style="19" customWidth="1"/>
    <col min="14338" max="14589" width="8.88671875" style="19"/>
    <col min="14590" max="14590" width="7.109375" style="19" customWidth="1"/>
    <col min="14591" max="14591" width="39.44140625" style="19" customWidth="1"/>
    <col min="14592" max="14592" width="14" style="19" customWidth="1"/>
    <col min="14593" max="14593" width="16.109375" style="19" customWidth="1"/>
    <col min="14594" max="14845" width="8.88671875" style="19"/>
    <col min="14846" max="14846" width="7.109375" style="19" customWidth="1"/>
    <col min="14847" max="14847" width="39.44140625" style="19" customWidth="1"/>
    <col min="14848" max="14848" width="14" style="19" customWidth="1"/>
    <col min="14849" max="14849" width="16.109375" style="19" customWidth="1"/>
    <col min="14850" max="15101" width="8.88671875" style="19"/>
    <col min="15102" max="15102" width="7.109375" style="19" customWidth="1"/>
    <col min="15103" max="15103" width="39.44140625" style="19" customWidth="1"/>
    <col min="15104" max="15104" width="14" style="19" customWidth="1"/>
    <col min="15105" max="15105" width="16.109375" style="19" customWidth="1"/>
    <col min="15106" max="15357" width="8.88671875" style="19"/>
    <col min="15358" max="15358" width="7.109375" style="19" customWidth="1"/>
    <col min="15359" max="15359" width="39.44140625" style="19" customWidth="1"/>
    <col min="15360" max="15360" width="14" style="19" customWidth="1"/>
    <col min="15361" max="15361" width="16.109375" style="19" customWidth="1"/>
    <col min="15362" max="15613" width="8.88671875" style="19"/>
    <col min="15614" max="15614" width="7.109375" style="19" customWidth="1"/>
    <col min="15615" max="15615" width="39.44140625" style="19" customWidth="1"/>
    <col min="15616" max="15616" width="14" style="19" customWidth="1"/>
    <col min="15617" max="15617" width="16.109375" style="19" customWidth="1"/>
    <col min="15618" max="15869" width="8.88671875" style="19"/>
    <col min="15870" max="15870" width="7.109375" style="19" customWidth="1"/>
    <col min="15871" max="15871" width="39.44140625" style="19" customWidth="1"/>
    <col min="15872" max="15872" width="14" style="19" customWidth="1"/>
    <col min="15873" max="15873" width="16.109375" style="19" customWidth="1"/>
    <col min="15874" max="16125" width="8.88671875" style="19"/>
    <col min="16126" max="16126" width="7.109375" style="19" customWidth="1"/>
    <col min="16127" max="16127" width="39.44140625" style="19" customWidth="1"/>
    <col min="16128" max="16128" width="14" style="19" customWidth="1"/>
    <col min="16129" max="16129" width="16.109375" style="19" customWidth="1"/>
    <col min="16130" max="16384" width="8.88671875" style="19"/>
  </cols>
  <sheetData>
    <row r="1" spans="1:9" ht="12.75" customHeight="1" x14ac:dyDescent="0.3">
      <c r="A1" s="388" t="s">
        <v>342</v>
      </c>
      <c r="B1" s="388"/>
      <c r="C1" s="18"/>
      <c r="D1" s="18"/>
      <c r="E1" s="18"/>
      <c r="F1" s="18"/>
      <c r="G1" s="18"/>
      <c r="H1" s="18"/>
    </row>
    <row r="2" spans="1:9" x14ac:dyDescent="0.3">
      <c r="B2" s="827" t="s">
        <v>172</v>
      </c>
      <c r="C2" s="827"/>
      <c r="D2" s="827"/>
      <c r="E2" s="827"/>
      <c r="F2" s="828"/>
      <c r="G2" s="828"/>
      <c r="H2" s="828"/>
      <c r="I2" s="828"/>
    </row>
    <row r="3" spans="1:9" ht="16.95" customHeight="1" x14ac:dyDescent="0.25">
      <c r="A3" s="829" t="s">
        <v>282</v>
      </c>
      <c r="B3" s="829"/>
      <c r="C3" s="829"/>
      <c r="D3" s="829"/>
      <c r="E3" s="829"/>
      <c r="F3" s="829"/>
      <c r="G3" s="829"/>
      <c r="H3" s="829"/>
      <c r="I3" s="829"/>
    </row>
    <row r="4" spans="1:9" ht="13.2" x14ac:dyDescent="0.25">
      <c r="A4" s="829"/>
      <c r="B4" s="829"/>
      <c r="C4" s="829"/>
      <c r="D4" s="829"/>
      <c r="E4" s="829"/>
      <c r="F4" s="829"/>
      <c r="G4" s="829"/>
      <c r="H4" s="829"/>
      <c r="I4" s="829"/>
    </row>
    <row r="5" spans="1:9" ht="13.2" customHeight="1" thickBot="1" x14ac:dyDescent="0.35"/>
    <row r="6" spans="1:9" ht="27.6" x14ac:dyDescent="0.3">
      <c r="A6" s="80" t="s">
        <v>122</v>
      </c>
      <c r="B6" s="575" t="s">
        <v>140</v>
      </c>
      <c r="C6" s="88" t="s">
        <v>325</v>
      </c>
      <c r="D6" s="88" t="s">
        <v>314</v>
      </c>
      <c r="E6" s="88" t="s">
        <v>315</v>
      </c>
      <c r="F6" s="88" t="s">
        <v>316</v>
      </c>
      <c r="G6" s="88" t="s">
        <v>387</v>
      </c>
      <c r="H6" s="88" t="s">
        <v>388</v>
      </c>
      <c r="I6" s="89" t="s">
        <v>126</v>
      </c>
    </row>
    <row r="7" spans="1:9" x14ac:dyDescent="0.3">
      <c r="A7" s="78"/>
      <c r="B7" s="576" t="s">
        <v>173</v>
      </c>
      <c r="C7" s="21"/>
      <c r="D7" s="21"/>
      <c r="E7" s="21"/>
      <c r="F7" s="21"/>
      <c r="G7" s="21"/>
      <c r="H7" s="21"/>
      <c r="I7" s="81"/>
    </row>
    <row r="8" spans="1:9" x14ac:dyDescent="0.3">
      <c r="A8" s="78"/>
      <c r="B8" s="214" t="s">
        <v>174</v>
      </c>
      <c r="D8" s="22">
        <v>50000000</v>
      </c>
      <c r="I8" s="81">
        <f>SUM(C8:H8)</f>
        <v>50000000</v>
      </c>
    </row>
    <row r="9" spans="1:9" x14ac:dyDescent="0.3">
      <c r="A9" s="78"/>
      <c r="B9" s="214" t="s">
        <v>175</v>
      </c>
      <c r="C9" s="22">
        <v>0</v>
      </c>
      <c r="D9" s="22">
        <v>0</v>
      </c>
      <c r="E9" s="22">
        <v>0</v>
      </c>
      <c r="F9" s="22">
        <v>0</v>
      </c>
      <c r="I9" s="81">
        <f t="shared" ref="I9:I11" si="0">SUM(C9:H9)</f>
        <v>0</v>
      </c>
    </row>
    <row r="10" spans="1:9" x14ac:dyDescent="0.3">
      <c r="A10" s="78"/>
      <c r="B10" s="214" t="s">
        <v>176</v>
      </c>
      <c r="I10" s="81">
        <f t="shared" si="0"/>
        <v>0</v>
      </c>
    </row>
    <row r="11" spans="1:9" x14ac:dyDescent="0.3">
      <c r="A11" s="78"/>
      <c r="B11" s="214" t="s">
        <v>177</v>
      </c>
      <c r="C11" s="22">
        <f>C19-C8-C9-C10</f>
        <v>1112000</v>
      </c>
      <c r="D11" s="22">
        <f>D19-D8-D9-D10</f>
        <v>-47307600</v>
      </c>
      <c r="E11" s="22">
        <f t="shared" ref="E11:F11" si="1">E19-E8-E9-E10</f>
        <v>48918658</v>
      </c>
      <c r="F11" s="22">
        <f t="shared" si="1"/>
        <v>48486859</v>
      </c>
      <c r="I11" s="81">
        <f t="shared" si="0"/>
        <v>51209917</v>
      </c>
    </row>
    <row r="12" spans="1:9" x14ac:dyDescent="0.3">
      <c r="A12" s="82"/>
      <c r="B12" s="577" t="s">
        <v>126</v>
      </c>
      <c r="C12" s="578">
        <f>SUM(C8:C11)</f>
        <v>1112000</v>
      </c>
      <c r="D12" s="578">
        <f>SUM(D8:D11)</f>
        <v>2692400</v>
      </c>
      <c r="E12" s="578">
        <f>SUM(E8:E11)</f>
        <v>48918658</v>
      </c>
      <c r="F12" s="578">
        <f>SUM(F8:F11)</f>
        <v>48486859</v>
      </c>
      <c r="G12" s="578">
        <f t="shared" ref="G12:H12" si="2">SUM(G8:G11)</f>
        <v>0</v>
      </c>
      <c r="H12" s="578">
        <f t="shared" si="2"/>
        <v>0</v>
      </c>
      <c r="I12" s="83">
        <f>SUM(C12:F12)</f>
        <v>101209917</v>
      </c>
    </row>
    <row r="13" spans="1:9" x14ac:dyDescent="0.3">
      <c r="A13" s="78"/>
      <c r="I13" s="81"/>
    </row>
    <row r="14" spans="1:9" x14ac:dyDescent="0.3">
      <c r="A14" s="82"/>
      <c r="B14" s="579" t="s">
        <v>178</v>
      </c>
      <c r="C14" s="580" t="s">
        <v>325</v>
      </c>
      <c r="D14" s="580" t="s">
        <v>314</v>
      </c>
      <c r="E14" s="580" t="s">
        <v>315</v>
      </c>
      <c r="F14" s="580" t="s">
        <v>316</v>
      </c>
      <c r="G14" s="580" t="s">
        <v>387</v>
      </c>
      <c r="H14" s="580" t="s">
        <v>388</v>
      </c>
      <c r="I14" s="90" t="s">
        <v>126</v>
      </c>
    </row>
    <row r="15" spans="1:9" ht="27" x14ac:dyDescent="0.3">
      <c r="A15" s="78"/>
      <c r="B15" s="214" t="s">
        <v>321</v>
      </c>
      <c r="D15" s="22">
        <v>2692400</v>
      </c>
      <c r="E15" s="22">
        <f>18990889+18990889+250000+50800</f>
        <v>38282578</v>
      </c>
      <c r="F15" s="22">
        <f>18990889+18990890+250000</f>
        <v>38231779</v>
      </c>
      <c r="I15" s="81">
        <f>SUM(C15:H15)</f>
        <v>79206757</v>
      </c>
    </row>
    <row r="16" spans="1:9" x14ac:dyDescent="0.3">
      <c r="A16" s="78"/>
      <c r="B16" s="214" t="s">
        <v>3</v>
      </c>
      <c r="I16" s="81">
        <f t="shared" ref="I16:I18" si="3">SUM(C16:H16)</f>
        <v>0</v>
      </c>
    </row>
    <row r="17" spans="1:9" ht="40.200000000000003" x14ac:dyDescent="0.3">
      <c r="A17" s="78"/>
      <c r="B17" s="214" t="s">
        <v>326</v>
      </c>
      <c r="C17" s="22">
        <f>254000+508000+350000</f>
        <v>1112000</v>
      </c>
      <c r="E17" s="22">
        <f>5127540+5127540+381000</f>
        <v>10636080</v>
      </c>
      <c r="F17" s="22">
        <v>10255080</v>
      </c>
      <c r="I17" s="81">
        <f t="shared" si="3"/>
        <v>22003160</v>
      </c>
    </row>
    <row r="18" spans="1:9" x14ac:dyDescent="0.3">
      <c r="A18" s="78"/>
      <c r="B18" s="214" t="s">
        <v>179</v>
      </c>
      <c r="I18" s="81">
        <f t="shared" si="3"/>
        <v>0</v>
      </c>
    </row>
    <row r="19" spans="1:9" ht="14.4" thickBot="1" x14ac:dyDescent="0.35">
      <c r="A19" s="84"/>
      <c r="B19" s="581" t="s">
        <v>126</v>
      </c>
      <c r="C19" s="91">
        <f>SUM(C15:C18)</f>
        <v>1112000</v>
      </c>
      <c r="D19" s="91">
        <f>SUM(D15:D18)</f>
        <v>2692400</v>
      </c>
      <c r="E19" s="91">
        <f>SUM(E15:E18)</f>
        <v>48918658</v>
      </c>
      <c r="F19" s="91">
        <f>SUM(F15:F18)</f>
        <v>48486859</v>
      </c>
      <c r="G19" s="91">
        <f t="shared" ref="G19:H19" si="4">SUM(G15:G18)</f>
        <v>0</v>
      </c>
      <c r="H19" s="91">
        <f t="shared" si="4"/>
        <v>0</v>
      </c>
      <c r="I19" s="94">
        <f>SUM(C19:F19)</f>
        <v>101209917</v>
      </c>
    </row>
    <row r="20" spans="1:9" s="77" customFormat="1" ht="14.4" thickBot="1" x14ac:dyDescent="0.35">
      <c r="A20" s="74"/>
      <c r="B20" s="582"/>
      <c r="C20" s="75"/>
      <c r="D20" s="75"/>
      <c r="E20" s="75"/>
      <c r="F20" s="75"/>
      <c r="G20" s="75"/>
      <c r="H20" s="75"/>
      <c r="I20" s="76"/>
    </row>
    <row r="21" spans="1:9" ht="26.4" x14ac:dyDescent="0.3">
      <c r="A21" s="80" t="s">
        <v>123</v>
      </c>
      <c r="B21" s="583" t="s">
        <v>141</v>
      </c>
      <c r="C21" s="88" t="s">
        <v>325</v>
      </c>
      <c r="D21" s="88" t="s">
        <v>314</v>
      </c>
      <c r="E21" s="88" t="s">
        <v>315</v>
      </c>
      <c r="F21" s="88" t="s">
        <v>316</v>
      </c>
      <c r="G21" s="88" t="s">
        <v>387</v>
      </c>
      <c r="H21" s="88" t="s">
        <v>388</v>
      </c>
      <c r="I21" s="89" t="s">
        <v>126</v>
      </c>
    </row>
    <row r="22" spans="1:9" x14ac:dyDescent="0.3">
      <c r="A22" s="78"/>
      <c r="B22" s="576" t="s">
        <v>173</v>
      </c>
      <c r="C22" s="21"/>
      <c r="D22" s="21"/>
      <c r="E22" s="21"/>
      <c r="F22" s="21"/>
      <c r="G22" s="21"/>
      <c r="H22" s="21"/>
      <c r="I22" s="79"/>
    </row>
    <row r="23" spans="1:9" x14ac:dyDescent="0.3">
      <c r="A23" s="78"/>
      <c r="B23" s="214" t="s">
        <v>174</v>
      </c>
      <c r="D23" s="22">
        <v>84303082</v>
      </c>
      <c r="I23" s="79">
        <f>SUM(C23:H23)</f>
        <v>84303082</v>
      </c>
    </row>
    <row r="24" spans="1:9" x14ac:dyDescent="0.3">
      <c r="A24" s="78"/>
      <c r="B24" s="214" t="s">
        <v>175</v>
      </c>
      <c r="C24" s="22">
        <v>0</v>
      </c>
      <c r="D24" s="22">
        <v>0</v>
      </c>
      <c r="E24" s="22">
        <v>0</v>
      </c>
      <c r="F24" s="22">
        <v>0</v>
      </c>
      <c r="I24" s="79">
        <f t="shared" ref="I24:I27" si="5">SUM(C24:H24)</f>
        <v>0</v>
      </c>
    </row>
    <row r="25" spans="1:9" x14ac:dyDescent="0.3">
      <c r="A25" s="78"/>
      <c r="B25" s="214" t="s">
        <v>320</v>
      </c>
      <c r="I25" s="79">
        <f t="shared" si="5"/>
        <v>0</v>
      </c>
    </row>
    <row r="26" spans="1:9" x14ac:dyDescent="0.3">
      <c r="A26" s="78"/>
      <c r="B26" s="214" t="s">
        <v>177</v>
      </c>
      <c r="C26" s="22">
        <f>+C34-C23-C24-C25</f>
        <v>0</v>
      </c>
      <c r="D26" s="22">
        <f>+D34-D23-D24-D25</f>
        <v>-79832682</v>
      </c>
      <c r="E26" s="22">
        <f>+E34-E23-E24-E25</f>
        <v>82192098</v>
      </c>
      <c r="F26" s="22">
        <f t="shared" ref="F26" si="6">+F34-F23-F24-F25</f>
        <v>27479078</v>
      </c>
      <c r="I26" s="79">
        <f t="shared" si="5"/>
        <v>29838494</v>
      </c>
    </row>
    <row r="27" spans="1:9" x14ac:dyDescent="0.3">
      <c r="A27" s="82"/>
      <c r="B27" s="577" t="s">
        <v>126</v>
      </c>
      <c r="C27" s="578">
        <f>SUM(C23:C26)</f>
        <v>0</v>
      </c>
      <c r="D27" s="578">
        <f>SUM(D23:D26)</f>
        <v>4470400</v>
      </c>
      <c r="E27" s="578">
        <f t="shared" ref="E27:H27" si="7">SUM(E23:E26)</f>
        <v>82192098</v>
      </c>
      <c r="F27" s="578">
        <f t="shared" si="7"/>
        <v>27479078</v>
      </c>
      <c r="G27" s="578">
        <f t="shared" si="7"/>
        <v>0</v>
      </c>
      <c r="H27" s="578">
        <f t="shared" si="7"/>
        <v>0</v>
      </c>
      <c r="I27" s="83">
        <f t="shared" si="5"/>
        <v>114141576</v>
      </c>
    </row>
    <row r="28" spans="1:9" x14ac:dyDescent="0.3">
      <c r="A28" s="78"/>
      <c r="I28" s="79"/>
    </row>
    <row r="29" spans="1:9" x14ac:dyDescent="0.3">
      <c r="A29" s="82"/>
      <c r="B29" s="579" t="s">
        <v>178</v>
      </c>
      <c r="C29" s="580" t="s">
        <v>325</v>
      </c>
      <c r="D29" s="580" t="s">
        <v>314</v>
      </c>
      <c r="E29" s="580" t="s">
        <v>315</v>
      </c>
      <c r="F29" s="580" t="s">
        <v>316</v>
      </c>
      <c r="G29" s="580" t="s">
        <v>387</v>
      </c>
      <c r="H29" s="580" t="s">
        <v>388</v>
      </c>
      <c r="I29" s="90" t="s">
        <v>126</v>
      </c>
    </row>
    <row r="30" spans="1:9" ht="27" x14ac:dyDescent="0.3">
      <c r="A30" s="78"/>
      <c r="B30" s="214" t="s">
        <v>321</v>
      </c>
      <c r="E30" s="22">
        <f>26979076+390000+26979076+26979076</f>
        <v>81327228</v>
      </c>
      <c r="F30" s="22">
        <f>26979078+390000</f>
        <v>27369078</v>
      </c>
      <c r="I30" s="79">
        <f>SUM(C30:H30)</f>
        <v>108696306</v>
      </c>
    </row>
    <row r="31" spans="1:9" x14ac:dyDescent="0.3">
      <c r="A31" s="78"/>
      <c r="B31" s="214" t="s">
        <v>3</v>
      </c>
      <c r="I31" s="79">
        <f t="shared" ref="I31:I33" si="8">SUM(C31:H31)</f>
        <v>0</v>
      </c>
    </row>
    <row r="32" spans="1:9" ht="40.200000000000003" x14ac:dyDescent="0.3">
      <c r="A32" s="78"/>
      <c r="B32" s="214" t="s">
        <v>326</v>
      </c>
      <c r="D32" s="22">
        <f>3810000+660400</f>
        <v>4470400</v>
      </c>
      <c r="E32" s="22">
        <f>432435+432435</f>
        <v>864870</v>
      </c>
      <c r="F32" s="22">
        <v>110000</v>
      </c>
      <c r="I32" s="79">
        <f t="shared" si="8"/>
        <v>5445270</v>
      </c>
    </row>
    <row r="33" spans="1:11" x14ac:dyDescent="0.3">
      <c r="A33" s="78"/>
      <c r="B33" s="214" t="s">
        <v>179</v>
      </c>
      <c r="I33" s="79">
        <f t="shared" si="8"/>
        <v>0</v>
      </c>
    </row>
    <row r="34" spans="1:11" ht="14.4" thickBot="1" x14ac:dyDescent="0.35">
      <c r="A34" s="84"/>
      <c r="B34" s="581" t="s">
        <v>126</v>
      </c>
      <c r="C34" s="91">
        <f>SUM(C30:C33)</f>
        <v>0</v>
      </c>
      <c r="D34" s="91">
        <f>SUM(D30:D33)</f>
        <v>4470400</v>
      </c>
      <c r="E34" s="91">
        <f t="shared" ref="E34:H34" si="9">SUM(E30:E33)</f>
        <v>82192098</v>
      </c>
      <c r="F34" s="91">
        <f t="shared" si="9"/>
        <v>27479078</v>
      </c>
      <c r="G34" s="91">
        <f t="shared" si="9"/>
        <v>0</v>
      </c>
      <c r="H34" s="91">
        <f t="shared" si="9"/>
        <v>0</v>
      </c>
      <c r="I34" s="92">
        <f>SUM(I30:I33)</f>
        <v>114141576</v>
      </c>
    </row>
    <row r="35" spans="1:11" ht="14.4" thickBot="1" x14ac:dyDescent="0.35">
      <c r="B35" s="576"/>
      <c r="C35" s="21"/>
      <c r="D35" s="21"/>
      <c r="E35" s="21"/>
      <c r="F35" s="21"/>
      <c r="G35" s="21"/>
      <c r="H35" s="21"/>
      <c r="I35" s="22"/>
    </row>
    <row r="36" spans="1:11" ht="26.4" x14ac:dyDescent="0.3">
      <c r="A36" s="80" t="s">
        <v>124</v>
      </c>
      <c r="B36" s="583" t="s">
        <v>142</v>
      </c>
      <c r="C36" s="88" t="s">
        <v>325</v>
      </c>
      <c r="D36" s="88" t="s">
        <v>314</v>
      </c>
      <c r="E36" s="88" t="s">
        <v>315</v>
      </c>
      <c r="F36" s="88" t="s">
        <v>316</v>
      </c>
      <c r="G36" s="88" t="s">
        <v>387</v>
      </c>
      <c r="H36" s="88" t="s">
        <v>388</v>
      </c>
      <c r="I36" s="89" t="s">
        <v>126</v>
      </c>
    </row>
    <row r="37" spans="1:11" x14ac:dyDescent="0.3">
      <c r="A37" s="78"/>
      <c r="B37" s="576" t="s">
        <v>173</v>
      </c>
      <c r="C37" s="21"/>
      <c r="D37" s="21"/>
      <c r="E37" s="21"/>
      <c r="F37" s="21"/>
      <c r="G37" s="21"/>
      <c r="H37" s="21"/>
      <c r="I37" s="79"/>
    </row>
    <row r="38" spans="1:11" x14ac:dyDescent="0.3">
      <c r="A38" s="78"/>
      <c r="B38" s="214" t="s">
        <v>174</v>
      </c>
      <c r="C38" s="560"/>
      <c r="D38" s="560">
        <v>120000099</v>
      </c>
      <c r="E38" s="560"/>
      <c r="F38" s="560"/>
      <c r="G38" s="560"/>
      <c r="H38" s="560"/>
      <c r="I38" s="79">
        <f>SUM(C38:H38)</f>
        <v>120000099</v>
      </c>
    </row>
    <row r="39" spans="1:11" x14ac:dyDescent="0.3">
      <c r="A39" s="78"/>
      <c r="B39" s="214" t="s">
        <v>175</v>
      </c>
      <c r="C39" s="22">
        <v>0</v>
      </c>
      <c r="D39" s="22">
        <v>0</v>
      </c>
      <c r="E39" s="22">
        <v>0</v>
      </c>
      <c r="F39" s="22">
        <v>0</v>
      </c>
      <c r="I39" s="79">
        <f t="shared" ref="I39:I41" si="10">SUM(C39:H39)</f>
        <v>0</v>
      </c>
    </row>
    <row r="40" spans="1:11" x14ac:dyDescent="0.3">
      <c r="A40" s="78"/>
      <c r="B40" s="214" t="s">
        <v>176</v>
      </c>
      <c r="I40" s="79">
        <f t="shared" si="10"/>
        <v>0</v>
      </c>
    </row>
    <row r="41" spans="1:11" x14ac:dyDescent="0.3">
      <c r="A41" s="78"/>
      <c r="B41" s="214" t="s">
        <v>177</v>
      </c>
      <c r="C41" s="22">
        <f>+C49-C38-C39-C40</f>
        <v>1714303</v>
      </c>
      <c r="D41" s="22">
        <f>+D49-D38-D39-D40</f>
        <v>-114754821</v>
      </c>
      <c r="E41" s="22">
        <f t="shared" ref="E41:F41" si="11">+E49-E38-E39-E40</f>
        <v>47896840</v>
      </c>
      <c r="F41" s="22">
        <f t="shared" si="11"/>
        <v>103234022</v>
      </c>
      <c r="I41" s="79">
        <f t="shared" si="10"/>
        <v>38090344</v>
      </c>
    </row>
    <row r="42" spans="1:11" x14ac:dyDescent="0.3">
      <c r="A42" s="82"/>
      <c r="B42" s="577" t="s">
        <v>126</v>
      </c>
      <c r="C42" s="584">
        <f>SUM(C38:C41)</f>
        <v>1714303</v>
      </c>
      <c r="D42" s="584">
        <f>SUM(D38:D41)</f>
        <v>5245278</v>
      </c>
      <c r="E42" s="584">
        <f>SUM(E38:E41)</f>
        <v>47896840</v>
      </c>
      <c r="F42" s="584">
        <f>SUM(F38:F41)</f>
        <v>103234022</v>
      </c>
      <c r="G42" s="584">
        <f t="shared" ref="G42:H42" si="12">SUM(G38:G41)</f>
        <v>0</v>
      </c>
      <c r="H42" s="584">
        <f t="shared" si="12"/>
        <v>0</v>
      </c>
      <c r="I42" s="93">
        <f>SUM(I38:I41)</f>
        <v>158090443</v>
      </c>
    </row>
    <row r="43" spans="1:11" x14ac:dyDescent="0.3">
      <c r="A43" s="78"/>
      <c r="I43" s="79"/>
    </row>
    <row r="44" spans="1:11" x14ac:dyDescent="0.3">
      <c r="A44" s="82"/>
      <c r="B44" s="579" t="s">
        <v>178</v>
      </c>
      <c r="C44" s="580" t="s">
        <v>325</v>
      </c>
      <c r="D44" s="580" t="s">
        <v>314</v>
      </c>
      <c r="E44" s="580" t="s">
        <v>315</v>
      </c>
      <c r="F44" s="580" t="s">
        <v>316</v>
      </c>
      <c r="G44" s="580" t="s">
        <v>387</v>
      </c>
      <c r="H44" s="580" t="s">
        <v>388</v>
      </c>
      <c r="I44" s="90" t="s">
        <v>126</v>
      </c>
    </row>
    <row r="45" spans="1:11" ht="27" x14ac:dyDescent="0.3">
      <c r="A45" s="78"/>
      <c r="B45" s="214" t="s">
        <v>323</v>
      </c>
      <c r="C45" s="560"/>
      <c r="D45" s="560">
        <v>3978275</v>
      </c>
      <c r="E45" s="22">
        <f>25899482+300000</f>
        <v>26199482</v>
      </c>
      <c r="F45" s="560">
        <f>15954114+21272152+43235010+400000+500000</f>
        <v>81361276</v>
      </c>
      <c r="G45" s="560"/>
      <c r="H45" s="560"/>
      <c r="I45" s="79">
        <f>SUM(C45:H45)</f>
        <v>111539033</v>
      </c>
      <c r="K45" s="560"/>
    </row>
    <row r="46" spans="1:11" ht="14.4" x14ac:dyDescent="0.3">
      <c r="A46" s="78"/>
      <c r="B46" s="214" t="s">
        <v>324</v>
      </c>
      <c r="E46" s="585">
        <f>1450033+104200+157200+245110+467995+1206770+631190+9680000</f>
        <v>13942498</v>
      </c>
      <c r="F46" s="22">
        <v>148201</v>
      </c>
      <c r="I46" s="79">
        <f t="shared" ref="I46:I48" si="13">SUM(C46:H46)</f>
        <v>14090699</v>
      </c>
    </row>
    <row r="47" spans="1:11" ht="40.200000000000003" x14ac:dyDescent="0.3">
      <c r="A47" s="78"/>
      <c r="B47" s="214" t="s">
        <v>327</v>
      </c>
      <c r="C47" s="22">
        <f>787400+799903+127000</f>
        <v>1714303</v>
      </c>
      <c r="D47" s="22">
        <v>1267003</v>
      </c>
      <c r="E47" s="22">
        <f>6992860+381000+381000</f>
        <v>7754860</v>
      </c>
      <c r="F47" s="22">
        <v>21724545</v>
      </c>
      <c r="I47" s="79">
        <f t="shared" si="13"/>
        <v>32460711</v>
      </c>
    </row>
    <row r="48" spans="1:11" x14ac:dyDescent="0.3">
      <c r="A48" s="78"/>
      <c r="B48" s="214" t="s">
        <v>179</v>
      </c>
      <c r="I48" s="79">
        <f t="shared" si="13"/>
        <v>0</v>
      </c>
    </row>
    <row r="49" spans="1:9" ht="14.4" thickBot="1" x14ac:dyDescent="0.35">
      <c r="A49" s="84"/>
      <c r="B49" s="581" t="s">
        <v>126</v>
      </c>
      <c r="C49" s="91">
        <f>SUM(C45:C48)</f>
        <v>1714303</v>
      </c>
      <c r="D49" s="91">
        <f>SUM(D45:D48)</f>
        <v>5245278</v>
      </c>
      <c r="E49" s="91">
        <f t="shared" ref="E49" si="14">SUM(E45:E48)</f>
        <v>47896840</v>
      </c>
      <c r="F49" s="91">
        <f>SUM(F45:F48)</f>
        <v>103234022</v>
      </c>
      <c r="G49" s="91">
        <f t="shared" ref="G49:H49" si="15">SUM(G45:G48)</f>
        <v>0</v>
      </c>
      <c r="H49" s="91">
        <f t="shared" si="15"/>
        <v>0</v>
      </c>
      <c r="I49" s="92">
        <f>SUM(I45:I48)</f>
        <v>158090443</v>
      </c>
    </row>
    <row r="50" spans="1:9" ht="14.4" thickBot="1" x14ac:dyDescent="0.35">
      <c r="B50" s="586"/>
      <c r="C50" s="60"/>
      <c r="D50" s="60"/>
      <c r="E50" s="60"/>
      <c r="F50" s="60"/>
      <c r="G50" s="60"/>
      <c r="H50" s="60"/>
      <c r="I50" s="61"/>
    </row>
    <row r="51" spans="1:9" ht="39.6" x14ac:dyDescent="0.3">
      <c r="A51" s="80" t="s">
        <v>125</v>
      </c>
      <c r="B51" s="583" t="s">
        <v>318</v>
      </c>
      <c r="C51" s="88" t="s">
        <v>325</v>
      </c>
      <c r="D51" s="88" t="s">
        <v>314</v>
      </c>
      <c r="E51" s="88" t="s">
        <v>315</v>
      </c>
      <c r="F51" s="88" t="s">
        <v>316</v>
      </c>
      <c r="G51" s="88" t="s">
        <v>387</v>
      </c>
      <c r="H51" s="88" t="s">
        <v>388</v>
      </c>
      <c r="I51" s="89" t="s">
        <v>126</v>
      </c>
    </row>
    <row r="52" spans="1:9" x14ac:dyDescent="0.3">
      <c r="A52" s="78"/>
      <c r="B52" s="576" t="s">
        <v>173</v>
      </c>
      <c r="C52" s="21"/>
      <c r="D52" s="21"/>
      <c r="E52" s="21"/>
      <c r="F52" s="21"/>
      <c r="G52" s="21"/>
      <c r="H52" s="21"/>
      <c r="I52" s="79"/>
    </row>
    <row r="53" spans="1:9" x14ac:dyDescent="0.3">
      <c r="A53" s="78"/>
      <c r="B53" s="214" t="s">
        <v>174</v>
      </c>
      <c r="C53" s="560"/>
      <c r="D53" s="560"/>
      <c r="E53" s="560">
        <v>18622501</v>
      </c>
      <c r="F53" s="560"/>
      <c r="G53" s="560"/>
      <c r="H53" s="560"/>
      <c r="I53" s="79">
        <f>SUM(C53:H53)</f>
        <v>18622501</v>
      </c>
    </row>
    <row r="54" spans="1:9" x14ac:dyDescent="0.3">
      <c r="A54" s="78"/>
      <c r="B54" s="214" t="s">
        <v>175</v>
      </c>
      <c r="C54" s="22">
        <v>0</v>
      </c>
      <c r="D54" s="22">
        <v>0</v>
      </c>
      <c r="F54" s="22">
        <v>0</v>
      </c>
      <c r="I54" s="79">
        <f t="shared" ref="I54:I56" si="16">SUM(C54:H54)</f>
        <v>0</v>
      </c>
    </row>
    <row r="55" spans="1:9" x14ac:dyDescent="0.3">
      <c r="A55" s="78"/>
      <c r="B55" s="214" t="s">
        <v>176</v>
      </c>
      <c r="I55" s="79">
        <f t="shared" si="16"/>
        <v>0</v>
      </c>
    </row>
    <row r="56" spans="1:9" x14ac:dyDescent="0.3">
      <c r="A56" s="78"/>
      <c r="B56" s="214" t="s">
        <v>319</v>
      </c>
      <c r="C56" s="22">
        <f>+C64-C53-C54-C55</f>
        <v>0</v>
      </c>
      <c r="D56" s="22">
        <f>+D64-D53-D54-D55</f>
        <v>446999</v>
      </c>
      <c r="E56" s="22">
        <f t="shared" ref="E56" si="17">+E64-E53-E54-E55</f>
        <v>-16880701</v>
      </c>
      <c r="F56" s="22">
        <f>+F64-F53-F54-F55</f>
        <v>63498288</v>
      </c>
      <c r="I56" s="79">
        <f t="shared" si="16"/>
        <v>47064586</v>
      </c>
    </row>
    <row r="57" spans="1:9" x14ac:dyDescent="0.3">
      <c r="A57" s="82"/>
      <c r="B57" s="577" t="s">
        <v>126</v>
      </c>
      <c r="C57" s="578">
        <f>SUM(C53:C56)</f>
        <v>0</v>
      </c>
      <c r="D57" s="578">
        <f>SUM(D53:D56)</f>
        <v>446999</v>
      </c>
      <c r="E57" s="578">
        <f>SUM(E53:E56)</f>
        <v>1741800</v>
      </c>
      <c r="F57" s="578">
        <f>SUM(F53:F56)</f>
        <v>63498288</v>
      </c>
      <c r="G57" s="578">
        <f t="shared" ref="G57:H57" si="18">SUM(G53:G56)</f>
        <v>0</v>
      </c>
      <c r="H57" s="578">
        <f t="shared" si="18"/>
        <v>0</v>
      </c>
      <c r="I57" s="86">
        <f>SUM(I53:I56)</f>
        <v>65687087</v>
      </c>
    </row>
    <row r="58" spans="1:9" x14ac:dyDescent="0.3">
      <c r="A58" s="78"/>
      <c r="I58" s="79"/>
    </row>
    <row r="59" spans="1:9" x14ac:dyDescent="0.3">
      <c r="A59" s="82"/>
      <c r="B59" s="579" t="s">
        <v>178</v>
      </c>
      <c r="C59" s="580" t="s">
        <v>325</v>
      </c>
      <c r="D59" s="580" t="s">
        <v>314</v>
      </c>
      <c r="E59" s="580" t="s">
        <v>315</v>
      </c>
      <c r="F59" s="580" t="s">
        <v>316</v>
      </c>
      <c r="G59" s="580" t="s">
        <v>387</v>
      </c>
      <c r="H59" s="580" t="s">
        <v>388</v>
      </c>
      <c r="I59" s="90" t="s">
        <v>126</v>
      </c>
    </row>
    <row r="60" spans="1:9" x14ac:dyDescent="0.3">
      <c r="A60" s="78"/>
      <c r="B60" s="214" t="s">
        <v>4</v>
      </c>
      <c r="C60" s="560"/>
      <c r="D60" s="560"/>
      <c r="E60" s="560">
        <v>1701800</v>
      </c>
      <c r="F60" s="560">
        <v>63498288</v>
      </c>
      <c r="G60" s="560"/>
      <c r="H60" s="560"/>
      <c r="I60" s="79">
        <f>SUM(C60:H60)</f>
        <v>65200088</v>
      </c>
    </row>
    <row r="61" spans="1:9" x14ac:dyDescent="0.3">
      <c r="A61" s="78"/>
      <c r="B61" s="214" t="s">
        <v>3</v>
      </c>
      <c r="I61" s="79">
        <f t="shared" ref="I61:I63" si="19">SUM(C61:H61)</f>
        <v>0</v>
      </c>
    </row>
    <row r="62" spans="1:9" ht="27" x14ac:dyDescent="0.3">
      <c r="A62" s="78"/>
      <c r="B62" s="214" t="s">
        <v>322</v>
      </c>
      <c r="D62" s="22">
        <v>446999</v>
      </c>
      <c r="E62" s="22">
        <v>40000</v>
      </c>
      <c r="I62" s="79">
        <f t="shared" si="19"/>
        <v>486999</v>
      </c>
    </row>
    <row r="63" spans="1:9" x14ac:dyDescent="0.3">
      <c r="A63" s="78"/>
      <c r="B63" s="214" t="s">
        <v>179</v>
      </c>
      <c r="I63" s="79">
        <f t="shared" si="19"/>
        <v>0</v>
      </c>
    </row>
    <row r="64" spans="1:9" ht="14.4" thickBot="1" x14ac:dyDescent="0.35">
      <c r="A64" s="84"/>
      <c r="B64" s="581" t="s">
        <v>126</v>
      </c>
      <c r="C64" s="85">
        <f>SUM(C60:C63)</f>
        <v>0</v>
      </c>
      <c r="D64" s="85">
        <f>SUM(D60:D63)</f>
        <v>446999</v>
      </c>
      <c r="E64" s="85">
        <f>SUM(E60:E63)</f>
        <v>1741800</v>
      </c>
      <c r="F64" s="85">
        <f>SUM(F60:F63)</f>
        <v>63498288</v>
      </c>
      <c r="G64" s="85">
        <f t="shared" ref="G64:H64" si="20">SUM(G60:G63)</f>
        <v>0</v>
      </c>
      <c r="H64" s="85">
        <f t="shared" si="20"/>
        <v>0</v>
      </c>
      <c r="I64" s="87">
        <f>SUM(I60:I63)</f>
        <v>65687087</v>
      </c>
    </row>
    <row r="65" spans="1:9" ht="14.4" thickBot="1" x14ac:dyDescent="0.35">
      <c r="A65" s="78"/>
      <c r="I65" s="79"/>
    </row>
    <row r="66" spans="1:9" ht="52.8" x14ac:dyDescent="0.3">
      <c r="A66" s="80" t="s">
        <v>143</v>
      </c>
      <c r="B66" s="583" t="s">
        <v>389</v>
      </c>
      <c r="C66" s="88" t="s">
        <v>325</v>
      </c>
      <c r="D66" s="88" t="s">
        <v>314</v>
      </c>
      <c r="E66" s="88" t="s">
        <v>315</v>
      </c>
      <c r="F66" s="88" t="s">
        <v>316</v>
      </c>
      <c r="G66" s="88" t="s">
        <v>387</v>
      </c>
      <c r="H66" s="88" t="s">
        <v>388</v>
      </c>
      <c r="I66" s="89" t="s">
        <v>126</v>
      </c>
    </row>
    <row r="67" spans="1:9" x14ac:dyDescent="0.3">
      <c r="A67" s="78"/>
      <c r="B67" s="576" t="s">
        <v>173</v>
      </c>
      <c r="C67" s="21"/>
      <c r="D67" s="21"/>
      <c r="E67" s="21"/>
      <c r="F67" s="21"/>
      <c r="G67" s="21"/>
      <c r="H67" s="21"/>
      <c r="I67" s="79"/>
    </row>
    <row r="68" spans="1:9" x14ac:dyDescent="0.3">
      <c r="A68" s="78"/>
      <c r="B68" s="214" t="s">
        <v>174</v>
      </c>
      <c r="C68" s="560"/>
      <c r="D68" s="560"/>
      <c r="E68" s="560"/>
      <c r="F68" s="560">
        <f>24799750+5138334</f>
        <v>29938084</v>
      </c>
      <c r="G68" s="560"/>
      <c r="H68" s="560"/>
      <c r="I68" s="79">
        <f>SUM(C68:H68)</f>
        <v>29938084</v>
      </c>
    </row>
    <row r="69" spans="1:9" x14ac:dyDescent="0.3">
      <c r="A69" s="78"/>
      <c r="B69" s="214" t="s">
        <v>175</v>
      </c>
      <c r="C69" s="22">
        <v>0</v>
      </c>
      <c r="D69" s="22">
        <v>0</v>
      </c>
      <c r="F69" s="22">
        <v>0</v>
      </c>
      <c r="I69" s="79">
        <f t="shared" ref="I69:I71" si="21">SUM(C69:H69)</f>
        <v>0</v>
      </c>
    </row>
    <row r="70" spans="1:9" x14ac:dyDescent="0.3">
      <c r="A70" s="78"/>
      <c r="B70" s="214" t="s">
        <v>176</v>
      </c>
      <c r="I70" s="79">
        <f t="shared" si="21"/>
        <v>0</v>
      </c>
    </row>
    <row r="71" spans="1:9" x14ac:dyDescent="0.3">
      <c r="A71" s="78"/>
      <c r="B71" s="214" t="s">
        <v>319</v>
      </c>
      <c r="C71" s="22">
        <f>+C81-C68-C69-C70</f>
        <v>0</v>
      </c>
      <c r="D71" s="22">
        <f>+D81-D68-D69-D70</f>
        <v>0</v>
      </c>
      <c r="E71" s="22">
        <f t="shared" ref="E71" si="22">+E81-E68-E69-E70</f>
        <v>757372</v>
      </c>
      <c r="F71" s="22">
        <f>+F81-F68-F69-F70</f>
        <v>-21234448.333333336</v>
      </c>
      <c r="G71" s="22">
        <f t="shared" ref="G71:H71" si="23">+G81-G68-G69-G70</f>
        <v>9101747.666666666</v>
      </c>
      <c r="H71" s="22">
        <f t="shared" si="23"/>
        <v>11375328.666666666</v>
      </c>
      <c r="I71" s="79">
        <f t="shared" si="21"/>
        <v>0</v>
      </c>
    </row>
    <row r="72" spans="1:9" x14ac:dyDescent="0.3">
      <c r="A72" s="82"/>
      <c r="B72" s="577" t="s">
        <v>126</v>
      </c>
      <c r="C72" s="578">
        <f>SUM(C68:C71)</f>
        <v>0</v>
      </c>
      <c r="D72" s="578">
        <f>SUM(D68:D71)</f>
        <v>0</v>
      </c>
      <c r="E72" s="578">
        <f>SUM(E68:E71)</f>
        <v>757372</v>
      </c>
      <c r="F72" s="578">
        <f t="shared" ref="F72:I72" si="24">SUM(F68:F71)</f>
        <v>8703635.6666666642</v>
      </c>
      <c r="G72" s="578">
        <f>SUM(G68:G71)</f>
        <v>9101747.666666666</v>
      </c>
      <c r="H72" s="578">
        <f>SUM(H68:H71)</f>
        <v>11375328.666666666</v>
      </c>
      <c r="I72" s="86">
        <f t="shared" si="24"/>
        <v>29938084</v>
      </c>
    </row>
    <row r="73" spans="1:9" x14ac:dyDescent="0.3">
      <c r="A73" s="78"/>
      <c r="I73" s="79"/>
    </row>
    <row r="74" spans="1:9" x14ac:dyDescent="0.3">
      <c r="A74" s="82"/>
      <c r="B74" s="579" t="s">
        <v>178</v>
      </c>
      <c r="C74" s="580" t="s">
        <v>325</v>
      </c>
      <c r="D74" s="580" t="s">
        <v>314</v>
      </c>
      <c r="E74" s="580" t="s">
        <v>315</v>
      </c>
      <c r="F74" s="580" t="s">
        <v>316</v>
      </c>
      <c r="G74" s="580" t="s">
        <v>387</v>
      </c>
      <c r="H74" s="580" t="s">
        <v>388</v>
      </c>
      <c r="I74" s="90" t="s">
        <v>126</v>
      </c>
    </row>
    <row r="75" spans="1:9" x14ac:dyDescent="0.3">
      <c r="A75" s="78"/>
      <c r="B75" s="214" t="s">
        <v>4</v>
      </c>
      <c r="C75" s="560"/>
      <c r="D75" s="560"/>
      <c r="E75" s="560"/>
      <c r="F75" s="560"/>
      <c r="G75" s="560"/>
      <c r="H75" s="560"/>
      <c r="I75" s="79">
        <f t="shared" ref="I75:I78" si="25">SUM(C75:H75)</f>
        <v>0</v>
      </c>
    </row>
    <row r="76" spans="1:9" x14ac:dyDescent="0.3">
      <c r="A76" s="78"/>
      <c r="B76" s="214" t="s">
        <v>3</v>
      </c>
      <c r="I76" s="79">
        <f t="shared" si="25"/>
        <v>0</v>
      </c>
    </row>
    <row r="77" spans="1:9" x14ac:dyDescent="0.3">
      <c r="A77" s="78"/>
      <c r="B77" s="214" t="s">
        <v>390</v>
      </c>
      <c r="E77" s="22">
        <v>634800</v>
      </c>
      <c r="F77" s="22">
        <f>206600*12+980000/3+ROUND(500000/3,0)</f>
        <v>2972533.6666666665</v>
      </c>
      <c r="G77" s="22">
        <f>206600*12+980000/3+ROUND(500000/3,0)</f>
        <v>2972533.6666666665</v>
      </c>
      <c r="H77" s="22">
        <f>206600*9+980000/3+ROUND(500000/3,0)</f>
        <v>2352733.6666666665</v>
      </c>
      <c r="I77" s="79">
        <f t="shared" si="25"/>
        <v>8932601</v>
      </c>
    </row>
    <row r="78" spans="1:9" x14ac:dyDescent="0.3">
      <c r="A78" s="78"/>
      <c r="B78" s="214" t="s">
        <v>391</v>
      </c>
      <c r="E78" s="22">
        <v>122572</v>
      </c>
      <c r="F78" s="22">
        <f>206600*7*0.195+206600*0.175*5+ROUND((980000/3*0.9*0.175)+(500000/3*0.9*0.175),0)</f>
        <v>540484</v>
      </c>
      <c r="G78" s="22">
        <f>206600*12*0.175+ROUND((980000/3*0.9*0.175)+(500000/3*0.9*0.175),0)</f>
        <v>511560</v>
      </c>
      <c r="H78" s="22">
        <f>206600*9*0.175+ROUND((980000/3*0.9*0.175)+(500000/3*0.9*0.175),0)</f>
        <v>403095</v>
      </c>
      <c r="I78" s="79">
        <f t="shared" si="25"/>
        <v>1577711</v>
      </c>
    </row>
    <row r="79" spans="1:9" ht="27" x14ac:dyDescent="0.3">
      <c r="A79" s="78"/>
      <c r="B79" s="214" t="s">
        <v>322</v>
      </c>
      <c r="F79" s="22">
        <f>3390900+500000+1270000+29718</f>
        <v>5190618</v>
      </c>
      <c r="G79" s="22">
        <f>3390900+500000+1308100+325400+93254</f>
        <v>5617654</v>
      </c>
      <c r="H79" s="22">
        <f>3390900+500000+1308100+3420500</f>
        <v>8619500</v>
      </c>
      <c r="I79" s="79">
        <f>SUM(C79:H79)</f>
        <v>19427772</v>
      </c>
    </row>
    <row r="80" spans="1:9" x14ac:dyDescent="0.3">
      <c r="A80" s="78"/>
      <c r="B80" s="214" t="s">
        <v>179</v>
      </c>
      <c r="I80" s="79">
        <f t="shared" ref="I80" si="26">SUM(C80:F80)</f>
        <v>0</v>
      </c>
    </row>
    <row r="81" spans="1:9" ht="14.4" thickBot="1" x14ac:dyDescent="0.35">
      <c r="A81" s="84"/>
      <c r="B81" s="581" t="s">
        <v>126</v>
      </c>
      <c r="C81" s="85">
        <f>SUM(C75:C80)</f>
        <v>0</v>
      </c>
      <c r="D81" s="85">
        <f>SUM(D75:D80)</f>
        <v>0</v>
      </c>
      <c r="E81" s="85">
        <f>SUM(E75:E80)</f>
        <v>757372</v>
      </c>
      <c r="F81" s="85">
        <f t="shared" ref="F81:H81" si="27">SUM(F75:F80)</f>
        <v>8703635.666666666</v>
      </c>
      <c r="G81" s="85">
        <f t="shared" si="27"/>
        <v>9101747.666666666</v>
      </c>
      <c r="H81" s="85">
        <f t="shared" si="27"/>
        <v>11375328.666666666</v>
      </c>
      <c r="I81" s="87">
        <f>SUM(I75:I80)</f>
        <v>29938084</v>
      </c>
    </row>
    <row r="82" spans="1:9" x14ac:dyDescent="0.3">
      <c r="A82" s="74"/>
      <c r="B82" s="582"/>
      <c r="C82" s="75"/>
      <c r="D82" s="75"/>
      <c r="E82" s="75"/>
      <c r="F82" s="75"/>
      <c r="G82" s="75"/>
      <c r="H82" s="75"/>
      <c r="I82" s="76"/>
    </row>
  </sheetData>
  <mergeCells count="2">
    <mergeCell ref="B2:I2"/>
    <mergeCell ref="A3:I4"/>
  </mergeCells>
  <pageMargins left="0.78740157480314965" right="0.78740157480314965" top="0.9055118110236221" bottom="0.78740157480314965" header="0.51181102362204722" footer="0.51181102362204722"/>
  <pageSetup paperSize="9" scale="89" orientation="landscape" horizontalDpi="300" verticalDpi="300" r:id="rId1"/>
  <headerFooter alignWithMargins="0"/>
  <rowBreaks count="2" manualBreakCount="2">
    <brk id="20" max="16383" man="1"/>
    <brk id="4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BD7C-EE30-4AD6-A890-A5279B75503A}">
  <sheetPr>
    <tabColor rgb="FF00B050"/>
  </sheetPr>
  <dimension ref="A1:Q138"/>
  <sheetViews>
    <sheetView view="pageBreakPreview" topLeftCell="A7" zoomScaleNormal="100" zoomScaleSheetLayoutView="100" workbookViewId="0"/>
  </sheetViews>
  <sheetFormatPr defaultRowHeight="13.2" x14ac:dyDescent="0.25"/>
  <cols>
    <col min="1" max="1" width="4.33203125" style="591" customWidth="1"/>
    <col min="2" max="2" width="20.44140625" style="642" customWidth="1"/>
    <col min="3" max="3" width="10.109375" style="591" customWidth="1"/>
    <col min="4" max="4" width="10.88671875" style="591" bestFit="1" customWidth="1"/>
    <col min="5" max="5" width="11.33203125" style="591" customWidth="1"/>
    <col min="6" max="6" width="9.88671875" style="591" bestFit="1" customWidth="1"/>
    <col min="7" max="8" width="10.88671875" style="591" bestFit="1" customWidth="1"/>
    <col min="9" max="9" width="9.88671875" style="591" bestFit="1" customWidth="1"/>
    <col min="10" max="10" width="11.44140625" style="591" customWidth="1"/>
    <col min="11" max="11" width="10.88671875" style="591" bestFit="1" customWidth="1"/>
    <col min="12" max="12" width="9.88671875" style="591" bestFit="1" customWidth="1"/>
    <col min="13" max="13" width="11.33203125" style="591" customWidth="1"/>
    <col min="14" max="14" width="10.88671875" style="591" bestFit="1" customWidth="1"/>
    <col min="15" max="15" width="12.33203125" style="591" bestFit="1" customWidth="1"/>
    <col min="16" max="16" width="13.33203125" style="591" bestFit="1" customWidth="1"/>
    <col min="17" max="17" width="12.33203125" style="591" customWidth="1"/>
    <col min="18" max="257" width="8.88671875" style="591"/>
    <col min="258" max="258" width="27.88671875" style="591" customWidth="1"/>
    <col min="259" max="259" width="7.5546875" style="591" customWidth="1"/>
    <col min="260" max="260" width="7.88671875" style="591" customWidth="1"/>
    <col min="261" max="261" width="8.33203125" style="591" customWidth="1"/>
    <col min="262" max="263" width="7.44140625" style="591" customWidth="1"/>
    <col min="264" max="264" width="7.88671875" style="591" customWidth="1"/>
    <col min="265" max="265" width="7.33203125" style="591" customWidth="1"/>
    <col min="266" max="266" width="9.44140625" style="591" customWidth="1"/>
    <col min="267" max="267" width="10.5546875" style="591" customWidth="1"/>
    <col min="268" max="268" width="8.5546875" style="591" customWidth="1"/>
    <col min="269" max="269" width="9.6640625" style="591" customWidth="1"/>
    <col min="270" max="271" width="9" style="591" customWidth="1"/>
    <col min="272" max="272" width="10.88671875" style="591" bestFit="1" customWidth="1"/>
    <col min="273" max="513" width="8.88671875" style="591"/>
    <col min="514" max="514" width="27.88671875" style="591" customWidth="1"/>
    <col min="515" max="515" width="7.5546875" style="591" customWidth="1"/>
    <col min="516" max="516" width="7.88671875" style="591" customWidth="1"/>
    <col min="517" max="517" width="8.33203125" style="591" customWidth="1"/>
    <col min="518" max="519" width="7.44140625" style="591" customWidth="1"/>
    <col min="520" max="520" width="7.88671875" style="591" customWidth="1"/>
    <col min="521" max="521" width="7.33203125" style="591" customWidth="1"/>
    <col min="522" max="522" width="9.44140625" style="591" customWidth="1"/>
    <col min="523" max="523" width="10.5546875" style="591" customWidth="1"/>
    <col min="524" max="524" width="8.5546875" style="591" customWidth="1"/>
    <col min="525" max="525" width="9.6640625" style="591" customWidth="1"/>
    <col min="526" max="527" width="9" style="591" customWidth="1"/>
    <col min="528" max="528" width="10.88671875" style="591" bestFit="1" customWidth="1"/>
    <col min="529" max="769" width="8.88671875" style="591"/>
    <col min="770" max="770" width="27.88671875" style="591" customWidth="1"/>
    <col min="771" max="771" width="7.5546875" style="591" customWidth="1"/>
    <col min="772" max="772" width="7.88671875" style="591" customWidth="1"/>
    <col min="773" max="773" width="8.33203125" style="591" customWidth="1"/>
    <col min="774" max="775" width="7.44140625" style="591" customWidth="1"/>
    <col min="776" max="776" width="7.88671875" style="591" customWidth="1"/>
    <col min="777" max="777" width="7.33203125" style="591" customWidth="1"/>
    <col min="778" max="778" width="9.44140625" style="591" customWidth="1"/>
    <col min="779" max="779" width="10.5546875" style="591" customWidth="1"/>
    <col min="780" max="780" width="8.5546875" style="591" customWidth="1"/>
    <col min="781" max="781" width="9.6640625" style="591" customWidth="1"/>
    <col min="782" max="783" width="9" style="591" customWidth="1"/>
    <col min="784" max="784" width="10.88671875" style="591" bestFit="1" customWidth="1"/>
    <col min="785" max="1025" width="8.88671875" style="591"/>
    <col min="1026" max="1026" width="27.88671875" style="591" customWidth="1"/>
    <col min="1027" max="1027" width="7.5546875" style="591" customWidth="1"/>
    <col min="1028" max="1028" width="7.88671875" style="591" customWidth="1"/>
    <col min="1029" max="1029" width="8.33203125" style="591" customWidth="1"/>
    <col min="1030" max="1031" width="7.44140625" style="591" customWidth="1"/>
    <col min="1032" max="1032" width="7.88671875" style="591" customWidth="1"/>
    <col min="1033" max="1033" width="7.33203125" style="591" customWidth="1"/>
    <col min="1034" max="1034" width="9.44140625" style="591" customWidth="1"/>
    <col min="1035" max="1035" width="10.5546875" style="591" customWidth="1"/>
    <col min="1036" max="1036" width="8.5546875" style="591" customWidth="1"/>
    <col min="1037" max="1037" width="9.6640625" style="591" customWidth="1"/>
    <col min="1038" max="1039" width="9" style="591" customWidth="1"/>
    <col min="1040" max="1040" width="10.88671875" style="591" bestFit="1" customWidth="1"/>
    <col min="1041" max="1281" width="8.88671875" style="591"/>
    <col min="1282" max="1282" width="27.88671875" style="591" customWidth="1"/>
    <col min="1283" max="1283" width="7.5546875" style="591" customWidth="1"/>
    <col min="1284" max="1284" width="7.88671875" style="591" customWidth="1"/>
    <col min="1285" max="1285" width="8.33203125" style="591" customWidth="1"/>
    <col min="1286" max="1287" width="7.44140625" style="591" customWidth="1"/>
    <col min="1288" max="1288" width="7.88671875" style="591" customWidth="1"/>
    <col min="1289" max="1289" width="7.33203125" style="591" customWidth="1"/>
    <col min="1290" max="1290" width="9.44140625" style="591" customWidth="1"/>
    <col min="1291" max="1291" width="10.5546875" style="591" customWidth="1"/>
    <col min="1292" max="1292" width="8.5546875" style="591" customWidth="1"/>
    <col min="1293" max="1293" width="9.6640625" style="591" customWidth="1"/>
    <col min="1294" max="1295" width="9" style="591" customWidth="1"/>
    <col min="1296" max="1296" width="10.88671875" style="591" bestFit="1" customWidth="1"/>
    <col min="1297" max="1537" width="8.88671875" style="591"/>
    <col min="1538" max="1538" width="27.88671875" style="591" customWidth="1"/>
    <col min="1539" max="1539" width="7.5546875" style="591" customWidth="1"/>
    <col min="1540" max="1540" width="7.88671875" style="591" customWidth="1"/>
    <col min="1541" max="1541" width="8.33203125" style="591" customWidth="1"/>
    <col min="1542" max="1543" width="7.44140625" style="591" customWidth="1"/>
    <col min="1544" max="1544" width="7.88671875" style="591" customWidth="1"/>
    <col min="1545" max="1545" width="7.33203125" style="591" customWidth="1"/>
    <col min="1546" max="1546" width="9.44140625" style="591" customWidth="1"/>
    <col min="1547" max="1547" width="10.5546875" style="591" customWidth="1"/>
    <col min="1548" max="1548" width="8.5546875" style="591" customWidth="1"/>
    <col min="1549" max="1549" width="9.6640625" style="591" customWidth="1"/>
    <col min="1550" max="1551" width="9" style="591" customWidth="1"/>
    <col min="1552" max="1552" width="10.88671875" style="591" bestFit="1" customWidth="1"/>
    <col min="1553" max="1793" width="8.88671875" style="591"/>
    <col min="1794" max="1794" width="27.88671875" style="591" customWidth="1"/>
    <col min="1795" max="1795" width="7.5546875" style="591" customWidth="1"/>
    <col min="1796" max="1796" width="7.88671875" style="591" customWidth="1"/>
    <col min="1797" max="1797" width="8.33203125" style="591" customWidth="1"/>
    <col min="1798" max="1799" width="7.44140625" style="591" customWidth="1"/>
    <col min="1800" max="1800" width="7.88671875" style="591" customWidth="1"/>
    <col min="1801" max="1801" width="7.33203125" style="591" customWidth="1"/>
    <col min="1802" max="1802" width="9.44140625" style="591" customWidth="1"/>
    <col min="1803" max="1803" width="10.5546875" style="591" customWidth="1"/>
    <col min="1804" max="1804" width="8.5546875" style="591" customWidth="1"/>
    <col min="1805" max="1805" width="9.6640625" style="591" customWidth="1"/>
    <col min="1806" max="1807" width="9" style="591" customWidth="1"/>
    <col min="1808" max="1808" width="10.88671875" style="591" bestFit="1" customWidth="1"/>
    <col min="1809" max="2049" width="8.88671875" style="591"/>
    <col min="2050" max="2050" width="27.88671875" style="591" customWidth="1"/>
    <col min="2051" max="2051" width="7.5546875" style="591" customWidth="1"/>
    <col min="2052" max="2052" width="7.88671875" style="591" customWidth="1"/>
    <col min="2053" max="2053" width="8.33203125" style="591" customWidth="1"/>
    <col min="2054" max="2055" width="7.44140625" style="591" customWidth="1"/>
    <col min="2056" max="2056" width="7.88671875" style="591" customWidth="1"/>
    <col min="2057" max="2057" width="7.33203125" style="591" customWidth="1"/>
    <col min="2058" max="2058" width="9.44140625" style="591" customWidth="1"/>
    <col min="2059" max="2059" width="10.5546875" style="591" customWidth="1"/>
    <col min="2060" max="2060" width="8.5546875" style="591" customWidth="1"/>
    <col min="2061" max="2061" width="9.6640625" style="591" customWidth="1"/>
    <col min="2062" max="2063" width="9" style="591" customWidth="1"/>
    <col min="2064" max="2064" width="10.88671875" style="591" bestFit="1" customWidth="1"/>
    <col min="2065" max="2305" width="8.88671875" style="591"/>
    <col min="2306" max="2306" width="27.88671875" style="591" customWidth="1"/>
    <col min="2307" max="2307" width="7.5546875" style="591" customWidth="1"/>
    <col min="2308" max="2308" width="7.88671875" style="591" customWidth="1"/>
    <col min="2309" max="2309" width="8.33203125" style="591" customWidth="1"/>
    <col min="2310" max="2311" width="7.44140625" style="591" customWidth="1"/>
    <col min="2312" max="2312" width="7.88671875" style="591" customWidth="1"/>
    <col min="2313" max="2313" width="7.33203125" style="591" customWidth="1"/>
    <col min="2314" max="2314" width="9.44140625" style="591" customWidth="1"/>
    <col min="2315" max="2315" width="10.5546875" style="591" customWidth="1"/>
    <col min="2316" max="2316" width="8.5546875" style="591" customWidth="1"/>
    <col min="2317" max="2317" width="9.6640625" style="591" customWidth="1"/>
    <col min="2318" max="2319" width="9" style="591" customWidth="1"/>
    <col min="2320" max="2320" width="10.88671875" style="591" bestFit="1" customWidth="1"/>
    <col min="2321" max="2561" width="8.88671875" style="591"/>
    <col min="2562" max="2562" width="27.88671875" style="591" customWidth="1"/>
    <col min="2563" max="2563" width="7.5546875" style="591" customWidth="1"/>
    <col min="2564" max="2564" width="7.88671875" style="591" customWidth="1"/>
    <col min="2565" max="2565" width="8.33203125" style="591" customWidth="1"/>
    <col min="2566" max="2567" width="7.44140625" style="591" customWidth="1"/>
    <col min="2568" max="2568" width="7.88671875" style="591" customWidth="1"/>
    <col min="2569" max="2569" width="7.33203125" style="591" customWidth="1"/>
    <col min="2570" max="2570" width="9.44140625" style="591" customWidth="1"/>
    <col min="2571" max="2571" width="10.5546875" style="591" customWidth="1"/>
    <col min="2572" max="2572" width="8.5546875" style="591" customWidth="1"/>
    <col min="2573" max="2573" width="9.6640625" style="591" customWidth="1"/>
    <col min="2574" max="2575" width="9" style="591" customWidth="1"/>
    <col min="2576" max="2576" width="10.88671875" style="591" bestFit="1" customWidth="1"/>
    <col min="2577" max="2817" width="8.88671875" style="591"/>
    <col min="2818" max="2818" width="27.88671875" style="591" customWidth="1"/>
    <col min="2819" max="2819" width="7.5546875" style="591" customWidth="1"/>
    <col min="2820" max="2820" width="7.88671875" style="591" customWidth="1"/>
    <col min="2821" max="2821" width="8.33203125" style="591" customWidth="1"/>
    <col min="2822" max="2823" width="7.44140625" style="591" customWidth="1"/>
    <col min="2824" max="2824" width="7.88671875" style="591" customWidth="1"/>
    <col min="2825" max="2825" width="7.33203125" style="591" customWidth="1"/>
    <col min="2826" max="2826" width="9.44140625" style="591" customWidth="1"/>
    <col min="2827" max="2827" width="10.5546875" style="591" customWidth="1"/>
    <col min="2828" max="2828" width="8.5546875" style="591" customWidth="1"/>
    <col min="2829" max="2829" width="9.6640625" style="591" customWidth="1"/>
    <col min="2830" max="2831" width="9" style="591" customWidth="1"/>
    <col min="2832" max="2832" width="10.88671875" style="591" bestFit="1" customWidth="1"/>
    <col min="2833" max="3073" width="8.88671875" style="591"/>
    <col min="3074" max="3074" width="27.88671875" style="591" customWidth="1"/>
    <col min="3075" max="3075" width="7.5546875" style="591" customWidth="1"/>
    <col min="3076" max="3076" width="7.88671875" style="591" customWidth="1"/>
    <col min="3077" max="3077" width="8.33203125" style="591" customWidth="1"/>
    <col min="3078" max="3079" width="7.44140625" style="591" customWidth="1"/>
    <col min="3080" max="3080" width="7.88671875" style="591" customWidth="1"/>
    <col min="3081" max="3081" width="7.33203125" style="591" customWidth="1"/>
    <col min="3082" max="3082" width="9.44140625" style="591" customWidth="1"/>
    <col min="3083" max="3083" width="10.5546875" style="591" customWidth="1"/>
    <col min="3084" max="3084" width="8.5546875" style="591" customWidth="1"/>
    <col min="3085" max="3085" width="9.6640625" style="591" customWidth="1"/>
    <col min="3086" max="3087" width="9" style="591" customWidth="1"/>
    <col min="3088" max="3088" width="10.88671875" style="591" bestFit="1" customWidth="1"/>
    <col min="3089" max="3329" width="8.88671875" style="591"/>
    <col min="3330" max="3330" width="27.88671875" style="591" customWidth="1"/>
    <col min="3331" max="3331" width="7.5546875" style="591" customWidth="1"/>
    <col min="3332" max="3332" width="7.88671875" style="591" customWidth="1"/>
    <col min="3333" max="3333" width="8.33203125" style="591" customWidth="1"/>
    <col min="3334" max="3335" width="7.44140625" style="591" customWidth="1"/>
    <col min="3336" max="3336" width="7.88671875" style="591" customWidth="1"/>
    <col min="3337" max="3337" width="7.33203125" style="591" customWidth="1"/>
    <col min="3338" max="3338" width="9.44140625" style="591" customWidth="1"/>
    <col min="3339" max="3339" width="10.5546875" style="591" customWidth="1"/>
    <col min="3340" max="3340" width="8.5546875" style="591" customWidth="1"/>
    <col min="3341" max="3341" width="9.6640625" style="591" customWidth="1"/>
    <col min="3342" max="3343" width="9" style="591" customWidth="1"/>
    <col min="3344" max="3344" width="10.88671875" style="591" bestFit="1" customWidth="1"/>
    <col min="3345" max="3585" width="8.88671875" style="591"/>
    <col min="3586" max="3586" width="27.88671875" style="591" customWidth="1"/>
    <col min="3587" max="3587" width="7.5546875" style="591" customWidth="1"/>
    <col min="3588" max="3588" width="7.88671875" style="591" customWidth="1"/>
    <col min="3589" max="3589" width="8.33203125" style="591" customWidth="1"/>
    <col min="3590" max="3591" width="7.44140625" style="591" customWidth="1"/>
    <col min="3592" max="3592" width="7.88671875" style="591" customWidth="1"/>
    <col min="3593" max="3593" width="7.33203125" style="591" customWidth="1"/>
    <col min="3594" max="3594" width="9.44140625" style="591" customWidth="1"/>
    <col min="3595" max="3595" width="10.5546875" style="591" customWidth="1"/>
    <col min="3596" max="3596" width="8.5546875" style="591" customWidth="1"/>
    <col min="3597" max="3597" width="9.6640625" style="591" customWidth="1"/>
    <col min="3598" max="3599" width="9" style="591" customWidth="1"/>
    <col min="3600" max="3600" width="10.88671875" style="591" bestFit="1" customWidth="1"/>
    <col min="3601" max="3841" width="8.88671875" style="591"/>
    <col min="3842" max="3842" width="27.88671875" style="591" customWidth="1"/>
    <col min="3843" max="3843" width="7.5546875" style="591" customWidth="1"/>
    <col min="3844" max="3844" width="7.88671875" style="591" customWidth="1"/>
    <col min="3845" max="3845" width="8.33203125" style="591" customWidth="1"/>
    <col min="3846" max="3847" width="7.44140625" style="591" customWidth="1"/>
    <col min="3848" max="3848" width="7.88671875" style="591" customWidth="1"/>
    <col min="3849" max="3849" width="7.33203125" style="591" customWidth="1"/>
    <col min="3850" max="3850" width="9.44140625" style="591" customWidth="1"/>
    <col min="3851" max="3851" width="10.5546875" style="591" customWidth="1"/>
    <col min="3852" max="3852" width="8.5546875" style="591" customWidth="1"/>
    <col min="3853" max="3853" width="9.6640625" style="591" customWidth="1"/>
    <col min="3854" max="3855" width="9" style="591" customWidth="1"/>
    <col min="3856" max="3856" width="10.88671875" style="591" bestFit="1" customWidth="1"/>
    <col min="3857" max="4097" width="8.88671875" style="591"/>
    <col min="4098" max="4098" width="27.88671875" style="591" customWidth="1"/>
    <col min="4099" max="4099" width="7.5546875" style="591" customWidth="1"/>
    <col min="4100" max="4100" width="7.88671875" style="591" customWidth="1"/>
    <col min="4101" max="4101" width="8.33203125" style="591" customWidth="1"/>
    <col min="4102" max="4103" width="7.44140625" style="591" customWidth="1"/>
    <col min="4104" max="4104" width="7.88671875" style="591" customWidth="1"/>
    <col min="4105" max="4105" width="7.33203125" style="591" customWidth="1"/>
    <col min="4106" max="4106" width="9.44140625" style="591" customWidth="1"/>
    <col min="4107" max="4107" width="10.5546875" style="591" customWidth="1"/>
    <col min="4108" max="4108" width="8.5546875" style="591" customWidth="1"/>
    <col min="4109" max="4109" width="9.6640625" style="591" customWidth="1"/>
    <col min="4110" max="4111" width="9" style="591" customWidth="1"/>
    <col min="4112" max="4112" width="10.88671875" style="591" bestFit="1" customWidth="1"/>
    <col min="4113" max="4353" width="8.88671875" style="591"/>
    <col min="4354" max="4354" width="27.88671875" style="591" customWidth="1"/>
    <col min="4355" max="4355" width="7.5546875" style="591" customWidth="1"/>
    <col min="4356" max="4356" width="7.88671875" style="591" customWidth="1"/>
    <col min="4357" max="4357" width="8.33203125" style="591" customWidth="1"/>
    <col min="4358" max="4359" width="7.44140625" style="591" customWidth="1"/>
    <col min="4360" max="4360" width="7.88671875" style="591" customWidth="1"/>
    <col min="4361" max="4361" width="7.33203125" style="591" customWidth="1"/>
    <col min="4362" max="4362" width="9.44140625" style="591" customWidth="1"/>
    <col min="4363" max="4363" width="10.5546875" style="591" customWidth="1"/>
    <col min="4364" max="4364" width="8.5546875" style="591" customWidth="1"/>
    <col min="4365" max="4365" width="9.6640625" style="591" customWidth="1"/>
    <col min="4366" max="4367" width="9" style="591" customWidth="1"/>
    <col min="4368" max="4368" width="10.88671875" style="591" bestFit="1" customWidth="1"/>
    <col min="4369" max="4609" width="8.88671875" style="591"/>
    <col min="4610" max="4610" width="27.88671875" style="591" customWidth="1"/>
    <col min="4611" max="4611" width="7.5546875" style="591" customWidth="1"/>
    <col min="4612" max="4612" width="7.88671875" style="591" customWidth="1"/>
    <col min="4613" max="4613" width="8.33203125" style="591" customWidth="1"/>
    <col min="4614" max="4615" width="7.44140625" style="591" customWidth="1"/>
    <col min="4616" max="4616" width="7.88671875" style="591" customWidth="1"/>
    <col min="4617" max="4617" width="7.33203125" style="591" customWidth="1"/>
    <col min="4618" max="4618" width="9.44140625" style="591" customWidth="1"/>
    <col min="4619" max="4619" width="10.5546875" style="591" customWidth="1"/>
    <col min="4620" max="4620" width="8.5546875" style="591" customWidth="1"/>
    <col min="4621" max="4621" width="9.6640625" style="591" customWidth="1"/>
    <col min="4622" max="4623" width="9" style="591" customWidth="1"/>
    <col min="4624" max="4624" width="10.88671875" style="591" bestFit="1" customWidth="1"/>
    <col min="4625" max="4865" width="8.88671875" style="591"/>
    <col min="4866" max="4866" width="27.88671875" style="591" customWidth="1"/>
    <col min="4867" max="4867" width="7.5546875" style="591" customWidth="1"/>
    <col min="4868" max="4868" width="7.88671875" style="591" customWidth="1"/>
    <col min="4869" max="4869" width="8.33203125" style="591" customWidth="1"/>
    <col min="4870" max="4871" width="7.44140625" style="591" customWidth="1"/>
    <col min="4872" max="4872" width="7.88671875" style="591" customWidth="1"/>
    <col min="4873" max="4873" width="7.33203125" style="591" customWidth="1"/>
    <col min="4874" max="4874" width="9.44140625" style="591" customWidth="1"/>
    <col min="4875" max="4875" width="10.5546875" style="591" customWidth="1"/>
    <col min="4876" max="4876" width="8.5546875" style="591" customWidth="1"/>
    <col min="4877" max="4877" width="9.6640625" style="591" customWidth="1"/>
    <col min="4878" max="4879" width="9" style="591" customWidth="1"/>
    <col min="4880" max="4880" width="10.88671875" style="591" bestFit="1" customWidth="1"/>
    <col min="4881" max="5121" width="8.88671875" style="591"/>
    <col min="5122" max="5122" width="27.88671875" style="591" customWidth="1"/>
    <col min="5123" max="5123" width="7.5546875" style="591" customWidth="1"/>
    <col min="5124" max="5124" width="7.88671875" style="591" customWidth="1"/>
    <col min="5125" max="5125" width="8.33203125" style="591" customWidth="1"/>
    <col min="5126" max="5127" width="7.44140625" style="591" customWidth="1"/>
    <col min="5128" max="5128" width="7.88671875" style="591" customWidth="1"/>
    <col min="5129" max="5129" width="7.33203125" style="591" customWidth="1"/>
    <col min="5130" max="5130" width="9.44140625" style="591" customWidth="1"/>
    <col min="5131" max="5131" width="10.5546875" style="591" customWidth="1"/>
    <col min="5132" max="5132" width="8.5546875" style="591" customWidth="1"/>
    <col min="5133" max="5133" width="9.6640625" style="591" customWidth="1"/>
    <col min="5134" max="5135" width="9" style="591" customWidth="1"/>
    <col min="5136" max="5136" width="10.88671875" style="591" bestFit="1" customWidth="1"/>
    <col min="5137" max="5377" width="8.88671875" style="591"/>
    <col min="5378" max="5378" width="27.88671875" style="591" customWidth="1"/>
    <col min="5379" max="5379" width="7.5546875" style="591" customWidth="1"/>
    <col min="5380" max="5380" width="7.88671875" style="591" customWidth="1"/>
    <col min="5381" max="5381" width="8.33203125" style="591" customWidth="1"/>
    <col min="5382" max="5383" width="7.44140625" style="591" customWidth="1"/>
    <col min="5384" max="5384" width="7.88671875" style="591" customWidth="1"/>
    <col min="5385" max="5385" width="7.33203125" style="591" customWidth="1"/>
    <col min="5386" max="5386" width="9.44140625" style="591" customWidth="1"/>
    <col min="5387" max="5387" width="10.5546875" style="591" customWidth="1"/>
    <col min="5388" max="5388" width="8.5546875" style="591" customWidth="1"/>
    <col min="5389" max="5389" width="9.6640625" style="591" customWidth="1"/>
    <col min="5390" max="5391" width="9" style="591" customWidth="1"/>
    <col min="5392" max="5392" width="10.88671875" style="591" bestFit="1" customWidth="1"/>
    <col min="5393" max="5633" width="8.88671875" style="591"/>
    <col min="5634" max="5634" width="27.88671875" style="591" customWidth="1"/>
    <col min="5635" max="5635" width="7.5546875" style="591" customWidth="1"/>
    <col min="5636" max="5636" width="7.88671875" style="591" customWidth="1"/>
    <col min="5637" max="5637" width="8.33203125" style="591" customWidth="1"/>
    <col min="5638" max="5639" width="7.44140625" style="591" customWidth="1"/>
    <col min="5640" max="5640" width="7.88671875" style="591" customWidth="1"/>
    <col min="5641" max="5641" width="7.33203125" style="591" customWidth="1"/>
    <col min="5642" max="5642" width="9.44140625" style="591" customWidth="1"/>
    <col min="5643" max="5643" width="10.5546875" style="591" customWidth="1"/>
    <col min="5644" max="5644" width="8.5546875" style="591" customWidth="1"/>
    <col min="5645" max="5645" width="9.6640625" style="591" customWidth="1"/>
    <col min="5646" max="5647" width="9" style="591" customWidth="1"/>
    <col min="5648" max="5648" width="10.88671875" style="591" bestFit="1" customWidth="1"/>
    <col min="5649" max="5889" width="8.88671875" style="591"/>
    <col min="5890" max="5890" width="27.88671875" style="591" customWidth="1"/>
    <col min="5891" max="5891" width="7.5546875" style="591" customWidth="1"/>
    <col min="5892" max="5892" width="7.88671875" style="591" customWidth="1"/>
    <col min="5893" max="5893" width="8.33203125" style="591" customWidth="1"/>
    <col min="5894" max="5895" width="7.44140625" style="591" customWidth="1"/>
    <col min="5896" max="5896" width="7.88671875" style="591" customWidth="1"/>
    <col min="5897" max="5897" width="7.33203125" style="591" customWidth="1"/>
    <col min="5898" max="5898" width="9.44140625" style="591" customWidth="1"/>
    <col min="5899" max="5899" width="10.5546875" style="591" customWidth="1"/>
    <col min="5900" max="5900" width="8.5546875" style="591" customWidth="1"/>
    <col min="5901" max="5901" width="9.6640625" style="591" customWidth="1"/>
    <col min="5902" max="5903" width="9" style="591" customWidth="1"/>
    <col min="5904" max="5904" width="10.88671875" style="591" bestFit="1" customWidth="1"/>
    <col min="5905" max="6145" width="8.88671875" style="591"/>
    <col min="6146" max="6146" width="27.88671875" style="591" customWidth="1"/>
    <col min="6147" max="6147" width="7.5546875" style="591" customWidth="1"/>
    <col min="6148" max="6148" width="7.88671875" style="591" customWidth="1"/>
    <col min="6149" max="6149" width="8.33203125" style="591" customWidth="1"/>
    <col min="6150" max="6151" width="7.44140625" style="591" customWidth="1"/>
    <col min="6152" max="6152" width="7.88671875" style="591" customWidth="1"/>
    <col min="6153" max="6153" width="7.33203125" style="591" customWidth="1"/>
    <col min="6154" max="6154" width="9.44140625" style="591" customWidth="1"/>
    <col min="6155" max="6155" width="10.5546875" style="591" customWidth="1"/>
    <col min="6156" max="6156" width="8.5546875" style="591" customWidth="1"/>
    <col min="6157" max="6157" width="9.6640625" style="591" customWidth="1"/>
    <col min="6158" max="6159" width="9" style="591" customWidth="1"/>
    <col min="6160" max="6160" width="10.88671875" style="591" bestFit="1" customWidth="1"/>
    <col min="6161" max="6401" width="8.88671875" style="591"/>
    <col min="6402" max="6402" width="27.88671875" style="591" customWidth="1"/>
    <col min="6403" max="6403" width="7.5546875" style="591" customWidth="1"/>
    <col min="6404" max="6404" width="7.88671875" style="591" customWidth="1"/>
    <col min="6405" max="6405" width="8.33203125" style="591" customWidth="1"/>
    <col min="6406" max="6407" width="7.44140625" style="591" customWidth="1"/>
    <col min="6408" max="6408" width="7.88671875" style="591" customWidth="1"/>
    <col min="6409" max="6409" width="7.33203125" style="591" customWidth="1"/>
    <col min="6410" max="6410" width="9.44140625" style="591" customWidth="1"/>
    <col min="6411" max="6411" width="10.5546875" style="591" customWidth="1"/>
    <col min="6412" max="6412" width="8.5546875" style="591" customWidth="1"/>
    <col min="6413" max="6413" width="9.6640625" style="591" customWidth="1"/>
    <col min="6414" max="6415" width="9" style="591" customWidth="1"/>
    <col min="6416" max="6416" width="10.88671875" style="591" bestFit="1" customWidth="1"/>
    <col min="6417" max="6657" width="8.88671875" style="591"/>
    <col min="6658" max="6658" width="27.88671875" style="591" customWidth="1"/>
    <col min="6659" max="6659" width="7.5546875" style="591" customWidth="1"/>
    <col min="6660" max="6660" width="7.88671875" style="591" customWidth="1"/>
    <col min="6661" max="6661" width="8.33203125" style="591" customWidth="1"/>
    <col min="6662" max="6663" width="7.44140625" style="591" customWidth="1"/>
    <col min="6664" max="6664" width="7.88671875" style="591" customWidth="1"/>
    <col min="6665" max="6665" width="7.33203125" style="591" customWidth="1"/>
    <col min="6666" max="6666" width="9.44140625" style="591" customWidth="1"/>
    <col min="6667" max="6667" width="10.5546875" style="591" customWidth="1"/>
    <col min="6668" max="6668" width="8.5546875" style="591" customWidth="1"/>
    <col min="6669" max="6669" width="9.6640625" style="591" customWidth="1"/>
    <col min="6670" max="6671" width="9" style="591" customWidth="1"/>
    <col min="6672" max="6672" width="10.88671875" style="591" bestFit="1" customWidth="1"/>
    <col min="6673" max="6913" width="8.88671875" style="591"/>
    <col min="6914" max="6914" width="27.88671875" style="591" customWidth="1"/>
    <col min="6915" max="6915" width="7.5546875" style="591" customWidth="1"/>
    <col min="6916" max="6916" width="7.88671875" style="591" customWidth="1"/>
    <col min="6917" max="6917" width="8.33203125" style="591" customWidth="1"/>
    <col min="6918" max="6919" width="7.44140625" style="591" customWidth="1"/>
    <col min="6920" max="6920" width="7.88671875" style="591" customWidth="1"/>
    <col min="6921" max="6921" width="7.33203125" style="591" customWidth="1"/>
    <col min="6922" max="6922" width="9.44140625" style="591" customWidth="1"/>
    <col min="6923" max="6923" width="10.5546875" style="591" customWidth="1"/>
    <col min="6924" max="6924" width="8.5546875" style="591" customWidth="1"/>
    <col min="6925" max="6925" width="9.6640625" style="591" customWidth="1"/>
    <col min="6926" max="6927" width="9" style="591" customWidth="1"/>
    <col min="6928" max="6928" width="10.88671875" style="591" bestFit="1" customWidth="1"/>
    <col min="6929" max="7169" width="8.88671875" style="591"/>
    <col min="7170" max="7170" width="27.88671875" style="591" customWidth="1"/>
    <col min="7171" max="7171" width="7.5546875" style="591" customWidth="1"/>
    <col min="7172" max="7172" width="7.88671875" style="591" customWidth="1"/>
    <col min="7173" max="7173" width="8.33203125" style="591" customWidth="1"/>
    <col min="7174" max="7175" width="7.44140625" style="591" customWidth="1"/>
    <col min="7176" max="7176" width="7.88671875" style="591" customWidth="1"/>
    <col min="7177" max="7177" width="7.33203125" style="591" customWidth="1"/>
    <col min="7178" max="7178" width="9.44140625" style="591" customWidth="1"/>
    <col min="7179" max="7179" width="10.5546875" style="591" customWidth="1"/>
    <col min="7180" max="7180" width="8.5546875" style="591" customWidth="1"/>
    <col min="7181" max="7181" width="9.6640625" style="591" customWidth="1"/>
    <col min="7182" max="7183" width="9" style="591" customWidth="1"/>
    <col min="7184" max="7184" width="10.88671875" style="591" bestFit="1" customWidth="1"/>
    <col min="7185" max="7425" width="8.88671875" style="591"/>
    <col min="7426" max="7426" width="27.88671875" style="591" customWidth="1"/>
    <col min="7427" max="7427" width="7.5546875" style="591" customWidth="1"/>
    <col min="7428" max="7428" width="7.88671875" style="591" customWidth="1"/>
    <col min="7429" max="7429" width="8.33203125" style="591" customWidth="1"/>
    <col min="7430" max="7431" width="7.44140625" style="591" customWidth="1"/>
    <col min="7432" max="7432" width="7.88671875" style="591" customWidth="1"/>
    <col min="7433" max="7433" width="7.33203125" style="591" customWidth="1"/>
    <col min="7434" max="7434" width="9.44140625" style="591" customWidth="1"/>
    <col min="7435" max="7435" width="10.5546875" style="591" customWidth="1"/>
    <col min="7436" max="7436" width="8.5546875" style="591" customWidth="1"/>
    <col min="7437" max="7437" width="9.6640625" style="591" customWidth="1"/>
    <col min="7438" max="7439" width="9" style="591" customWidth="1"/>
    <col min="7440" max="7440" width="10.88671875" style="591" bestFit="1" customWidth="1"/>
    <col min="7441" max="7681" width="8.88671875" style="591"/>
    <col min="7682" max="7682" width="27.88671875" style="591" customWidth="1"/>
    <col min="7683" max="7683" width="7.5546875" style="591" customWidth="1"/>
    <col min="7684" max="7684" width="7.88671875" style="591" customWidth="1"/>
    <col min="7685" max="7685" width="8.33203125" style="591" customWidth="1"/>
    <col min="7686" max="7687" width="7.44140625" style="591" customWidth="1"/>
    <col min="7688" max="7688" width="7.88671875" style="591" customWidth="1"/>
    <col min="7689" max="7689" width="7.33203125" style="591" customWidth="1"/>
    <col min="7690" max="7690" width="9.44140625" style="591" customWidth="1"/>
    <col min="7691" max="7691" width="10.5546875" style="591" customWidth="1"/>
    <col min="7692" max="7692" width="8.5546875" style="591" customWidth="1"/>
    <col min="7693" max="7693" width="9.6640625" style="591" customWidth="1"/>
    <col min="7694" max="7695" width="9" style="591" customWidth="1"/>
    <col min="7696" max="7696" width="10.88671875" style="591" bestFit="1" customWidth="1"/>
    <col min="7697" max="7937" width="8.88671875" style="591"/>
    <col min="7938" max="7938" width="27.88671875" style="591" customWidth="1"/>
    <col min="7939" max="7939" width="7.5546875" style="591" customWidth="1"/>
    <col min="7940" max="7940" width="7.88671875" style="591" customWidth="1"/>
    <col min="7941" max="7941" width="8.33203125" style="591" customWidth="1"/>
    <col min="7942" max="7943" width="7.44140625" style="591" customWidth="1"/>
    <col min="7944" max="7944" width="7.88671875" style="591" customWidth="1"/>
    <col min="7945" max="7945" width="7.33203125" style="591" customWidth="1"/>
    <col min="7946" max="7946" width="9.44140625" style="591" customWidth="1"/>
    <col min="7947" max="7947" width="10.5546875" style="591" customWidth="1"/>
    <col min="7948" max="7948" width="8.5546875" style="591" customWidth="1"/>
    <col min="7949" max="7949" width="9.6640625" style="591" customWidth="1"/>
    <col min="7950" max="7951" width="9" style="591" customWidth="1"/>
    <col min="7952" max="7952" width="10.88671875" style="591" bestFit="1" customWidth="1"/>
    <col min="7953" max="8193" width="8.88671875" style="591"/>
    <col min="8194" max="8194" width="27.88671875" style="591" customWidth="1"/>
    <col min="8195" max="8195" width="7.5546875" style="591" customWidth="1"/>
    <col min="8196" max="8196" width="7.88671875" style="591" customWidth="1"/>
    <col min="8197" max="8197" width="8.33203125" style="591" customWidth="1"/>
    <col min="8198" max="8199" width="7.44140625" style="591" customWidth="1"/>
    <col min="8200" max="8200" width="7.88671875" style="591" customWidth="1"/>
    <col min="8201" max="8201" width="7.33203125" style="591" customWidth="1"/>
    <col min="8202" max="8202" width="9.44140625" style="591" customWidth="1"/>
    <col min="8203" max="8203" width="10.5546875" style="591" customWidth="1"/>
    <col min="8204" max="8204" width="8.5546875" style="591" customWidth="1"/>
    <col min="8205" max="8205" width="9.6640625" style="591" customWidth="1"/>
    <col min="8206" max="8207" width="9" style="591" customWidth="1"/>
    <col min="8208" max="8208" width="10.88671875" style="591" bestFit="1" customWidth="1"/>
    <col min="8209" max="8449" width="8.88671875" style="591"/>
    <col min="8450" max="8450" width="27.88671875" style="591" customWidth="1"/>
    <col min="8451" max="8451" width="7.5546875" style="591" customWidth="1"/>
    <col min="8452" max="8452" width="7.88671875" style="591" customWidth="1"/>
    <col min="8453" max="8453" width="8.33203125" style="591" customWidth="1"/>
    <col min="8454" max="8455" width="7.44140625" style="591" customWidth="1"/>
    <col min="8456" max="8456" width="7.88671875" style="591" customWidth="1"/>
    <col min="8457" max="8457" width="7.33203125" style="591" customWidth="1"/>
    <col min="8458" max="8458" width="9.44140625" style="591" customWidth="1"/>
    <col min="8459" max="8459" width="10.5546875" style="591" customWidth="1"/>
    <col min="8460" max="8460" width="8.5546875" style="591" customWidth="1"/>
    <col min="8461" max="8461" width="9.6640625" style="591" customWidth="1"/>
    <col min="8462" max="8463" width="9" style="591" customWidth="1"/>
    <col min="8464" max="8464" width="10.88671875" style="591" bestFit="1" customWidth="1"/>
    <col min="8465" max="8705" width="8.88671875" style="591"/>
    <col min="8706" max="8706" width="27.88671875" style="591" customWidth="1"/>
    <col min="8707" max="8707" width="7.5546875" style="591" customWidth="1"/>
    <col min="8708" max="8708" width="7.88671875" style="591" customWidth="1"/>
    <col min="8709" max="8709" width="8.33203125" style="591" customWidth="1"/>
    <col min="8710" max="8711" width="7.44140625" style="591" customWidth="1"/>
    <col min="8712" max="8712" width="7.88671875" style="591" customWidth="1"/>
    <col min="8713" max="8713" width="7.33203125" style="591" customWidth="1"/>
    <col min="8714" max="8714" width="9.44140625" style="591" customWidth="1"/>
    <col min="8715" max="8715" width="10.5546875" style="591" customWidth="1"/>
    <col min="8716" max="8716" width="8.5546875" style="591" customWidth="1"/>
    <col min="8717" max="8717" width="9.6640625" style="591" customWidth="1"/>
    <col min="8718" max="8719" width="9" style="591" customWidth="1"/>
    <col min="8720" max="8720" width="10.88671875" style="591" bestFit="1" customWidth="1"/>
    <col min="8721" max="8961" width="8.88671875" style="591"/>
    <col min="8962" max="8962" width="27.88671875" style="591" customWidth="1"/>
    <col min="8963" max="8963" width="7.5546875" style="591" customWidth="1"/>
    <col min="8964" max="8964" width="7.88671875" style="591" customWidth="1"/>
    <col min="8965" max="8965" width="8.33203125" style="591" customWidth="1"/>
    <col min="8966" max="8967" width="7.44140625" style="591" customWidth="1"/>
    <col min="8968" max="8968" width="7.88671875" style="591" customWidth="1"/>
    <col min="8969" max="8969" width="7.33203125" style="591" customWidth="1"/>
    <col min="8970" max="8970" width="9.44140625" style="591" customWidth="1"/>
    <col min="8971" max="8971" width="10.5546875" style="591" customWidth="1"/>
    <col min="8972" max="8972" width="8.5546875" style="591" customWidth="1"/>
    <col min="8973" max="8973" width="9.6640625" style="591" customWidth="1"/>
    <col min="8974" max="8975" width="9" style="591" customWidth="1"/>
    <col min="8976" max="8976" width="10.88671875" style="591" bestFit="1" customWidth="1"/>
    <col min="8977" max="9217" width="8.88671875" style="591"/>
    <col min="9218" max="9218" width="27.88671875" style="591" customWidth="1"/>
    <col min="9219" max="9219" width="7.5546875" style="591" customWidth="1"/>
    <col min="9220" max="9220" width="7.88671875" style="591" customWidth="1"/>
    <col min="9221" max="9221" width="8.33203125" style="591" customWidth="1"/>
    <col min="9222" max="9223" width="7.44140625" style="591" customWidth="1"/>
    <col min="9224" max="9224" width="7.88671875" style="591" customWidth="1"/>
    <col min="9225" max="9225" width="7.33203125" style="591" customWidth="1"/>
    <col min="9226" max="9226" width="9.44140625" style="591" customWidth="1"/>
    <col min="9227" max="9227" width="10.5546875" style="591" customWidth="1"/>
    <col min="9228" max="9228" width="8.5546875" style="591" customWidth="1"/>
    <col min="9229" max="9229" width="9.6640625" style="591" customWidth="1"/>
    <col min="9230" max="9231" width="9" style="591" customWidth="1"/>
    <col min="9232" max="9232" width="10.88671875" style="591" bestFit="1" customWidth="1"/>
    <col min="9233" max="9473" width="8.88671875" style="591"/>
    <col min="9474" max="9474" width="27.88671875" style="591" customWidth="1"/>
    <col min="9475" max="9475" width="7.5546875" style="591" customWidth="1"/>
    <col min="9476" max="9476" width="7.88671875" style="591" customWidth="1"/>
    <col min="9477" max="9477" width="8.33203125" style="591" customWidth="1"/>
    <col min="9478" max="9479" width="7.44140625" style="591" customWidth="1"/>
    <col min="9480" max="9480" width="7.88671875" style="591" customWidth="1"/>
    <col min="9481" max="9481" width="7.33203125" style="591" customWidth="1"/>
    <col min="9482" max="9482" width="9.44140625" style="591" customWidth="1"/>
    <col min="9483" max="9483" width="10.5546875" style="591" customWidth="1"/>
    <col min="9484" max="9484" width="8.5546875" style="591" customWidth="1"/>
    <col min="9485" max="9485" width="9.6640625" style="591" customWidth="1"/>
    <col min="9486" max="9487" width="9" style="591" customWidth="1"/>
    <col min="9488" max="9488" width="10.88671875" style="591" bestFit="1" customWidth="1"/>
    <col min="9489" max="9729" width="8.88671875" style="591"/>
    <col min="9730" max="9730" width="27.88671875" style="591" customWidth="1"/>
    <col min="9731" max="9731" width="7.5546875" style="591" customWidth="1"/>
    <col min="9732" max="9732" width="7.88671875" style="591" customWidth="1"/>
    <col min="9733" max="9733" width="8.33203125" style="591" customWidth="1"/>
    <col min="9734" max="9735" width="7.44140625" style="591" customWidth="1"/>
    <col min="9736" max="9736" width="7.88671875" style="591" customWidth="1"/>
    <col min="9737" max="9737" width="7.33203125" style="591" customWidth="1"/>
    <col min="9738" max="9738" width="9.44140625" style="591" customWidth="1"/>
    <col min="9739" max="9739" width="10.5546875" style="591" customWidth="1"/>
    <col min="9740" max="9740" width="8.5546875" style="591" customWidth="1"/>
    <col min="9741" max="9741" width="9.6640625" style="591" customWidth="1"/>
    <col min="9742" max="9743" width="9" style="591" customWidth="1"/>
    <col min="9744" max="9744" width="10.88671875" style="591" bestFit="1" customWidth="1"/>
    <col min="9745" max="9985" width="8.88671875" style="591"/>
    <col min="9986" max="9986" width="27.88671875" style="591" customWidth="1"/>
    <col min="9987" max="9987" width="7.5546875" style="591" customWidth="1"/>
    <col min="9988" max="9988" width="7.88671875" style="591" customWidth="1"/>
    <col min="9989" max="9989" width="8.33203125" style="591" customWidth="1"/>
    <col min="9990" max="9991" width="7.44140625" style="591" customWidth="1"/>
    <col min="9992" max="9992" width="7.88671875" style="591" customWidth="1"/>
    <col min="9993" max="9993" width="7.33203125" style="591" customWidth="1"/>
    <col min="9994" max="9994" width="9.44140625" style="591" customWidth="1"/>
    <col min="9995" max="9995" width="10.5546875" style="591" customWidth="1"/>
    <col min="9996" max="9996" width="8.5546875" style="591" customWidth="1"/>
    <col min="9997" max="9997" width="9.6640625" style="591" customWidth="1"/>
    <col min="9998" max="9999" width="9" style="591" customWidth="1"/>
    <col min="10000" max="10000" width="10.88671875" style="591" bestFit="1" customWidth="1"/>
    <col min="10001" max="10241" width="8.88671875" style="591"/>
    <col min="10242" max="10242" width="27.88671875" style="591" customWidth="1"/>
    <col min="10243" max="10243" width="7.5546875" style="591" customWidth="1"/>
    <col min="10244" max="10244" width="7.88671875" style="591" customWidth="1"/>
    <col min="10245" max="10245" width="8.33203125" style="591" customWidth="1"/>
    <col min="10246" max="10247" width="7.44140625" style="591" customWidth="1"/>
    <col min="10248" max="10248" width="7.88671875" style="591" customWidth="1"/>
    <col min="10249" max="10249" width="7.33203125" style="591" customWidth="1"/>
    <col min="10250" max="10250" width="9.44140625" style="591" customWidth="1"/>
    <col min="10251" max="10251" width="10.5546875" style="591" customWidth="1"/>
    <col min="10252" max="10252" width="8.5546875" style="591" customWidth="1"/>
    <col min="10253" max="10253" width="9.6640625" style="591" customWidth="1"/>
    <col min="10254" max="10255" width="9" style="591" customWidth="1"/>
    <col min="10256" max="10256" width="10.88671875" style="591" bestFit="1" customWidth="1"/>
    <col min="10257" max="10497" width="8.88671875" style="591"/>
    <col min="10498" max="10498" width="27.88671875" style="591" customWidth="1"/>
    <col min="10499" max="10499" width="7.5546875" style="591" customWidth="1"/>
    <col min="10500" max="10500" width="7.88671875" style="591" customWidth="1"/>
    <col min="10501" max="10501" width="8.33203125" style="591" customWidth="1"/>
    <col min="10502" max="10503" width="7.44140625" style="591" customWidth="1"/>
    <col min="10504" max="10504" width="7.88671875" style="591" customWidth="1"/>
    <col min="10505" max="10505" width="7.33203125" style="591" customWidth="1"/>
    <col min="10506" max="10506" width="9.44140625" style="591" customWidth="1"/>
    <col min="10507" max="10507" width="10.5546875" style="591" customWidth="1"/>
    <col min="10508" max="10508" width="8.5546875" style="591" customWidth="1"/>
    <col min="10509" max="10509" width="9.6640625" style="591" customWidth="1"/>
    <col min="10510" max="10511" width="9" style="591" customWidth="1"/>
    <col min="10512" max="10512" width="10.88671875" style="591" bestFit="1" customWidth="1"/>
    <col min="10513" max="10753" width="8.88671875" style="591"/>
    <col min="10754" max="10754" width="27.88671875" style="591" customWidth="1"/>
    <col min="10755" max="10755" width="7.5546875" style="591" customWidth="1"/>
    <col min="10756" max="10756" width="7.88671875" style="591" customWidth="1"/>
    <col min="10757" max="10757" width="8.33203125" style="591" customWidth="1"/>
    <col min="10758" max="10759" width="7.44140625" style="591" customWidth="1"/>
    <col min="10760" max="10760" width="7.88671875" style="591" customWidth="1"/>
    <col min="10761" max="10761" width="7.33203125" style="591" customWidth="1"/>
    <col min="10762" max="10762" width="9.44140625" style="591" customWidth="1"/>
    <col min="10763" max="10763" width="10.5546875" style="591" customWidth="1"/>
    <col min="10764" max="10764" width="8.5546875" style="591" customWidth="1"/>
    <col min="10765" max="10765" width="9.6640625" style="591" customWidth="1"/>
    <col min="10766" max="10767" width="9" style="591" customWidth="1"/>
    <col min="10768" max="10768" width="10.88671875" style="591" bestFit="1" customWidth="1"/>
    <col min="10769" max="11009" width="8.88671875" style="591"/>
    <col min="11010" max="11010" width="27.88671875" style="591" customWidth="1"/>
    <col min="11011" max="11011" width="7.5546875" style="591" customWidth="1"/>
    <col min="11012" max="11012" width="7.88671875" style="591" customWidth="1"/>
    <col min="11013" max="11013" width="8.33203125" style="591" customWidth="1"/>
    <col min="11014" max="11015" width="7.44140625" style="591" customWidth="1"/>
    <col min="11016" max="11016" width="7.88671875" style="591" customWidth="1"/>
    <col min="11017" max="11017" width="7.33203125" style="591" customWidth="1"/>
    <col min="11018" max="11018" width="9.44140625" style="591" customWidth="1"/>
    <col min="11019" max="11019" width="10.5546875" style="591" customWidth="1"/>
    <col min="11020" max="11020" width="8.5546875" style="591" customWidth="1"/>
    <col min="11021" max="11021" width="9.6640625" style="591" customWidth="1"/>
    <col min="11022" max="11023" width="9" style="591" customWidth="1"/>
    <col min="11024" max="11024" width="10.88671875" style="591" bestFit="1" customWidth="1"/>
    <col min="11025" max="11265" width="8.88671875" style="591"/>
    <col min="11266" max="11266" width="27.88671875" style="591" customWidth="1"/>
    <col min="11267" max="11267" width="7.5546875" style="591" customWidth="1"/>
    <col min="11268" max="11268" width="7.88671875" style="591" customWidth="1"/>
    <col min="11269" max="11269" width="8.33203125" style="591" customWidth="1"/>
    <col min="11270" max="11271" width="7.44140625" style="591" customWidth="1"/>
    <col min="11272" max="11272" width="7.88671875" style="591" customWidth="1"/>
    <col min="11273" max="11273" width="7.33203125" style="591" customWidth="1"/>
    <col min="11274" max="11274" width="9.44140625" style="591" customWidth="1"/>
    <col min="11275" max="11275" width="10.5546875" style="591" customWidth="1"/>
    <col min="11276" max="11276" width="8.5546875" style="591" customWidth="1"/>
    <col min="11277" max="11277" width="9.6640625" style="591" customWidth="1"/>
    <col min="11278" max="11279" width="9" style="591" customWidth="1"/>
    <col min="11280" max="11280" width="10.88671875" style="591" bestFit="1" customWidth="1"/>
    <col min="11281" max="11521" width="8.88671875" style="591"/>
    <col min="11522" max="11522" width="27.88671875" style="591" customWidth="1"/>
    <col min="11523" max="11523" width="7.5546875" style="591" customWidth="1"/>
    <col min="11524" max="11524" width="7.88671875" style="591" customWidth="1"/>
    <col min="11525" max="11525" width="8.33203125" style="591" customWidth="1"/>
    <col min="11526" max="11527" width="7.44140625" style="591" customWidth="1"/>
    <col min="11528" max="11528" width="7.88671875" style="591" customWidth="1"/>
    <col min="11529" max="11529" width="7.33203125" style="591" customWidth="1"/>
    <col min="11530" max="11530" width="9.44140625" style="591" customWidth="1"/>
    <col min="11531" max="11531" width="10.5546875" style="591" customWidth="1"/>
    <col min="11532" max="11532" width="8.5546875" style="591" customWidth="1"/>
    <col min="11533" max="11533" width="9.6640625" style="591" customWidth="1"/>
    <col min="11534" max="11535" width="9" style="591" customWidth="1"/>
    <col min="11536" max="11536" width="10.88671875" style="591" bestFit="1" customWidth="1"/>
    <col min="11537" max="11777" width="8.88671875" style="591"/>
    <col min="11778" max="11778" width="27.88671875" style="591" customWidth="1"/>
    <col min="11779" max="11779" width="7.5546875" style="591" customWidth="1"/>
    <col min="11780" max="11780" width="7.88671875" style="591" customWidth="1"/>
    <col min="11781" max="11781" width="8.33203125" style="591" customWidth="1"/>
    <col min="11782" max="11783" width="7.44140625" style="591" customWidth="1"/>
    <col min="11784" max="11784" width="7.88671875" style="591" customWidth="1"/>
    <col min="11785" max="11785" width="7.33203125" style="591" customWidth="1"/>
    <col min="11786" max="11786" width="9.44140625" style="591" customWidth="1"/>
    <col min="11787" max="11787" width="10.5546875" style="591" customWidth="1"/>
    <col min="11788" max="11788" width="8.5546875" style="591" customWidth="1"/>
    <col min="11789" max="11789" width="9.6640625" style="591" customWidth="1"/>
    <col min="11790" max="11791" width="9" style="591" customWidth="1"/>
    <col min="11792" max="11792" width="10.88671875" style="591" bestFit="1" customWidth="1"/>
    <col min="11793" max="12033" width="8.88671875" style="591"/>
    <col min="12034" max="12034" width="27.88671875" style="591" customWidth="1"/>
    <col min="12035" max="12035" width="7.5546875" style="591" customWidth="1"/>
    <col min="12036" max="12036" width="7.88671875" style="591" customWidth="1"/>
    <col min="12037" max="12037" width="8.33203125" style="591" customWidth="1"/>
    <col min="12038" max="12039" width="7.44140625" style="591" customWidth="1"/>
    <col min="12040" max="12040" width="7.88671875" style="591" customWidth="1"/>
    <col min="12041" max="12041" width="7.33203125" style="591" customWidth="1"/>
    <col min="12042" max="12042" width="9.44140625" style="591" customWidth="1"/>
    <col min="12043" max="12043" width="10.5546875" style="591" customWidth="1"/>
    <col min="12044" max="12044" width="8.5546875" style="591" customWidth="1"/>
    <col min="12045" max="12045" width="9.6640625" style="591" customWidth="1"/>
    <col min="12046" max="12047" width="9" style="591" customWidth="1"/>
    <col min="12048" max="12048" width="10.88671875" style="591" bestFit="1" customWidth="1"/>
    <col min="12049" max="12289" width="8.88671875" style="591"/>
    <col min="12290" max="12290" width="27.88671875" style="591" customWidth="1"/>
    <col min="12291" max="12291" width="7.5546875" style="591" customWidth="1"/>
    <col min="12292" max="12292" width="7.88671875" style="591" customWidth="1"/>
    <col min="12293" max="12293" width="8.33203125" style="591" customWidth="1"/>
    <col min="12294" max="12295" width="7.44140625" style="591" customWidth="1"/>
    <col min="12296" max="12296" width="7.88671875" style="591" customWidth="1"/>
    <col min="12297" max="12297" width="7.33203125" style="591" customWidth="1"/>
    <col min="12298" max="12298" width="9.44140625" style="591" customWidth="1"/>
    <col min="12299" max="12299" width="10.5546875" style="591" customWidth="1"/>
    <col min="12300" max="12300" width="8.5546875" style="591" customWidth="1"/>
    <col min="12301" max="12301" width="9.6640625" style="591" customWidth="1"/>
    <col min="12302" max="12303" width="9" style="591" customWidth="1"/>
    <col min="12304" max="12304" width="10.88671875" style="591" bestFit="1" customWidth="1"/>
    <col min="12305" max="12545" width="8.88671875" style="591"/>
    <col min="12546" max="12546" width="27.88671875" style="591" customWidth="1"/>
    <col min="12547" max="12547" width="7.5546875" style="591" customWidth="1"/>
    <col min="12548" max="12548" width="7.88671875" style="591" customWidth="1"/>
    <col min="12549" max="12549" width="8.33203125" style="591" customWidth="1"/>
    <col min="12550" max="12551" width="7.44140625" style="591" customWidth="1"/>
    <col min="12552" max="12552" width="7.88671875" style="591" customWidth="1"/>
    <col min="12553" max="12553" width="7.33203125" style="591" customWidth="1"/>
    <col min="12554" max="12554" width="9.44140625" style="591" customWidth="1"/>
    <col min="12555" max="12555" width="10.5546875" style="591" customWidth="1"/>
    <col min="12556" max="12556" width="8.5546875" style="591" customWidth="1"/>
    <col min="12557" max="12557" width="9.6640625" style="591" customWidth="1"/>
    <col min="12558" max="12559" width="9" style="591" customWidth="1"/>
    <col min="12560" max="12560" width="10.88671875" style="591" bestFit="1" customWidth="1"/>
    <col min="12561" max="12801" width="8.88671875" style="591"/>
    <col min="12802" max="12802" width="27.88671875" style="591" customWidth="1"/>
    <col min="12803" max="12803" width="7.5546875" style="591" customWidth="1"/>
    <col min="12804" max="12804" width="7.88671875" style="591" customWidth="1"/>
    <col min="12805" max="12805" width="8.33203125" style="591" customWidth="1"/>
    <col min="12806" max="12807" width="7.44140625" style="591" customWidth="1"/>
    <col min="12808" max="12808" width="7.88671875" style="591" customWidth="1"/>
    <col min="12809" max="12809" width="7.33203125" style="591" customWidth="1"/>
    <col min="12810" max="12810" width="9.44140625" style="591" customWidth="1"/>
    <col min="12811" max="12811" width="10.5546875" style="591" customWidth="1"/>
    <col min="12812" max="12812" width="8.5546875" style="591" customWidth="1"/>
    <col min="12813" max="12813" width="9.6640625" style="591" customWidth="1"/>
    <col min="12814" max="12815" width="9" style="591" customWidth="1"/>
    <col min="12816" max="12816" width="10.88671875" style="591" bestFit="1" customWidth="1"/>
    <col min="12817" max="13057" width="8.88671875" style="591"/>
    <col min="13058" max="13058" width="27.88671875" style="591" customWidth="1"/>
    <col min="13059" max="13059" width="7.5546875" style="591" customWidth="1"/>
    <col min="13060" max="13060" width="7.88671875" style="591" customWidth="1"/>
    <col min="13061" max="13061" width="8.33203125" style="591" customWidth="1"/>
    <col min="13062" max="13063" width="7.44140625" style="591" customWidth="1"/>
    <col min="13064" max="13064" width="7.88671875" style="591" customWidth="1"/>
    <col min="13065" max="13065" width="7.33203125" style="591" customWidth="1"/>
    <col min="13066" max="13066" width="9.44140625" style="591" customWidth="1"/>
    <col min="13067" max="13067" width="10.5546875" style="591" customWidth="1"/>
    <col min="13068" max="13068" width="8.5546875" style="591" customWidth="1"/>
    <col min="13069" max="13069" width="9.6640625" style="591" customWidth="1"/>
    <col min="13070" max="13071" width="9" style="591" customWidth="1"/>
    <col min="13072" max="13072" width="10.88671875" style="591" bestFit="1" customWidth="1"/>
    <col min="13073" max="13313" width="8.88671875" style="591"/>
    <col min="13314" max="13314" width="27.88671875" style="591" customWidth="1"/>
    <col min="13315" max="13315" width="7.5546875" style="591" customWidth="1"/>
    <col min="13316" max="13316" width="7.88671875" style="591" customWidth="1"/>
    <col min="13317" max="13317" width="8.33203125" style="591" customWidth="1"/>
    <col min="13318" max="13319" width="7.44140625" style="591" customWidth="1"/>
    <col min="13320" max="13320" width="7.88671875" style="591" customWidth="1"/>
    <col min="13321" max="13321" width="7.33203125" style="591" customWidth="1"/>
    <col min="13322" max="13322" width="9.44140625" style="591" customWidth="1"/>
    <col min="13323" max="13323" width="10.5546875" style="591" customWidth="1"/>
    <col min="13324" max="13324" width="8.5546875" style="591" customWidth="1"/>
    <col min="13325" max="13325" width="9.6640625" style="591" customWidth="1"/>
    <col min="13326" max="13327" width="9" style="591" customWidth="1"/>
    <col min="13328" max="13328" width="10.88671875" style="591" bestFit="1" customWidth="1"/>
    <col min="13329" max="13569" width="8.88671875" style="591"/>
    <col min="13570" max="13570" width="27.88671875" style="591" customWidth="1"/>
    <col min="13571" max="13571" width="7.5546875" style="591" customWidth="1"/>
    <col min="13572" max="13572" width="7.88671875" style="591" customWidth="1"/>
    <col min="13573" max="13573" width="8.33203125" style="591" customWidth="1"/>
    <col min="13574" max="13575" width="7.44140625" style="591" customWidth="1"/>
    <col min="13576" max="13576" width="7.88671875" style="591" customWidth="1"/>
    <col min="13577" max="13577" width="7.33203125" style="591" customWidth="1"/>
    <col min="13578" max="13578" width="9.44140625" style="591" customWidth="1"/>
    <col min="13579" max="13579" width="10.5546875" style="591" customWidth="1"/>
    <col min="13580" max="13580" width="8.5546875" style="591" customWidth="1"/>
    <col min="13581" max="13581" width="9.6640625" style="591" customWidth="1"/>
    <col min="13582" max="13583" width="9" style="591" customWidth="1"/>
    <col min="13584" max="13584" width="10.88671875" style="591" bestFit="1" customWidth="1"/>
    <col min="13585" max="13825" width="8.88671875" style="591"/>
    <col min="13826" max="13826" width="27.88671875" style="591" customWidth="1"/>
    <col min="13827" max="13827" width="7.5546875" style="591" customWidth="1"/>
    <col min="13828" max="13828" width="7.88671875" style="591" customWidth="1"/>
    <col min="13829" max="13829" width="8.33203125" style="591" customWidth="1"/>
    <col min="13830" max="13831" width="7.44140625" style="591" customWidth="1"/>
    <col min="13832" max="13832" width="7.88671875" style="591" customWidth="1"/>
    <col min="13833" max="13833" width="7.33203125" style="591" customWidth="1"/>
    <col min="13834" max="13834" width="9.44140625" style="591" customWidth="1"/>
    <col min="13835" max="13835" width="10.5546875" style="591" customWidth="1"/>
    <col min="13836" max="13836" width="8.5546875" style="591" customWidth="1"/>
    <col min="13837" max="13837" width="9.6640625" style="591" customWidth="1"/>
    <col min="13838" max="13839" width="9" style="591" customWidth="1"/>
    <col min="13840" max="13840" width="10.88671875" style="591" bestFit="1" customWidth="1"/>
    <col min="13841" max="14081" width="8.88671875" style="591"/>
    <col min="14082" max="14082" width="27.88671875" style="591" customWidth="1"/>
    <col min="14083" max="14083" width="7.5546875" style="591" customWidth="1"/>
    <col min="14084" max="14084" width="7.88671875" style="591" customWidth="1"/>
    <col min="14085" max="14085" width="8.33203125" style="591" customWidth="1"/>
    <col min="14086" max="14087" width="7.44140625" style="591" customWidth="1"/>
    <col min="14088" max="14088" width="7.88671875" style="591" customWidth="1"/>
    <col min="14089" max="14089" width="7.33203125" style="591" customWidth="1"/>
    <col min="14090" max="14090" width="9.44140625" style="591" customWidth="1"/>
    <col min="14091" max="14091" width="10.5546875" style="591" customWidth="1"/>
    <col min="14092" max="14092" width="8.5546875" style="591" customWidth="1"/>
    <col min="14093" max="14093" width="9.6640625" style="591" customWidth="1"/>
    <col min="14094" max="14095" width="9" style="591" customWidth="1"/>
    <col min="14096" max="14096" width="10.88671875" style="591" bestFit="1" customWidth="1"/>
    <col min="14097" max="14337" width="8.88671875" style="591"/>
    <col min="14338" max="14338" width="27.88671875" style="591" customWidth="1"/>
    <col min="14339" max="14339" width="7.5546875" style="591" customWidth="1"/>
    <col min="14340" max="14340" width="7.88671875" style="591" customWidth="1"/>
    <col min="14341" max="14341" width="8.33203125" style="591" customWidth="1"/>
    <col min="14342" max="14343" width="7.44140625" style="591" customWidth="1"/>
    <col min="14344" max="14344" width="7.88671875" style="591" customWidth="1"/>
    <col min="14345" max="14345" width="7.33203125" style="591" customWidth="1"/>
    <col min="14346" max="14346" width="9.44140625" style="591" customWidth="1"/>
    <col min="14347" max="14347" width="10.5546875" style="591" customWidth="1"/>
    <col min="14348" max="14348" width="8.5546875" style="591" customWidth="1"/>
    <col min="14349" max="14349" width="9.6640625" style="591" customWidth="1"/>
    <col min="14350" max="14351" width="9" style="591" customWidth="1"/>
    <col min="14352" max="14352" width="10.88671875" style="591" bestFit="1" customWidth="1"/>
    <col min="14353" max="14593" width="8.88671875" style="591"/>
    <col min="14594" max="14594" width="27.88671875" style="591" customWidth="1"/>
    <col min="14595" max="14595" width="7.5546875" style="591" customWidth="1"/>
    <col min="14596" max="14596" width="7.88671875" style="591" customWidth="1"/>
    <col min="14597" max="14597" width="8.33203125" style="591" customWidth="1"/>
    <col min="14598" max="14599" width="7.44140625" style="591" customWidth="1"/>
    <col min="14600" max="14600" width="7.88671875" style="591" customWidth="1"/>
    <col min="14601" max="14601" width="7.33203125" style="591" customWidth="1"/>
    <col min="14602" max="14602" width="9.44140625" style="591" customWidth="1"/>
    <col min="14603" max="14603" width="10.5546875" style="591" customWidth="1"/>
    <col min="14604" max="14604" width="8.5546875" style="591" customWidth="1"/>
    <col min="14605" max="14605" width="9.6640625" style="591" customWidth="1"/>
    <col min="14606" max="14607" width="9" style="591" customWidth="1"/>
    <col min="14608" max="14608" width="10.88671875" style="591" bestFit="1" customWidth="1"/>
    <col min="14609" max="14849" width="8.88671875" style="591"/>
    <col min="14850" max="14850" width="27.88671875" style="591" customWidth="1"/>
    <col min="14851" max="14851" width="7.5546875" style="591" customWidth="1"/>
    <col min="14852" max="14852" width="7.88671875" style="591" customWidth="1"/>
    <col min="14853" max="14853" width="8.33203125" style="591" customWidth="1"/>
    <col min="14854" max="14855" width="7.44140625" style="591" customWidth="1"/>
    <col min="14856" max="14856" width="7.88671875" style="591" customWidth="1"/>
    <col min="14857" max="14857" width="7.33203125" style="591" customWidth="1"/>
    <col min="14858" max="14858" width="9.44140625" style="591" customWidth="1"/>
    <col min="14859" max="14859" width="10.5546875" style="591" customWidth="1"/>
    <col min="14860" max="14860" width="8.5546875" style="591" customWidth="1"/>
    <col min="14861" max="14861" width="9.6640625" style="591" customWidth="1"/>
    <col min="14862" max="14863" width="9" style="591" customWidth="1"/>
    <col min="14864" max="14864" width="10.88671875" style="591" bestFit="1" customWidth="1"/>
    <col min="14865" max="15105" width="8.88671875" style="591"/>
    <col min="15106" max="15106" width="27.88671875" style="591" customWidth="1"/>
    <col min="15107" max="15107" width="7.5546875" style="591" customWidth="1"/>
    <col min="15108" max="15108" width="7.88671875" style="591" customWidth="1"/>
    <col min="15109" max="15109" width="8.33203125" style="591" customWidth="1"/>
    <col min="15110" max="15111" width="7.44140625" style="591" customWidth="1"/>
    <col min="15112" max="15112" width="7.88671875" style="591" customWidth="1"/>
    <col min="15113" max="15113" width="7.33203125" style="591" customWidth="1"/>
    <col min="15114" max="15114" width="9.44140625" style="591" customWidth="1"/>
    <col min="15115" max="15115" width="10.5546875" style="591" customWidth="1"/>
    <col min="15116" max="15116" width="8.5546875" style="591" customWidth="1"/>
    <col min="15117" max="15117" width="9.6640625" style="591" customWidth="1"/>
    <col min="15118" max="15119" width="9" style="591" customWidth="1"/>
    <col min="15120" max="15120" width="10.88671875" style="591" bestFit="1" customWidth="1"/>
    <col min="15121" max="15361" width="8.88671875" style="591"/>
    <col min="15362" max="15362" width="27.88671875" style="591" customWidth="1"/>
    <col min="15363" max="15363" width="7.5546875" style="591" customWidth="1"/>
    <col min="15364" max="15364" width="7.88671875" style="591" customWidth="1"/>
    <col min="15365" max="15365" width="8.33203125" style="591" customWidth="1"/>
    <col min="15366" max="15367" width="7.44140625" style="591" customWidth="1"/>
    <col min="15368" max="15368" width="7.88671875" style="591" customWidth="1"/>
    <col min="15369" max="15369" width="7.33203125" style="591" customWidth="1"/>
    <col min="15370" max="15370" width="9.44140625" style="591" customWidth="1"/>
    <col min="15371" max="15371" width="10.5546875" style="591" customWidth="1"/>
    <col min="15372" max="15372" width="8.5546875" style="591" customWidth="1"/>
    <col min="15373" max="15373" width="9.6640625" style="591" customWidth="1"/>
    <col min="15374" max="15375" width="9" style="591" customWidth="1"/>
    <col min="15376" max="15376" width="10.88671875" style="591" bestFit="1" customWidth="1"/>
    <col min="15377" max="15617" width="8.88671875" style="591"/>
    <col min="15618" max="15618" width="27.88671875" style="591" customWidth="1"/>
    <col min="15619" max="15619" width="7.5546875" style="591" customWidth="1"/>
    <col min="15620" max="15620" width="7.88671875" style="591" customWidth="1"/>
    <col min="15621" max="15621" width="8.33203125" style="591" customWidth="1"/>
    <col min="15622" max="15623" width="7.44140625" style="591" customWidth="1"/>
    <col min="15624" max="15624" width="7.88671875" style="591" customWidth="1"/>
    <col min="15625" max="15625" width="7.33203125" style="591" customWidth="1"/>
    <col min="15626" max="15626" width="9.44140625" style="591" customWidth="1"/>
    <col min="15627" max="15627" width="10.5546875" style="591" customWidth="1"/>
    <col min="15628" max="15628" width="8.5546875" style="591" customWidth="1"/>
    <col min="15629" max="15629" width="9.6640625" style="591" customWidth="1"/>
    <col min="15630" max="15631" width="9" style="591" customWidth="1"/>
    <col min="15632" max="15632" width="10.88671875" style="591" bestFit="1" customWidth="1"/>
    <col min="15633" max="15873" width="8.88671875" style="591"/>
    <col min="15874" max="15874" width="27.88671875" style="591" customWidth="1"/>
    <col min="15875" max="15875" width="7.5546875" style="591" customWidth="1"/>
    <col min="15876" max="15876" width="7.88671875" style="591" customWidth="1"/>
    <col min="15877" max="15877" width="8.33203125" style="591" customWidth="1"/>
    <col min="15878" max="15879" width="7.44140625" style="591" customWidth="1"/>
    <col min="15880" max="15880" width="7.88671875" style="591" customWidth="1"/>
    <col min="15881" max="15881" width="7.33203125" style="591" customWidth="1"/>
    <col min="15882" max="15882" width="9.44140625" style="591" customWidth="1"/>
    <col min="15883" max="15883" width="10.5546875" style="591" customWidth="1"/>
    <col min="15884" max="15884" width="8.5546875" style="591" customWidth="1"/>
    <col min="15885" max="15885" width="9.6640625" style="591" customWidth="1"/>
    <col min="15886" max="15887" width="9" style="591" customWidth="1"/>
    <col min="15888" max="15888" width="10.88671875" style="591" bestFit="1" customWidth="1"/>
    <col min="15889" max="16129" width="8.88671875" style="591"/>
    <col min="16130" max="16130" width="27.88671875" style="591" customWidth="1"/>
    <col min="16131" max="16131" width="7.5546875" style="591" customWidth="1"/>
    <col min="16132" max="16132" width="7.88671875" style="591" customWidth="1"/>
    <col min="16133" max="16133" width="8.33203125" style="591" customWidth="1"/>
    <col min="16134" max="16135" width="7.44140625" style="591" customWidth="1"/>
    <col min="16136" max="16136" width="7.88671875" style="591" customWidth="1"/>
    <col min="16137" max="16137" width="7.33203125" style="591" customWidth="1"/>
    <col min="16138" max="16138" width="9.44140625" style="591" customWidth="1"/>
    <col min="16139" max="16139" width="10.5546875" style="591" customWidth="1"/>
    <col min="16140" max="16140" width="8.5546875" style="591" customWidth="1"/>
    <col min="16141" max="16141" width="9.6640625" style="591" customWidth="1"/>
    <col min="16142" max="16143" width="9" style="591" customWidth="1"/>
    <col min="16144" max="16144" width="10.88671875" style="591" bestFit="1" customWidth="1"/>
    <col min="16145" max="16384" width="8.88671875" style="591"/>
  </cols>
  <sheetData>
    <row r="1" spans="1:16" ht="13.8" x14ac:dyDescent="0.3">
      <c r="A1" s="589" t="s">
        <v>343</v>
      </c>
      <c r="B1" s="590"/>
    </row>
    <row r="2" spans="1:16" ht="13.8" x14ac:dyDescent="0.3">
      <c r="B2" s="590"/>
    </row>
    <row r="3" spans="1:16" s="592" customFormat="1" ht="41.25" customHeight="1" x14ac:dyDescent="0.3">
      <c r="B3" s="830" t="s">
        <v>328</v>
      </c>
      <c r="C3" s="830"/>
      <c r="D3" s="830"/>
      <c r="E3" s="830"/>
      <c r="F3" s="830"/>
      <c r="G3" s="830"/>
      <c r="H3" s="830"/>
      <c r="I3" s="830"/>
      <c r="J3" s="830"/>
      <c r="K3" s="830"/>
      <c r="L3" s="830"/>
      <c r="M3" s="830"/>
      <c r="N3" s="830"/>
      <c r="O3" s="830"/>
      <c r="P3" s="593"/>
    </row>
    <row r="4" spans="1:16" s="592" customFormat="1" ht="24" customHeight="1" thickBot="1" x14ac:dyDescent="0.3">
      <c r="B4" s="594"/>
      <c r="O4" s="595"/>
      <c r="P4" s="593"/>
    </row>
    <row r="5" spans="1:16" s="601" customFormat="1" x14ac:dyDescent="0.25">
      <c r="A5" s="596"/>
      <c r="B5" s="597"/>
      <c r="C5" s="598" t="s">
        <v>229</v>
      </c>
      <c r="D5" s="598" t="s">
        <v>230</v>
      </c>
      <c r="E5" s="598" t="s">
        <v>231</v>
      </c>
      <c r="F5" s="598" t="s">
        <v>232</v>
      </c>
      <c r="G5" s="598" t="s">
        <v>233</v>
      </c>
      <c r="H5" s="598" t="s">
        <v>234</v>
      </c>
      <c r="I5" s="598" t="s">
        <v>235</v>
      </c>
      <c r="J5" s="598" t="s">
        <v>236</v>
      </c>
      <c r="K5" s="598" t="s">
        <v>237</v>
      </c>
      <c r="L5" s="598" t="s">
        <v>238</v>
      </c>
      <c r="M5" s="598" t="s">
        <v>239</v>
      </c>
      <c r="N5" s="598" t="s">
        <v>240</v>
      </c>
      <c r="O5" s="599" t="s">
        <v>154</v>
      </c>
      <c r="P5" s="600"/>
    </row>
    <row r="6" spans="1:16" s="592" customFormat="1" ht="26.4" x14ac:dyDescent="0.25">
      <c r="A6" s="602" t="s">
        <v>122</v>
      </c>
      <c r="B6" s="603" t="s">
        <v>241</v>
      </c>
      <c r="C6" s="604">
        <f t="shared" ref="C6:N12" si="0">C33+C61+C89+C116</f>
        <v>15296373</v>
      </c>
      <c r="D6" s="604">
        <f t="shared" si="0"/>
        <v>15296373</v>
      </c>
      <c r="E6" s="604">
        <f t="shared" si="0"/>
        <v>26338708</v>
      </c>
      <c r="F6" s="604">
        <f t="shared" si="0"/>
        <v>15296373</v>
      </c>
      <c r="G6" s="604">
        <f t="shared" si="0"/>
        <v>15400045</v>
      </c>
      <c r="H6" s="604">
        <f t="shared" si="0"/>
        <v>20320831</v>
      </c>
      <c r="I6" s="604">
        <f t="shared" si="0"/>
        <v>15897658</v>
      </c>
      <c r="J6" s="604">
        <f t="shared" si="0"/>
        <v>15015373</v>
      </c>
      <c r="K6" s="604">
        <f t="shared" si="0"/>
        <v>15015373</v>
      </c>
      <c r="L6" s="604">
        <f t="shared" si="0"/>
        <v>15015373</v>
      </c>
      <c r="M6" s="604">
        <f t="shared" si="0"/>
        <v>15015373</v>
      </c>
      <c r="N6" s="604">
        <f t="shared" si="0"/>
        <v>33082979</v>
      </c>
      <c r="O6" s="605">
        <f>SUM(C6:N6)</f>
        <v>216990832</v>
      </c>
      <c r="P6" s="593"/>
    </row>
    <row r="7" spans="1:16" s="592" customFormat="1" x14ac:dyDescent="0.25">
      <c r="A7" s="602" t="s">
        <v>123</v>
      </c>
      <c r="B7" s="603" t="s">
        <v>16</v>
      </c>
      <c r="C7" s="604">
        <f t="shared" si="0"/>
        <v>300000</v>
      </c>
      <c r="D7" s="604">
        <f t="shared" si="0"/>
        <v>300000</v>
      </c>
      <c r="E7" s="604">
        <f t="shared" si="0"/>
        <v>0</v>
      </c>
      <c r="F7" s="604">
        <f t="shared" si="0"/>
        <v>42700000</v>
      </c>
      <c r="G7" s="604">
        <f t="shared" si="0"/>
        <v>0</v>
      </c>
      <c r="H7" s="604">
        <f t="shared" si="0"/>
        <v>0</v>
      </c>
      <c r="I7" s="604">
        <f t="shared" si="0"/>
        <v>0</v>
      </c>
      <c r="J7" s="604">
        <f t="shared" si="0"/>
        <v>0</v>
      </c>
      <c r="K7" s="604">
        <f t="shared" si="0"/>
        <v>42700000</v>
      </c>
      <c r="L7" s="604">
        <f t="shared" si="0"/>
        <v>0</v>
      </c>
      <c r="M7" s="604">
        <f t="shared" si="0"/>
        <v>0</v>
      </c>
      <c r="N7" s="604">
        <f t="shared" si="0"/>
        <v>0</v>
      </c>
      <c r="O7" s="605">
        <f t="shared" ref="O7:O14" si="1">SUM(C7:N7)</f>
        <v>86000000</v>
      </c>
      <c r="P7" s="593"/>
    </row>
    <row r="8" spans="1:16" s="592" customFormat="1" ht="15" customHeight="1" x14ac:dyDescent="0.25">
      <c r="A8" s="602" t="s">
        <v>124</v>
      </c>
      <c r="B8" s="603" t="s">
        <v>17</v>
      </c>
      <c r="C8" s="604">
        <f t="shared" si="0"/>
        <v>1565552</v>
      </c>
      <c r="D8" s="604">
        <f t="shared" si="0"/>
        <v>3742815</v>
      </c>
      <c r="E8" s="604">
        <f t="shared" si="0"/>
        <v>1342962</v>
      </c>
      <c r="F8" s="604">
        <f t="shared" si="0"/>
        <v>1342962</v>
      </c>
      <c r="G8" s="604">
        <f t="shared" si="0"/>
        <v>1490742</v>
      </c>
      <c r="H8" s="604">
        <f t="shared" si="0"/>
        <v>3628962</v>
      </c>
      <c r="I8" s="604">
        <f t="shared" si="0"/>
        <v>132000</v>
      </c>
      <c r="J8" s="604">
        <f t="shared" si="0"/>
        <v>132000</v>
      </c>
      <c r="K8" s="604">
        <f t="shared" si="0"/>
        <v>1342962</v>
      </c>
      <c r="L8" s="604">
        <f t="shared" si="0"/>
        <v>1342962</v>
      </c>
      <c r="M8" s="604">
        <f t="shared" si="0"/>
        <v>1342962</v>
      </c>
      <c r="N8" s="604">
        <f t="shared" si="0"/>
        <v>1340960</v>
      </c>
      <c r="O8" s="605">
        <f t="shared" si="1"/>
        <v>18747841</v>
      </c>
      <c r="P8" s="593"/>
    </row>
    <row r="9" spans="1:16" s="592" customFormat="1" ht="26.4" x14ac:dyDescent="0.25">
      <c r="A9" s="602" t="s">
        <v>125</v>
      </c>
      <c r="B9" s="603" t="s">
        <v>242</v>
      </c>
      <c r="C9" s="604">
        <f t="shared" si="0"/>
        <v>0</v>
      </c>
      <c r="D9" s="604">
        <f t="shared" si="0"/>
        <v>0</v>
      </c>
      <c r="E9" s="604">
        <f t="shared" si="0"/>
        <v>0</v>
      </c>
      <c r="F9" s="604">
        <f t="shared" si="0"/>
        <v>0</v>
      </c>
      <c r="G9" s="604">
        <f t="shared" si="0"/>
        <v>0</v>
      </c>
      <c r="H9" s="604">
        <f t="shared" si="0"/>
        <v>0</v>
      </c>
      <c r="I9" s="604">
        <f t="shared" si="0"/>
        <v>0</v>
      </c>
      <c r="J9" s="604">
        <f t="shared" si="0"/>
        <v>0</v>
      </c>
      <c r="K9" s="604">
        <f t="shared" si="0"/>
        <v>0</v>
      </c>
      <c r="L9" s="604">
        <f t="shared" si="0"/>
        <v>0</v>
      </c>
      <c r="M9" s="604">
        <f t="shared" si="0"/>
        <v>0</v>
      </c>
      <c r="N9" s="604">
        <f t="shared" si="0"/>
        <v>0</v>
      </c>
      <c r="O9" s="605">
        <f t="shared" si="1"/>
        <v>0</v>
      </c>
      <c r="P9" s="593"/>
    </row>
    <row r="10" spans="1:16" s="592" customFormat="1" ht="26.4" x14ac:dyDescent="0.25">
      <c r="A10" s="602" t="s">
        <v>143</v>
      </c>
      <c r="B10" s="603" t="s">
        <v>243</v>
      </c>
      <c r="C10" s="604">
        <f t="shared" si="0"/>
        <v>0</v>
      </c>
      <c r="D10" s="604">
        <f t="shared" si="0"/>
        <v>0</v>
      </c>
      <c r="E10" s="604">
        <f t="shared" si="0"/>
        <v>0</v>
      </c>
      <c r="F10" s="604">
        <f t="shared" si="0"/>
        <v>0</v>
      </c>
      <c r="G10" s="604">
        <f t="shared" si="0"/>
        <v>0</v>
      </c>
      <c r="H10" s="604">
        <f t="shared" si="0"/>
        <v>0</v>
      </c>
      <c r="I10" s="604">
        <f t="shared" si="0"/>
        <v>0</v>
      </c>
      <c r="J10" s="604">
        <f t="shared" si="0"/>
        <v>0</v>
      </c>
      <c r="K10" s="604">
        <f t="shared" si="0"/>
        <v>0</v>
      </c>
      <c r="L10" s="604">
        <f t="shared" si="0"/>
        <v>0</v>
      </c>
      <c r="M10" s="604">
        <f t="shared" si="0"/>
        <v>0</v>
      </c>
      <c r="N10" s="604">
        <f t="shared" si="0"/>
        <v>0</v>
      </c>
      <c r="O10" s="605">
        <f t="shared" si="1"/>
        <v>0</v>
      </c>
      <c r="P10" s="593"/>
    </row>
    <row r="11" spans="1:16" s="592" customFormat="1" x14ac:dyDescent="0.25">
      <c r="A11" s="602" t="s">
        <v>145</v>
      </c>
      <c r="B11" s="603" t="s">
        <v>22</v>
      </c>
      <c r="C11" s="604">
        <f t="shared" si="0"/>
        <v>0</v>
      </c>
      <c r="D11" s="604">
        <f t="shared" si="0"/>
        <v>0</v>
      </c>
      <c r="E11" s="604">
        <f t="shared" si="0"/>
        <v>0</v>
      </c>
      <c r="F11" s="604">
        <f t="shared" si="0"/>
        <v>0</v>
      </c>
      <c r="G11" s="604">
        <f t="shared" si="0"/>
        <v>0</v>
      </c>
      <c r="H11" s="604">
        <f t="shared" si="0"/>
        <v>0</v>
      </c>
      <c r="I11" s="604">
        <f t="shared" si="0"/>
        <v>0</v>
      </c>
      <c r="J11" s="604">
        <f t="shared" si="0"/>
        <v>0</v>
      </c>
      <c r="K11" s="604">
        <f t="shared" si="0"/>
        <v>0</v>
      </c>
      <c r="L11" s="604">
        <f t="shared" si="0"/>
        <v>0</v>
      </c>
      <c r="M11" s="604">
        <f t="shared" si="0"/>
        <v>0</v>
      </c>
      <c r="N11" s="604">
        <f t="shared" si="0"/>
        <v>0</v>
      </c>
      <c r="O11" s="605">
        <f t="shared" si="1"/>
        <v>0</v>
      </c>
      <c r="P11" s="593"/>
    </row>
    <row r="12" spans="1:16" s="592" customFormat="1" ht="26.4" x14ac:dyDescent="0.25">
      <c r="A12" s="602" t="s">
        <v>244</v>
      </c>
      <c r="B12" s="603" t="s">
        <v>245</v>
      </c>
      <c r="C12" s="604">
        <f t="shared" si="0"/>
        <v>0</v>
      </c>
      <c r="D12" s="604">
        <f t="shared" si="0"/>
        <v>0</v>
      </c>
      <c r="E12" s="604">
        <f t="shared" si="0"/>
        <v>0</v>
      </c>
      <c r="F12" s="604">
        <f t="shared" si="0"/>
        <v>0</v>
      </c>
      <c r="G12" s="604">
        <f t="shared" si="0"/>
        <v>0</v>
      </c>
      <c r="H12" s="604">
        <f t="shared" si="0"/>
        <v>0</v>
      </c>
      <c r="I12" s="604">
        <f t="shared" si="0"/>
        <v>0</v>
      </c>
      <c r="J12" s="604">
        <f t="shared" si="0"/>
        <v>0</v>
      </c>
      <c r="K12" s="604">
        <f t="shared" si="0"/>
        <v>0</v>
      </c>
      <c r="L12" s="604">
        <f t="shared" si="0"/>
        <v>0</v>
      </c>
      <c r="M12" s="604">
        <f t="shared" si="0"/>
        <v>0</v>
      </c>
      <c r="N12" s="604">
        <f t="shared" si="0"/>
        <v>0</v>
      </c>
      <c r="O12" s="605">
        <f t="shared" si="1"/>
        <v>0</v>
      </c>
      <c r="P12" s="593"/>
    </row>
    <row r="13" spans="1:16" s="592" customFormat="1" ht="26.4" x14ac:dyDescent="0.25">
      <c r="A13" s="602" t="s">
        <v>246</v>
      </c>
      <c r="B13" s="606" t="s">
        <v>247</v>
      </c>
      <c r="C13" s="607">
        <f>C6+C7+C8+C9+C10+C11+C12</f>
        <v>17161925</v>
      </c>
      <c r="D13" s="607">
        <f t="shared" ref="D13:N13" si="2">D6+D7+D8+D9+D10+D11+D12</f>
        <v>19339188</v>
      </c>
      <c r="E13" s="607">
        <f t="shared" si="2"/>
        <v>27681670</v>
      </c>
      <c r="F13" s="607">
        <f t="shared" si="2"/>
        <v>59339335</v>
      </c>
      <c r="G13" s="607">
        <f t="shared" si="2"/>
        <v>16890787</v>
      </c>
      <c r="H13" s="607">
        <f t="shared" si="2"/>
        <v>23949793</v>
      </c>
      <c r="I13" s="607">
        <f t="shared" si="2"/>
        <v>16029658</v>
      </c>
      <c r="J13" s="607">
        <f t="shared" si="2"/>
        <v>15147373</v>
      </c>
      <c r="K13" s="607">
        <f t="shared" si="2"/>
        <v>59058335</v>
      </c>
      <c r="L13" s="607">
        <f t="shared" si="2"/>
        <v>16358335</v>
      </c>
      <c r="M13" s="607">
        <f t="shared" si="2"/>
        <v>16358335</v>
      </c>
      <c r="N13" s="607">
        <f t="shared" si="2"/>
        <v>34423939</v>
      </c>
      <c r="O13" s="605">
        <f t="shared" si="1"/>
        <v>321738673</v>
      </c>
      <c r="P13" s="593"/>
    </row>
    <row r="14" spans="1:16" s="592" customFormat="1" ht="53.4" thickBot="1" x14ac:dyDescent="0.3">
      <c r="A14" s="608" t="s">
        <v>248</v>
      </c>
      <c r="B14" s="609" t="s">
        <v>249</v>
      </c>
      <c r="C14" s="610"/>
      <c r="D14" s="610"/>
      <c r="E14" s="610"/>
      <c r="F14" s="610"/>
      <c r="G14" s="610">
        <f>726463198+7795455</f>
        <v>734258653</v>
      </c>
      <c r="H14" s="610"/>
      <c r="I14" s="610"/>
      <c r="J14" s="610"/>
      <c r="K14" s="610"/>
      <c r="L14" s="610"/>
      <c r="M14" s="610"/>
      <c r="N14" s="610"/>
      <c r="O14" s="611">
        <f t="shared" si="1"/>
        <v>734258653</v>
      </c>
      <c r="P14" s="593"/>
    </row>
    <row r="15" spans="1:16" s="592" customFormat="1" ht="28.5" customHeight="1" thickBot="1" x14ac:dyDescent="0.3">
      <c r="A15" s="612" t="s">
        <v>250</v>
      </c>
      <c r="B15" s="613" t="s">
        <v>251</v>
      </c>
      <c r="C15" s="614">
        <f t="shared" ref="C15:O15" si="3">C13+C14</f>
        <v>17161925</v>
      </c>
      <c r="D15" s="614">
        <f t="shared" si="3"/>
        <v>19339188</v>
      </c>
      <c r="E15" s="614">
        <f t="shared" si="3"/>
        <v>27681670</v>
      </c>
      <c r="F15" s="614">
        <f t="shared" si="3"/>
        <v>59339335</v>
      </c>
      <c r="G15" s="614">
        <f t="shared" si="3"/>
        <v>751149440</v>
      </c>
      <c r="H15" s="614">
        <f t="shared" si="3"/>
        <v>23949793</v>
      </c>
      <c r="I15" s="614">
        <f t="shared" si="3"/>
        <v>16029658</v>
      </c>
      <c r="J15" s="614">
        <f t="shared" si="3"/>
        <v>15147373</v>
      </c>
      <c r="K15" s="614">
        <f t="shared" si="3"/>
        <v>59058335</v>
      </c>
      <c r="L15" s="614">
        <f t="shared" si="3"/>
        <v>16358335</v>
      </c>
      <c r="M15" s="614">
        <f t="shared" si="3"/>
        <v>16358335</v>
      </c>
      <c r="N15" s="614">
        <f t="shared" si="3"/>
        <v>34423939</v>
      </c>
      <c r="O15" s="615">
        <f t="shared" si="3"/>
        <v>1055997326</v>
      </c>
      <c r="P15" s="593"/>
    </row>
    <row r="16" spans="1:16" s="592" customFormat="1" ht="13.8" thickBot="1" x14ac:dyDescent="0.3">
      <c r="A16" s="616"/>
      <c r="B16" s="617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9"/>
      <c r="P16" s="593"/>
    </row>
    <row r="17" spans="1:17" s="595" customFormat="1" x14ac:dyDescent="0.25">
      <c r="A17" s="620" t="s">
        <v>252</v>
      </c>
      <c r="B17" s="621" t="s">
        <v>33</v>
      </c>
      <c r="C17" s="604">
        <f t="shared" ref="C17:N24" si="4">C45+C73+C101+C128</f>
        <v>7702267.333333334</v>
      </c>
      <c r="D17" s="604">
        <f t="shared" si="4"/>
        <v>7686617</v>
      </c>
      <c r="E17" s="604">
        <f t="shared" si="4"/>
        <v>8739634</v>
      </c>
      <c r="F17" s="604">
        <f t="shared" si="4"/>
        <v>8594468</v>
      </c>
      <c r="G17" s="604">
        <f t="shared" si="4"/>
        <v>7900385</v>
      </c>
      <c r="H17" s="604">
        <f t="shared" si="4"/>
        <v>8050387</v>
      </c>
      <c r="I17" s="604">
        <f t="shared" si="4"/>
        <v>7708255</v>
      </c>
      <c r="J17" s="604">
        <f t="shared" si="4"/>
        <v>7495655</v>
      </c>
      <c r="K17" s="604">
        <f t="shared" si="4"/>
        <v>7495656</v>
      </c>
      <c r="L17" s="604">
        <f t="shared" si="4"/>
        <v>7495656</v>
      </c>
      <c r="M17" s="604">
        <f t="shared" si="4"/>
        <v>7495656</v>
      </c>
      <c r="N17" s="604">
        <f t="shared" si="4"/>
        <v>7495656</v>
      </c>
      <c r="O17" s="622">
        <f t="shared" ref="O17:O24" si="5">SUM(C17:N17)</f>
        <v>93860292.333333343</v>
      </c>
      <c r="P17" s="623"/>
    </row>
    <row r="18" spans="1:17" s="595" customFormat="1" x14ac:dyDescent="0.25">
      <c r="A18" s="602" t="s">
        <v>253</v>
      </c>
      <c r="B18" s="603" t="s">
        <v>254</v>
      </c>
      <c r="C18" s="604">
        <f t="shared" si="4"/>
        <v>1542685</v>
      </c>
      <c r="D18" s="604">
        <f t="shared" si="4"/>
        <v>1539633.6865704674</v>
      </c>
      <c r="E18" s="604">
        <f t="shared" si="4"/>
        <v>1749334.4477248583</v>
      </c>
      <c r="F18" s="604">
        <f t="shared" si="4"/>
        <v>1576649</v>
      </c>
      <c r="G18" s="604">
        <f t="shared" si="4"/>
        <v>1727474.6886951132</v>
      </c>
      <c r="H18" s="604">
        <f t="shared" si="4"/>
        <v>1582148.6886951132</v>
      </c>
      <c r="I18" s="604">
        <f t="shared" si="4"/>
        <v>1546509.041828966</v>
      </c>
      <c r="J18" s="604">
        <f t="shared" si="4"/>
        <v>1504021.6865704674</v>
      </c>
      <c r="K18" s="604">
        <f t="shared" si="4"/>
        <v>1504021.6865704674</v>
      </c>
      <c r="L18" s="604">
        <f t="shared" si="4"/>
        <v>1504021.6865704674</v>
      </c>
      <c r="M18" s="604">
        <f t="shared" si="4"/>
        <v>1504021.6865704674</v>
      </c>
      <c r="N18" s="604">
        <f t="shared" si="4"/>
        <v>1504021.6865704674</v>
      </c>
      <c r="O18" s="605">
        <f t="shared" si="5"/>
        <v>18784542.986366853</v>
      </c>
      <c r="P18" s="623"/>
    </row>
    <row r="19" spans="1:17" s="595" customFormat="1" x14ac:dyDescent="0.25">
      <c r="A19" s="602" t="s">
        <v>255</v>
      </c>
      <c r="B19" s="603" t="s">
        <v>256</v>
      </c>
      <c r="C19" s="604">
        <f t="shared" si="4"/>
        <v>7135537</v>
      </c>
      <c r="D19" s="604">
        <f t="shared" si="4"/>
        <v>7135537</v>
      </c>
      <c r="E19" s="604">
        <f t="shared" si="4"/>
        <v>7135537</v>
      </c>
      <c r="F19" s="604">
        <f t="shared" si="4"/>
        <v>21234317</v>
      </c>
      <c r="G19" s="604">
        <f t="shared" si="4"/>
        <v>11864809</v>
      </c>
      <c r="H19" s="604">
        <f t="shared" si="4"/>
        <v>33581970</v>
      </c>
      <c r="I19" s="604">
        <f t="shared" si="4"/>
        <v>8803537</v>
      </c>
      <c r="J19" s="604">
        <f t="shared" si="4"/>
        <v>7535537</v>
      </c>
      <c r="K19" s="604">
        <f t="shared" si="4"/>
        <v>7535537</v>
      </c>
      <c r="L19" s="604">
        <f t="shared" si="4"/>
        <v>9315251</v>
      </c>
      <c r="M19" s="604">
        <f t="shared" si="4"/>
        <v>7240537</v>
      </c>
      <c r="N19" s="604">
        <f t="shared" si="4"/>
        <v>25200749</v>
      </c>
      <c r="O19" s="605">
        <f t="shared" si="5"/>
        <v>153718855</v>
      </c>
      <c r="P19" s="623"/>
      <c r="Q19" s="623"/>
    </row>
    <row r="20" spans="1:17" s="595" customFormat="1" x14ac:dyDescent="0.25">
      <c r="A20" s="602" t="s">
        <v>257</v>
      </c>
      <c r="B20" s="603" t="s">
        <v>258</v>
      </c>
      <c r="C20" s="604">
        <f t="shared" si="4"/>
        <v>300000</v>
      </c>
      <c r="D20" s="604">
        <f t="shared" si="4"/>
        <v>300000</v>
      </c>
      <c r="E20" s="604">
        <f t="shared" si="4"/>
        <v>300000</v>
      </c>
      <c r="F20" s="604">
        <f t="shared" si="4"/>
        <v>400000</v>
      </c>
      <c r="G20" s="604">
        <f t="shared" si="4"/>
        <v>300000</v>
      </c>
      <c r="H20" s="604">
        <f t="shared" si="4"/>
        <v>400000</v>
      </c>
      <c r="I20" s="604">
        <f t="shared" si="4"/>
        <v>300000</v>
      </c>
      <c r="J20" s="604">
        <f t="shared" si="4"/>
        <v>300000</v>
      </c>
      <c r="K20" s="604">
        <f t="shared" si="4"/>
        <v>400000</v>
      </c>
      <c r="L20" s="604">
        <f t="shared" si="4"/>
        <v>400000</v>
      </c>
      <c r="M20" s="604">
        <f t="shared" si="4"/>
        <v>300000</v>
      </c>
      <c r="N20" s="604">
        <f t="shared" si="4"/>
        <v>300000</v>
      </c>
      <c r="O20" s="605">
        <f t="shared" si="5"/>
        <v>4000000</v>
      </c>
      <c r="P20" s="623"/>
    </row>
    <row r="21" spans="1:17" s="595" customFormat="1" ht="26.4" x14ac:dyDescent="0.25">
      <c r="A21" s="602" t="s">
        <v>259</v>
      </c>
      <c r="B21" s="603" t="s">
        <v>260</v>
      </c>
      <c r="C21" s="604">
        <f t="shared" si="4"/>
        <v>8163500</v>
      </c>
      <c r="D21" s="604">
        <f t="shared" si="4"/>
        <v>10753000</v>
      </c>
      <c r="E21" s="604">
        <f t="shared" si="4"/>
        <v>8153000</v>
      </c>
      <c r="F21" s="604">
        <f t="shared" si="4"/>
        <v>10047369</v>
      </c>
      <c r="G21" s="604">
        <f t="shared" si="4"/>
        <v>9033303</v>
      </c>
      <c r="H21" s="604">
        <f t="shared" si="4"/>
        <v>73727290</v>
      </c>
      <c r="I21" s="604">
        <f t="shared" si="4"/>
        <v>9763500</v>
      </c>
      <c r="J21" s="604">
        <f t="shared" si="4"/>
        <v>8153000</v>
      </c>
      <c r="K21" s="604">
        <f t="shared" si="4"/>
        <v>115594379</v>
      </c>
      <c r="L21" s="604">
        <f t="shared" si="4"/>
        <v>8163500</v>
      </c>
      <c r="M21" s="604">
        <f t="shared" si="4"/>
        <v>115594379</v>
      </c>
      <c r="N21" s="604">
        <f t="shared" si="4"/>
        <v>115594379</v>
      </c>
      <c r="O21" s="605">
        <f t="shared" si="5"/>
        <v>492740599</v>
      </c>
      <c r="P21" s="623"/>
    </row>
    <row r="22" spans="1:17" s="592" customFormat="1" x14ac:dyDescent="0.25">
      <c r="A22" s="602" t="s">
        <v>261</v>
      </c>
      <c r="B22" s="603" t="s">
        <v>3</v>
      </c>
      <c r="C22" s="604">
        <f t="shared" si="4"/>
        <v>0</v>
      </c>
      <c r="D22" s="604">
        <f t="shared" si="4"/>
        <v>148201</v>
      </c>
      <c r="E22" s="604">
        <f t="shared" si="4"/>
        <v>50000</v>
      </c>
      <c r="F22" s="604">
        <f t="shared" si="4"/>
        <v>692814</v>
      </c>
      <c r="G22" s="604">
        <f t="shared" si="4"/>
        <v>1035520</v>
      </c>
      <c r="H22" s="604">
        <f t="shared" si="4"/>
        <v>19878767</v>
      </c>
      <c r="I22" s="604">
        <f t="shared" si="4"/>
        <v>0</v>
      </c>
      <c r="J22" s="604">
        <f t="shared" si="4"/>
        <v>0</v>
      </c>
      <c r="K22" s="604">
        <f t="shared" si="4"/>
        <v>0</v>
      </c>
      <c r="L22" s="604">
        <f t="shared" si="4"/>
        <v>0</v>
      </c>
      <c r="M22" s="604">
        <f t="shared" si="4"/>
        <v>0</v>
      </c>
      <c r="N22" s="604">
        <f t="shared" si="4"/>
        <v>27000</v>
      </c>
      <c r="O22" s="605">
        <f t="shared" si="5"/>
        <v>21832302</v>
      </c>
      <c r="P22" s="593"/>
    </row>
    <row r="23" spans="1:17" s="595" customFormat="1" x14ac:dyDescent="0.25">
      <c r="A23" s="602" t="s">
        <v>262</v>
      </c>
      <c r="B23" s="603" t="s">
        <v>4</v>
      </c>
      <c r="C23" s="604">
        <f t="shared" si="4"/>
        <v>0</v>
      </c>
      <c r="D23" s="604">
        <f t="shared" si="4"/>
        <v>2399853</v>
      </c>
      <c r="E23" s="604">
        <f t="shared" si="4"/>
        <v>38231779</v>
      </c>
      <c r="F23" s="604">
        <f t="shared" si="4"/>
        <v>27369078</v>
      </c>
      <c r="G23" s="604">
        <f t="shared" si="4"/>
        <v>31638186</v>
      </c>
      <c r="H23" s="604">
        <f t="shared" si="4"/>
        <v>4552000</v>
      </c>
      <c r="I23" s="604">
        <f t="shared" si="4"/>
        <v>37356224</v>
      </c>
      <c r="J23" s="604">
        <f t="shared" si="4"/>
        <v>76671900</v>
      </c>
      <c r="K23" s="604">
        <f t="shared" si="4"/>
        <v>44497010</v>
      </c>
      <c r="L23" s="604">
        <f t="shared" si="4"/>
        <v>0</v>
      </c>
      <c r="M23" s="604">
        <f t="shared" si="4"/>
        <v>2602286</v>
      </c>
      <c r="N23" s="604">
        <f t="shared" si="4"/>
        <v>0</v>
      </c>
      <c r="O23" s="605">
        <f t="shared" si="5"/>
        <v>265318316</v>
      </c>
      <c r="P23" s="623"/>
    </row>
    <row r="24" spans="1:17" s="592" customFormat="1" ht="26.4" x14ac:dyDescent="0.25">
      <c r="A24" s="602" t="s">
        <v>263</v>
      </c>
      <c r="B24" s="603" t="s">
        <v>264</v>
      </c>
      <c r="C24" s="604">
        <f t="shared" si="4"/>
        <v>0</v>
      </c>
      <c r="D24" s="604">
        <f t="shared" si="4"/>
        <v>0</v>
      </c>
      <c r="E24" s="604">
        <f t="shared" si="4"/>
        <v>0</v>
      </c>
      <c r="F24" s="604">
        <f t="shared" si="4"/>
        <v>0</v>
      </c>
      <c r="G24" s="604">
        <f t="shared" si="4"/>
        <v>0</v>
      </c>
      <c r="H24" s="604">
        <f t="shared" si="4"/>
        <v>0</v>
      </c>
      <c r="I24" s="604">
        <f t="shared" si="4"/>
        <v>0</v>
      </c>
      <c r="J24" s="604">
        <f t="shared" si="4"/>
        <v>0</v>
      </c>
      <c r="K24" s="604">
        <f t="shared" si="4"/>
        <v>0</v>
      </c>
      <c r="L24" s="604">
        <f t="shared" si="4"/>
        <v>0</v>
      </c>
      <c r="M24" s="604">
        <f t="shared" si="4"/>
        <v>0</v>
      </c>
      <c r="N24" s="604">
        <f t="shared" si="4"/>
        <v>0</v>
      </c>
      <c r="O24" s="605">
        <f t="shared" si="5"/>
        <v>0</v>
      </c>
      <c r="P24" s="593"/>
    </row>
    <row r="25" spans="1:17" s="592" customFormat="1" ht="26.4" x14ac:dyDescent="0.25">
      <c r="A25" s="602" t="s">
        <v>265</v>
      </c>
      <c r="B25" s="606" t="s">
        <v>266</v>
      </c>
      <c r="C25" s="607">
        <f>C17+C18+C19+C20+C21+C22+C23+C24</f>
        <v>24843989.333333336</v>
      </c>
      <c r="D25" s="607">
        <f t="shared" ref="D25:O25" si="6">D17+D18+D19+D20+D21+D22+D23+D24</f>
        <v>29962841.686570466</v>
      </c>
      <c r="E25" s="607">
        <f t="shared" si="6"/>
        <v>64359284.447724856</v>
      </c>
      <c r="F25" s="607">
        <f t="shared" si="6"/>
        <v>69914695</v>
      </c>
      <c r="G25" s="607">
        <f t="shared" si="6"/>
        <v>63499677.688695118</v>
      </c>
      <c r="H25" s="607">
        <f t="shared" si="6"/>
        <v>141772562.68869513</v>
      </c>
      <c r="I25" s="607">
        <f t="shared" si="6"/>
        <v>65478025.041828968</v>
      </c>
      <c r="J25" s="607">
        <f t="shared" si="6"/>
        <v>101660113.68657047</v>
      </c>
      <c r="K25" s="607">
        <f t="shared" si="6"/>
        <v>177026603.68657047</v>
      </c>
      <c r="L25" s="607">
        <f t="shared" si="6"/>
        <v>26878428.686570466</v>
      </c>
      <c r="M25" s="607">
        <f t="shared" si="6"/>
        <v>134736879.68657047</v>
      </c>
      <c r="N25" s="607">
        <f t="shared" si="6"/>
        <v>150121805.68657047</v>
      </c>
      <c r="O25" s="605">
        <f t="shared" si="6"/>
        <v>1050254907.3197002</v>
      </c>
      <c r="P25" s="593"/>
    </row>
    <row r="26" spans="1:17" s="592" customFormat="1" ht="24.75" customHeight="1" thickBot="1" x14ac:dyDescent="0.3">
      <c r="A26" s="608" t="s">
        <v>267</v>
      </c>
      <c r="B26" s="609" t="s">
        <v>268</v>
      </c>
      <c r="C26" s="610">
        <v>5742419</v>
      </c>
      <c r="D26" s="610"/>
      <c r="E26" s="610"/>
      <c r="F26" s="610"/>
      <c r="G26" s="610"/>
      <c r="H26" s="610"/>
      <c r="I26" s="610"/>
      <c r="J26" s="610"/>
      <c r="K26" s="610"/>
      <c r="L26" s="610"/>
      <c r="M26" s="610"/>
      <c r="N26" s="610"/>
      <c r="O26" s="611">
        <f>SUM(C26:N26)</f>
        <v>5742419</v>
      </c>
      <c r="P26" s="593"/>
    </row>
    <row r="27" spans="1:17" s="592" customFormat="1" ht="27" thickBot="1" x14ac:dyDescent="0.3">
      <c r="A27" s="612" t="s">
        <v>269</v>
      </c>
      <c r="B27" s="613" t="s">
        <v>270</v>
      </c>
      <c r="C27" s="614">
        <f>C25+C26</f>
        <v>30586408.333333336</v>
      </c>
      <c r="D27" s="614">
        <f t="shared" ref="D27:O27" si="7">D25+D26</f>
        <v>29962841.686570466</v>
      </c>
      <c r="E27" s="614">
        <f t="shared" si="7"/>
        <v>64359284.447724856</v>
      </c>
      <c r="F27" s="614">
        <f t="shared" si="7"/>
        <v>69914695</v>
      </c>
      <c r="G27" s="614">
        <f t="shared" si="7"/>
        <v>63499677.688695118</v>
      </c>
      <c r="H27" s="614">
        <f t="shared" si="7"/>
        <v>141772562.68869513</v>
      </c>
      <c r="I27" s="614">
        <f t="shared" si="7"/>
        <v>65478025.041828968</v>
      </c>
      <c r="J27" s="614">
        <f t="shared" si="7"/>
        <v>101660113.68657047</v>
      </c>
      <c r="K27" s="614">
        <f t="shared" si="7"/>
        <v>177026603.68657047</v>
      </c>
      <c r="L27" s="614">
        <f t="shared" si="7"/>
        <v>26878428.686570466</v>
      </c>
      <c r="M27" s="614">
        <f t="shared" si="7"/>
        <v>134736879.68657047</v>
      </c>
      <c r="N27" s="614">
        <f t="shared" si="7"/>
        <v>150121805.68657047</v>
      </c>
      <c r="O27" s="615">
        <f t="shared" si="7"/>
        <v>1055997326.3197002</v>
      </c>
      <c r="P27" s="593"/>
    </row>
    <row r="30" spans="1:17" s="592" customFormat="1" ht="33" customHeight="1" x14ac:dyDescent="0.3">
      <c r="B30" s="831" t="s">
        <v>329</v>
      </c>
      <c r="C30" s="831"/>
      <c r="D30" s="831"/>
      <c r="E30" s="831"/>
      <c r="F30" s="831"/>
      <c r="G30" s="831"/>
      <c r="H30" s="831"/>
      <c r="I30" s="831"/>
      <c r="J30" s="831"/>
      <c r="K30" s="831"/>
      <c r="L30" s="831"/>
      <c r="M30" s="831"/>
      <c r="N30" s="831"/>
      <c r="O30" s="831"/>
      <c r="P30" s="593"/>
    </row>
    <row r="31" spans="1:17" s="592" customFormat="1" ht="18" thickBot="1" x14ac:dyDescent="0.35">
      <c r="B31" s="624"/>
      <c r="C31" s="624"/>
      <c r="D31" s="624"/>
      <c r="E31" s="624"/>
      <c r="F31" s="624"/>
      <c r="G31" s="624"/>
      <c r="H31" s="624"/>
      <c r="I31" s="624"/>
      <c r="J31" s="624"/>
      <c r="K31" s="624"/>
      <c r="L31" s="624"/>
      <c r="M31" s="624"/>
      <c r="N31" s="624"/>
      <c r="O31" s="624"/>
      <c r="P31" s="593"/>
    </row>
    <row r="32" spans="1:17" s="601" customFormat="1" ht="27.6" x14ac:dyDescent="0.3">
      <c r="A32" s="596"/>
      <c r="B32" s="625" t="s">
        <v>271</v>
      </c>
      <c r="C32" s="598" t="s">
        <v>229</v>
      </c>
      <c r="D32" s="598" t="s">
        <v>230</v>
      </c>
      <c r="E32" s="598" t="s">
        <v>231</v>
      </c>
      <c r="F32" s="598" t="s">
        <v>232</v>
      </c>
      <c r="G32" s="598" t="s">
        <v>233</v>
      </c>
      <c r="H32" s="598" t="s">
        <v>234</v>
      </c>
      <c r="I32" s="598" t="s">
        <v>235</v>
      </c>
      <c r="J32" s="598" t="s">
        <v>236</v>
      </c>
      <c r="K32" s="598" t="s">
        <v>237</v>
      </c>
      <c r="L32" s="598" t="s">
        <v>238</v>
      </c>
      <c r="M32" s="598" t="s">
        <v>239</v>
      </c>
      <c r="N32" s="598" t="s">
        <v>240</v>
      </c>
      <c r="O32" s="599" t="s">
        <v>154</v>
      </c>
      <c r="P32" s="600"/>
    </row>
    <row r="33" spans="1:17" s="592" customFormat="1" ht="26.4" x14ac:dyDescent="0.25">
      <c r="A33" s="602" t="s">
        <v>122</v>
      </c>
      <c r="B33" s="603" t="s">
        <v>241</v>
      </c>
      <c r="C33" s="604">
        <f>14768686+281000</f>
        <v>15049686</v>
      </c>
      <c r="D33" s="604">
        <f>14768686+281000</f>
        <v>15049686</v>
      </c>
      <c r="E33" s="604">
        <f>281000+14768686+11042335</f>
        <v>26092021</v>
      </c>
      <c r="F33" s="604">
        <f>281000+14768686</f>
        <v>15049686</v>
      </c>
      <c r="G33" s="604">
        <f>14768686+281000</f>
        <v>15049686</v>
      </c>
      <c r="H33" s="604">
        <f>14768686+281094</f>
        <v>15049780</v>
      </c>
      <c r="I33" s="604">
        <v>14768686</v>
      </c>
      <c r="J33" s="604">
        <v>14768686</v>
      </c>
      <c r="K33" s="604">
        <v>14768686</v>
      </c>
      <c r="L33" s="604">
        <v>14768686</v>
      </c>
      <c r="M33" s="604">
        <v>14768686</v>
      </c>
      <c r="N33" s="604">
        <v>14768686</v>
      </c>
      <c r="O33" s="605">
        <f t="shared" ref="O33:O41" si="8">SUM(C33:N33)</f>
        <v>189952661</v>
      </c>
      <c r="P33" s="593"/>
    </row>
    <row r="34" spans="1:17" s="592" customFormat="1" x14ac:dyDescent="0.25">
      <c r="A34" s="602" t="s">
        <v>123</v>
      </c>
      <c r="B34" s="603" t="s">
        <v>16</v>
      </c>
      <c r="C34" s="610">
        <v>300000</v>
      </c>
      <c r="D34" s="610">
        <v>300000</v>
      </c>
      <c r="E34" s="604"/>
      <c r="F34" s="604">
        <v>42700000</v>
      </c>
      <c r="G34" s="604"/>
      <c r="H34" s="604"/>
      <c r="I34" s="604"/>
      <c r="J34" s="604"/>
      <c r="K34" s="604">
        <v>42700000</v>
      </c>
      <c r="L34" s="604"/>
      <c r="M34" s="604"/>
      <c r="N34" s="604"/>
      <c r="O34" s="605">
        <f t="shared" si="8"/>
        <v>86000000</v>
      </c>
      <c r="P34" s="593"/>
    </row>
    <row r="35" spans="1:17" s="592" customFormat="1" x14ac:dyDescent="0.25">
      <c r="A35" s="602" t="s">
        <v>124</v>
      </c>
      <c r="B35" s="603" t="s">
        <v>17</v>
      </c>
      <c r="C35" s="604">
        <v>1310962</v>
      </c>
      <c r="D35" s="604">
        <f>1310962+2399853</f>
        <v>3710815</v>
      </c>
      <c r="E35" s="604">
        <v>1310962</v>
      </c>
      <c r="F35" s="604">
        <v>1310962</v>
      </c>
      <c r="G35" s="604">
        <f>1310962+147780</f>
        <v>1458742</v>
      </c>
      <c r="H35" s="604">
        <f>1310962+2286000</f>
        <v>3596962</v>
      </c>
      <c r="I35" s="604">
        <v>100000</v>
      </c>
      <c r="J35" s="604">
        <v>100000</v>
      </c>
      <c r="K35" s="604">
        <v>1310962</v>
      </c>
      <c r="L35" s="604">
        <v>1310962</v>
      </c>
      <c r="M35" s="604">
        <v>1310962</v>
      </c>
      <c r="N35" s="604">
        <v>1310960</v>
      </c>
      <c r="O35" s="605">
        <f t="shared" si="8"/>
        <v>18143251</v>
      </c>
      <c r="P35" s="593"/>
    </row>
    <row r="36" spans="1:17" s="592" customFormat="1" ht="26.4" x14ac:dyDescent="0.25">
      <c r="A36" s="602" t="s">
        <v>125</v>
      </c>
      <c r="B36" s="603" t="s">
        <v>242</v>
      </c>
      <c r="C36" s="626"/>
      <c r="D36" s="626"/>
      <c r="E36" s="626"/>
      <c r="F36" s="626"/>
      <c r="G36" s="626"/>
      <c r="H36" s="626"/>
      <c r="I36" s="626"/>
      <c r="J36" s="626"/>
      <c r="K36" s="626"/>
      <c r="L36" s="626"/>
      <c r="M36" s="626"/>
      <c r="N36" s="626"/>
      <c r="O36" s="605">
        <f t="shared" si="8"/>
        <v>0</v>
      </c>
      <c r="P36" s="593"/>
    </row>
    <row r="37" spans="1:17" s="592" customFormat="1" ht="26.4" x14ac:dyDescent="0.25">
      <c r="A37" s="602" t="s">
        <v>143</v>
      </c>
      <c r="B37" s="603" t="s">
        <v>243</v>
      </c>
      <c r="C37" s="626"/>
      <c r="D37" s="626"/>
      <c r="E37" s="626"/>
      <c r="F37" s="626"/>
      <c r="G37" s="626"/>
      <c r="H37" s="626"/>
      <c r="I37" s="626"/>
      <c r="J37" s="626"/>
      <c r="K37" s="626"/>
      <c r="L37" s="626"/>
      <c r="M37" s="626"/>
      <c r="N37" s="626"/>
      <c r="O37" s="605">
        <f t="shared" si="8"/>
        <v>0</v>
      </c>
      <c r="P37" s="593"/>
    </row>
    <row r="38" spans="1:17" s="592" customFormat="1" x14ac:dyDescent="0.25">
      <c r="A38" s="602" t="s">
        <v>145</v>
      </c>
      <c r="B38" s="603" t="s">
        <v>22</v>
      </c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5">
        <f t="shared" si="8"/>
        <v>0</v>
      </c>
      <c r="P38" s="593"/>
    </row>
    <row r="39" spans="1:17" s="592" customFormat="1" ht="26.4" x14ac:dyDescent="0.25">
      <c r="A39" s="602" t="s">
        <v>244</v>
      </c>
      <c r="B39" s="603" t="s">
        <v>245</v>
      </c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5">
        <f t="shared" si="8"/>
        <v>0</v>
      </c>
      <c r="P39" s="593"/>
    </row>
    <row r="40" spans="1:17" s="592" customFormat="1" ht="26.4" x14ac:dyDescent="0.25">
      <c r="A40" s="602" t="s">
        <v>246</v>
      </c>
      <c r="B40" s="606" t="s">
        <v>247</v>
      </c>
      <c r="C40" s="607">
        <f t="shared" ref="C40:N40" si="9">C33+C34+C35+C36+C37+C38+C39</f>
        <v>16660648</v>
      </c>
      <c r="D40" s="607">
        <f t="shared" si="9"/>
        <v>19060501</v>
      </c>
      <c r="E40" s="607">
        <f t="shared" si="9"/>
        <v>27402983</v>
      </c>
      <c r="F40" s="607">
        <f t="shared" si="9"/>
        <v>59060648</v>
      </c>
      <c r="G40" s="607">
        <f t="shared" si="9"/>
        <v>16508428</v>
      </c>
      <c r="H40" s="607">
        <f t="shared" si="9"/>
        <v>18646742</v>
      </c>
      <c r="I40" s="607">
        <f t="shared" si="9"/>
        <v>14868686</v>
      </c>
      <c r="J40" s="607">
        <f t="shared" si="9"/>
        <v>14868686</v>
      </c>
      <c r="K40" s="607">
        <f t="shared" si="9"/>
        <v>58779648</v>
      </c>
      <c r="L40" s="607">
        <f t="shared" si="9"/>
        <v>16079648</v>
      </c>
      <c r="M40" s="607">
        <f t="shared" si="9"/>
        <v>16079648</v>
      </c>
      <c r="N40" s="607">
        <f t="shared" si="9"/>
        <v>16079646</v>
      </c>
      <c r="O40" s="605">
        <f t="shared" si="8"/>
        <v>294095912</v>
      </c>
      <c r="P40" s="593"/>
    </row>
    <row r="41" spans="1:17" s="592" customFormat="1" ht="24" customHeight="1" x14ac:dyDescent="0.25">
      <c r="A41" s="602" t="s">
        <v>248</v>
      </c>
      <c r="B41" s="603" t="s">
        <v>272</v>
      </c>
      <c r="C41" s="604"/>
      <c r="D41" s="604"/>
      <c r="E41" s="604"/>
      <c r="F41" s="604"/>
      <c r="G41" s="604">
        <v>726463198</v>
      </c>
      <c r="H41" s="604"/>
      <c r="I41" s="604"/>
      <c r="J41" s="604"/>
      <c r="K41" s="604"/>
      <c r="L41" s="604"/>
      <c r="M41" s="604"/>
      <c r="N41" s="604"/>
      <c r="O41" s="605">
        <f t="shared" si="8"/>
        <v>726463198</v>
      </c>
      <c r="P41" s="593"/>
    </row>
    <row r="42" spans="1:17" s="592" customFormat="1" ht="27" thickBot="1" x14ac:dyDescent="0.3">
      <c r="A42" s="627" t="s">
        <v>250</v>
      </c>
      <c r="B42" s="628" t="s">
        <v>251</v>
      </c>
      <c r="C42" s="629">
        <f t="shared" ref="C42:O42" si="10">C40+C41</f>
        <v>16660648</v>
      </c>
      <c r="D42" s="629">
        <f t="shared" si="10"/>
        <v>19060501</v>
      </c>
      <c r="E42" s="629">
        <f t="shared" si="10"/>
        <v>27402983</v>
      </c>
      <c r="F42" s="629">
        <f t="shared" si="10"/>
        <v>59060648</v>
      </c>
      <c r="G42" s="629">
        <f t="shared" si="10"/>
        <v>742971626</v>
      </c>
      <c r="H42" s="629">
        <f t="shared" si="10"/>
        <v>18646742</v>
      </c>
      <c r="I42" s="629">
        <f t="shared" si="10"/>
        <v>14868686</v>
      </c>
      <c r="J42" s="629">
        <f t="shared" si="10"/>
        <v>14868686</v>
      </c>
      <c r="K42" s="629">
        <f t="shared" si="10"/>
        <v>58779648</v>
      </c>
      <c r="L42" s="629">
        <f t="shared" si="10"/>
        <v>16079648</v>
      </c>
      <c r="M42" s="629">
        <f t="shared" si="10"/>
        <v>16079648</v>
      </c>
      <c r="N42" s="629">
        <f t="shared" si="10"/>
        <v>16079646</v>
      </c>
      <c r="O42" s="630">
        <f t="shared" si="10"/>
        <v>1020559110</v>
      </c>
      <c r="P42" s="593"/>
    </row>
    <row r="43" spans="1:17" s="592" customFormat="1" ht="19.5" customHeight="1" thickBot="1" x14ac:dyDescent="0.3">
      <c r="A43" s="616"/>
      <c r="B43" s="617"/>
      <c r="C43" s="618"/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9"/>
      <c r="P43" s="593"/>
    </row>
    <row r="44" spans="1:17" s="601" customFormat="1" ht="27.6" x14ac:dyDescent="0.3">
      <c r="A44" s="596"/>
      <c r="B44" s="625" t="s">
        <v>273</v>
      </c>
      <c r="C44" s="631" t="s">
        <v>229</v>
      </c>
      <c r="D44" s="631" t="s">
        <v>230</v>
      </c>
      <c r="E44" s="631" t="s">
        <v>231</v>
      </c>
      <c r="F44" s="631" t="s">
        <v>232</v>
      </c>
      <c r="G44" s="631" t="s">
        <v>233</v>
      </c>
      <c r="H44" s="631" t="s">
        <v>234</v>
      </c>
      <c r="I44" s="631" t="s">
        <v>235</v>
      </c>
      <c r="J44" s="631" t="s">
        <v>236</v>
      </c>
      <c r="K44" s="631" t="s">
        <v>237</v>
      </c>
      <c r="L44" s="631" t="s">
        <v>238</v>
      </c>
      <c r="M44" s="631" t="s">
        <v>239</v>
      </c>
      <c r="N44" s="631" t="s">
        <v>240</v>
      </c>
      <c r="O44" s="599" t="s">
        <v>154</v>
      </c>
      <c r="P44" s="600"/>
    </row>
    <row r="45" spans="1:17" s="617" customFormat="1" ht="19.5" customHeight="1" x14ac:dyDescent="0.25">
      <c r="A45" s="632" t="s">
        <v>252</v>
      </c>
      <c r="B45" s="603" t="s">
        <v>33</v>
      </c>
      <c r="C45" s="633">
        <f>+(35137600-480000)/12</f>
        <v>2888133.3333333335</v>
      </c>
      <c r="D45" s="633">
        <v>2888133</v>
      </c>
      <c r="E45" s="633">
        <v>2888133</v>
      </c>
      <c r="F45" s="633">
        <f>2888133+480000</f>
        <v>3368133</v>
      </c>
      <c r="G45" s="633">
        <v>2888133</v>
      </c>
      <c r="H45" s="633">
        <f>2888133+150000</f>
        <v>3038133</v>
      </c>
      <c r="I45" s="633">
        <v>2888133</v>
      </c>
      <c r="J45" s="633">
        <v>2888133</v>
      </c>
      <c r="K45" s="633">
        <v>2888134</v>
      </c>
      <c r="L45" s="633">
        <v>2888134</v>
      </c>
      <c r="M45" s="633">
        <v>2888134</v>
      </c>
      <c r="N45" s="633">
        <v>2888134</v>
      </c>
      <c r="O45" s="634">
        <f t="shared" ref="O45:O52" si="11">SUM(C45:N45)</f>
        <v>35287600.333333336</v>
      </c>
      <c r="P45" s="635"/>
    </row>
    <row r="46" spans="1:17" s="617" customFormat="1" ht="19.5" customHeight="1" x14ac:dyDescent="0.25">
      <c r="A46" s="632" t="s">
        <v>253</v>
      </c>
      <c r="B46" s="603" t="s">
        <v>254</v>
      </c>
      <c r="C46" s="633">
        <v>590812</v>
      </c>
      <c r="D46" s="633">
        <v>590812</v>
      </c>
      <c r="E46" s="633">
        <v>590812</v>
      </c>
      <c r="F46" s="633">
        <v>590812</v>
      </c>
      <c r="G46" s="633">
        <v>689005</v>
      </c>
      <c r="H46" s="633">
        <v>590812</v>
      </c>
      <c r="I46" s="633">
        <v>590812</v>
      </c>
      <c r="J46" s="633">
        <v>590812</v>
      </c>
      <c r="K46" s="633">
        <v>590812</v>
      </c>
      <c r="L46" s="633">
        <v>590812</v>
      </c>
      <c r="M46" s="633">
        <v>590812</v>
      </c>
      <c r="N46" s="633">
        <v>590812</v>
      </c>
      <c r="O46" s="634">
        <f t="shared" si="11"/>
        <v>7187937</v>
      </c>
      <c r="P46" s="635"/>
    </row>
    <row r="47" spans="1:17" s="617" customFormat="1" ht="19.5" customHeight="1" x14ac:dyDescent="0.25">
      <c r="A47" s="632" t="s">
        <v>255</v>
      </c>
      <c r="B47" s="603" t="s">
        <v>256</v>
      </c>
      <c r="C47" s="633">
        <v>5817910</v>
      </c>
      <c r="D47" s="633">
        <v>5817910</v>
      </c>
      <c r="E47" s="633">
        <v>5817910</v>
      </c>
      <c r="F47" s="633">
        <f>5817910+2800000+10255080-19800+280000+698500</f>
        <v>19831690</v>
      </c>
      <c r="G47" s="633">
        <f>5817910+2400300+2400300-40000</f>
        <v>10578510</v>
      </c>
      <c r="H47" s="633">
        <f>5817910+21724550-17+350000</f>
        <v>27892443</v>
      </c>
      <c r="I47" s="633">
        <f>5817910+1568000</f>
        <v>7385910</v>
      </c>
      <c r="J47" s="633">
        <v>5817910</v>
      </c>
      <c r="K47" s="633">
        <v>5817910</v>
      </c>
      <c r="L47" s="633">
        <f>5817910+2079714</f>
        <v>7897624</v>
      </c>
      <c r="M47" s="633">
        <v>5817910</v>
      </c>
      <c r="N47" s="633">
        <v>5817910</v>
      </c>
      <c r="O47" s="634">
        <f t="shared" si="11"/>
        <v>114311547</v>
      </c>
      <c r="P47" s="635"/>
      <c r="Q47" s="635"/>
    </row>
    <row r="48" spans="1:17" s="617" customFormat="1" ht="19.5" customHeight="1" x14ac:dyDescent="0.25">
      <c r="A48" s="632" t="s">
        <v>257</v>
      </c>
      <c r="B48" s="603" t="s">
        <v>258</v>
      </c>
      <c r="C48" s="603">
        <v>300000</v>
      </c>
      <c r="D48" s="603">
        <v>300000</v>
      </c>
      <c r="E48" s="603">
        <v>300000</v>
      </c>
      <c r="F48" s="603">
        <v>400000</v>
      </c>
      <c r="G48" s="603">
        <v>300000</v>
      </c>
      <c r="H48" s="603">
        <v>400000</v>
      </c>
      <c r="I48" s="603">
        <v>300000</v>
      </c>
      <c r="J48" s="603">
        <v>300000</v>
      </c>
      <c r="K48" s="603">
        <v>400000</v>
      </c>
      <c r="L48" s="603">
        <v>400000</v>
      </c>
      <c r="M48" s="603">
        <v>300000</v>
      </c>
      <c r="N48" s="603">
        <v>300000</v>
      </c>
      <c r="O48" s="634">
        <f t="shared" si="11"/>
        <v>4000000</v>
      </c>
      <c r="P48" s="635"/>
    </row>
    <row r="49" spans="1:17" s="617" customFormat="1" ht="25.95" customHeight="1" x14ac:dyDescent="0.25">
      <c r="A49" s="632" t="s">
        <v>259</v>
      </c>
      <c r="B49" s="603" t="s">
        <v>260</v>
      </c>
      <c r="C49" s="633">
        <f>8003000+150000+10500</f>
        <v>8163500</v>
      </c>
      <c r="D49" s="633">
        <f>8003000+1600000+150000+1000000</f>
        <v>10753000</v>
      </c>
      <c r="E49" s="633">
        <f>8003000+150000</f>
        <v>8153000</v>
      </c>
      <c r="F49" s="633">
        <f>8003000+150000+10500+1584000+179869+120000</f>
        <v>10047369</v>
      </c>
      <c r="G49" s="633">
        <f>8003000+150000+725472+154831</f>
        <v>9033303</v>
      </c>
      <c r="H49" s="633">
        <f>8003000+150000+107441379-41867089</f>
        <v>73727290</v>
      </c>
      <c r="I49" s="633">
        <f>8003000+1600000+150000+10500</f>
        <v>9763500</v>
      </c>
      <c r="J49" s="633">
        <f t="shared" ref="J49" si="12">8003000+150000</f>
        <v>8153000</v>
      </c>
      <c r="K49" s="633">
        <f>8003000+150000+107441379</f>
        <v>115594379</v>
      </c>
      <c r="L49" s="633">
        <f>8003000+150000+10500</f>
        <v>8163500</v>
      </c>
      <c r="M49" s="633">
        <f>8003000+150000+107441379</f>
        <v>115594379</v>
      </c>
      <c r="N49" s="633">
        <f>8003000+150000+107441379</f>
        <v>115594379</v>
      </c>
      <c r="O49" s="634">
        <f>SUM(C49:N49)</f>
        <v>492740599</v>
      </c>
      <c r="P49" s="635"/>
      <c r="Q49" s="636"/>
    </row>
    <row r="50" spans="1:17" s="594" customFormat="1" ht="21.6" customHeight="1" x14ac:dyDescent="0.25">
      <c r="A50" s="632" t="s">
        <v>261</v>
      </c>
      <c r="B50" s="603" t="s">
        <v>3</v>
      </c>
      <c r="C50" s="633"/>
      <c r="D50" s="633">
        <v>148201</v>
      </c>
      <c r="E50" s="633"/>
      <c r="F50" s="633">
        <f>692852-38</f>
        <v>692814</v>
      </c>
      <c r="G50" s="633">
        <v>985520</v>
      </c>
      <c r="H50" s="633">
        <f>19344767+254000</f>
        <v>19598767</v>
      </c>
      <c r="I50" s="633"/>
      <c r="J50" s="633"/>
      <c r="K50" s="633"/>
      <c r="L50" s="633"/>
      <c r="M50" s="633"/>
      <c r="N50" s="633"/>
      <c r="O50" s="634">
        <f t="shared" si="11"/>
        <v>21425302</v>
      </c>
      <c r="P50" s="637"/>
      <c r="Q50" s="560"/>
    </row>
    <row r="51" spans="1:17" s="617" customFormat="1" ht="19.5" customHeight="1" x14ac:dyDescent="0.25">
      <c r="A51" s="632" t="s">
        <v>262</v>
      </c>
      <c r="B51" s="603" t="s">
        <v>4</v>
      </c>
      <c r="C51" s="633"/>
      <c r="D51" s="633">
        <v>2399853</v>
      </c>
      <c r="E51" s="633">
        <v>38231779</v>
      </c>
      <c r="F51" s="633">
        <v>27369078</v>
      </c>
      <c r="G51" s="633">
        <f>15954114+15684072</f>
        <v>31638186</v>
      </c>
      <c r="H51" s="633">
        <f>2266000+2286000</f>
        <v>4552000</v>
      </c>
      <c r="I51" s="633">
        <f>21272152+400000+15684072</f>
        <v>37356224</v>
      </c>
      <c r="J51" s="633">
        <f>5500000+39803756+31368144</f>
        <v>76671900</v>
      </c>
      <c r="K51" s="633">
        <f>43235010+500000+762000</f>
        <v>44497010</v>
      </c>
      <c r="L51" s="633"/>
      <c r="M51" s="633">
        <v>2602286</v>
      </c>
      <c r="N51" s="633"/>
      <c r="O51" s="634">
        <f t="shared" si="11"/>
        <v>265318316</v>
      </c>
      <c r="P51" s="635"/>
      <c r="Q51" s="560"/>
    </row>
    <row r="52" spans="1:17" s="594" customFormat="1" ht="26.4" x14ac:dyDescent="0.25">
      <c r="A52" s="632" t="s">
        <v>263</v>
      </c>
      <c r="B52" s="603" t="s">
        <v>264</v>
      </c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34">
        <f t="shared" si="11"/>
        <v>0</v>
      </c>
      <c r="P52" s="637"/>
      <c r="Q52" s="560"/>
    </row>
    <row r="53" spans="1:17" s="594" customFormat="1" ht="26.4" x14ac:dyDescent="0.25">
      <c r="A53" s="632" t="s">
        <v>265</v>
      </c>
      <c r="B53" s="606" t="s">
        <v>266</v>
      </c>
      <c r="C53" s="638">
        <f t="shared" ref="C53:O53" si="13">C45+C46+C47+C48+C49+C50+C51+C52</f>
        <v>17760355.333333336</v>
      </c>
      <c r="D53" s="638">
        <f t="shared" si="13"/>
        <v>22897909</v>
      </c>
      <c r="E53" s="638">
        <f t="shared" si="13"/>
        <v>55981634</v>
      </c>
      <c r="F53" s="638">
        <f t="shared" si="13"/>
        <v>62299896</v>
      </c>
      <c r="G53" s="638">
        <f t="shared" si="13"/>
        <v>56112657</v>
      </c>
      <c r="H53" s="638">
        <f t="shared" si="13"/>
        <v>129799445</v>
      </c>
      <c r="I53" s="638">
        <f t="shared" si="13"/>
        <v>58284579</v>
      </c>
      <c r="J53" s="638">
        <f t="shared" si="13"/>
        <v>94421755</v>
      </c>
      <c r="K53" s="638">
        <f t="shared" si="13"/>
        <v>169788245</v>
      </c>
      <c r="L53" s="638">
        <f t="shared" si="13"/>
        <v>19940070</v>
      </c>
      <c r="M53" s="638">
        <f t="shared" si="13"/>
        <v>127793521</v>
      </c>
      <c r="N53" s="638">
        <f t="shared" si="13"/>
        <v>125191235</v>
      </c>
      <c r="O53" s="634">
        <f t="shared" si="13"/>
        <v>940271301.33333337</v>
      </c>
      <c r="P53" s="637"/>
    </row>
    <row r="54" spans="1:17" s="594" customFormat="1" ht="19.5" customHeight="1" x14ac:dyDescent="0.25">
      <c r="A54" s="632" t="s">
        <v>267</v>
      </c>
      <c r="B54" s="603" t="s">
        <v>274</v>
      </c>
      <c r="C54" s="633">
        <f>C69+C97+C124+5742419-7795455</f>
        <v>4529321</v>
      </c>
      <c r="D54" s="633">
        <f t="shared" ref="D54:N54" si="14">D69+D97+D124</f>
        <v>6786245.6865704674</v>
      </c>
      <c r="E54" s="633">
        <f t="shared" si="14"/>
        <v>8098963.4477248583</v>
      </c>
      <c r="F54" s="633">
        <f t="shared" si="14"/>
        <v>7336112</v>
      </c>
      <c r="G54" s="633">
        <f>G69+G97+G124</f>
        <v>7004661.6886951132</v>
      </c>
      <c r="H54" s="633">
        <f t="shared" si="14"/>
        <v>6670066.6886951132</v>
      </c>
      <c r="I54" s="633">
        <f t="shared" si="14"/>
        <v>6032474.0418289658</v>
      </c>
      <c r="J54" s="633">
        <f t="shared" si="14"/>
        <v>6959671.6865704674</v>
      </c>
      <c r="K54" s="633">
        <f t="shared" si="14"/>
        <v>6959671.6865704674</v>
      </c>
      <c r="L54" s="633">
        <f t="shared" si="14"/>
        <v>6659671.6865704674</v>
      </c>
      <c r="M54" s="633">
        <f t="shared" si="14"/>
        <v>6664671.6865704674</v>
      </c>
      <c r="N54" s="633">
        <f t="shared" si="14"/>
        <v>6586277.6865704674</v>
      </c>
      <c r="O54" s="634">
        <f>SUM(C54:N54)</f>
        <v>80287808.986366853</v>
      </c>
      <c r="P54" s="637"/>
    </row>
    <row r="55" spans="1:17" s="594" customFormat="1" ht="19.5" customHeight="1" thickBot="1" x14ac:dyDescent="0.3">
      <c r="A55" s="639" t="s">
        <v>269</v>
      </c>
      <c r="B55" s="628" t="s">
        <v>270</v>
      </c>
      <c r="C55" s="640">
        <f t="shared" ref="C55:O55" si="15">C53+C54</f>
        <v>22289676.333333336</v>
      </c>
      <c r="D55" s="640">
        <f t="shared" si="15"/>
        <v>29684154.686570466</v>
      </c>
      <c r="E55" s="640">
        <f t="shared" si="15"/>
        <v>64080597.447724856</v>
      </c>
      <c r="F55" s="640">
        <f t="shared" si="15"/>
        <v>69636008</v>
      </c>
      <c r="G55" s="640">
        <f t="shared" si="15"/>
        <v>63117318.68869511</v>
      </c>
      <c r="H55" s="640">
        <f t="shared" si="15"/>
        <v>136469511.6886951</v>
      </c>
      <c r="I55" s="640">
        <f t="shared" si="15"/>
        <v>64317053.041828968</v>
      </c>
      <c r="J55" s="640">
        <f t="shared" si="15"/>
        <v>101381426.68657047</v>
      </c>
      <c r="K55" s="640">
        <f t="shared" si="15"/>
        <v>176747916.68657047</v>
      </c>
      <c r="L55" s="640">
        <f t="shared" si="15"/>
        <v>26599741.686570466</v>
      </c>
      <c r="M55" s="640">
        <f t="shared" si="15"/>
        <v>134458192.68657047</v>
      </c>
      <c r="N55" s="640">
        <f t="shared" si="15"/>
        <v>131777512.68657047</v>
      </c>
      <c r="O55" s="641">
        <f t="shared" si="15"/>
        <v>1020559110.3197002</v>
      </c>
      <c r="P55" s="637"/>
    </row>
    <row r="58" spans="1:17" s="592" customFormat="1" ht="33" customHeight="1" x14ac:dyDescent="0.3">
      <c r="B58" s="831" t="s">
        <v>330</v>
      </c>
      <c r="C58" s="831"/>
      <c r="D58" s="831"/>
      <c r="E58" s="831"/>
      <c r="F58" s="831"/>
      <c r="G58" s="831"/>
      <c r="H58" s="831"/>
      <c r="I58" s="831"/>
      <c r="J58" s="831"/>
      <c r="K58" s="831"/>
      <c r="L58" s="831"/>
      <c r="M58" s="831"/>
      <c r="N58" s="831"/>
      <c r="O58" s="831"/>
      <c r="P58" s="593"/>
    </row>
    <row r="59" spans="1:17" s="592" customFormat="1" ht="9" customHeight="1" thickBot="1" x14ac:dyDescent="0.3">
      <c r="B59" s="594"/>
      <c r="O59" s="595"/>
      <c r="P59" s="593"/>
    </row>
    <row r="60" spans="1:17" s="601" customFormat="1" ht="27.6" x14ac:dyDescent="0.3">
      <c r="A60" s="596"/>
      <c r="B60" s="625" t="s">
        <v>271</v>
      </c>
      <c r="C60" s="598" t="s">
        <v>229</v>
      </c>
      <c r="D60" s="598" t="s">
        <v>230</v>
      </c>
      <c r="E60" s="598" t="s">
        <v>231</v>
      </c>
      <c r="F60" s="598" t="s">
        <v>232</v>
      </c>
      <c r="G60" s="598" t="s">
        <v>233</v>
      </c>
      <c r="H60" s="598" t="s">
        <v>234</v>
      </c>
      <c r="I60" s="598" t="s">
        <v>235</v>
      </c>
      <c r="J60" s="598" t="s">
        <v>236</v>
      </c>
      <c r="K60" s="598" t="s">
        <v>237</v>
      </c>
      <c r="L60" s="598" t="s">
        <v>238</v>
      </c>
      <c r="M60" s="598" t="s">
        <v>239</v>
      </c>
      <c r="N60" s="598" t="s">
        <v>240</v>
      </c>
      <c r="O60" s="599" t="s">
        <v>154</v>
      </c>
      <c r="P60" s="600"/>
    </row>
    <row r="61" spans="1:17" s="592" customFormat="1" ht="26.4" x14ac:dyDescent="0.25">
      <c r="A61" s="602" t="s">
        <v>122</v>
      </c>
      <c r="B61" s="603" t="s">
        <v>241</v>
      </c>
      <c r="C61" s="604"/>
      <c r="D61" s="604"/>
      <c r="E61" s="604"/>
      <c r="F61" s="604"/>
      <c r="G61" s="604">
        <v>103672</v>
      </c>
      <c r="H61" s="604">
        <v>652464</v>
      </c>
      <c r="I61" s="604">
        <f>838421-756136</f>
        <v>82285</v>
      </c>
      <c r="J61" s="604"/>
      <c r="K61" s="604"/>
      <c r="L61" s="604"/>
      <c r="M61" s="604"/>
      <c r="N61" s="604"/>
      <c r="O61" s="605">
        <f t="shared" ref="O61:O69" si="16">SUM(C61:N61)</f>
        <v>838421</v>
      </c>
      <c r="P61" s="593"/>
    </row>
    <row r="62" spans="1:17" s="592" customFormat="1" x14ac:dyDescent="0.25">
      <c r="A62" s="602" t="s">
        <v>123</v>
      </c>
      <c r="B62" s="603" t="s">
        <v>16</v>
      </c>
      <c r="C62" s="610"/>
      <c r="D62" s="610"/>
      <c r="E62" s="604"/>
      <c r="F62" s="604"/>
      <c r="G62" s="604"/>
      <c r="H62" s="604"/>
      <c r="I62" s="604"/>
      <c r="J62" s="604"/>
      <c r="K62" s="604"/>
      <c r="L62" s="604"/>
      <c r="M62" s="604"/>
      <c r="N62" s="604"/>
      <c r="O62" s="605">
        <f t="shared" si="16"/>
        <v>0</v>
      </c>
      <c r="P62" s="593"/>
    </row>
    <row r="63" spans="1:17" s="592" customFormat="1" x14ac:dyDescent="0.25">
      <c r="A63" s="602" t="s">
        <v>124</v>
      </c>
      <c r="B63" s="603" t="s">
        <v>17</v>
      </c>
      <c r="C63" s="604"/>
      <c r="D63" s="604"/>
      <c r="E63" s="604"/>
      <c r="F63" s="604"/>
      <c r="G63" s="604"/>
      <c r="H63" s="604"/>
      <c r="I63" s="604"/>
      <c r="J63" s="604"/>
      <c r="K63" s="604"/>
      <c r="L63" s="604"/>
      <c r="M63" s="604"/>
      <c r="N63" s="604"/>
      <c r="O63" s="605">
        <f t="shared" si="16"/>
        <v>0</v>
      </c>
      <c r="P63" s="593"/>
    </row>
    <row r="64" spans="1:17" s="592" customFormat="1" ht="26.4" x14ac:dyDescent="0.25">
      <c r="A64" s="602" t="s">
        <v>125</v>
      </c>
      <c r="B64" s="603" t="s">
        <v>242</v>
      </c>
      <c r="C64" s="62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05">
        <f t="shared" si="16"/>
        <v>0</v>
      </c>
      <c r="P64" s="593"/>
    </row>
    <row r="65" spans="1:17" s="592" customFormat="1" ht="26.4" x14ac:dyDescent="0.25">
      <c r="A65" s="602" t="s">
        <v>143</v>
      </c>
      <c r="B65" s="603" t="s">
        <v>243</v>
      </c>
      <c r="C65" s="626"/>
      <c r="D65" s="626"/>
      <c r="E65" s="626"/>
      <c r="F65" s="626"/>
      <c r="G65" s="626"/>
      <c r="H65" s="626"/>
      <c r="I65" s="626"/>
      <c r="J65" s="626"/>
      <c r="K65" s="626"/>
      <c r="L65" s="626"/>
      <c r="M65" s="626"/>
      <c r="N65" s="626"/>
      <c r="O65" s="605">
        <f t="shared" si="16"/>
        <v>0</v>
      </c>
      <c r="P65" s="593"/>
    </row>
    <row r="66" spans="1:17" s="592" customFormat="1" x14ac:dyDescent="0.25">
      <c r="A66" s="602" t="s">
        <v>145</v>
      </c>
      <c r="B66" s="603" t="s">
        <v>22</v>
      </c>
      <c r="C66" s="604"/>
      <c r="D66" s="604"/>
      <c r="E66" s="604"/>
      <c r="F66" s="604"/>
      <c r="G66" s="604"/>
      <c r="H66" s="604"/>
      <c r="I66" s="604"/>
      <c r="J66" s="604"/>
      <c r="K66" s="604"/>
      <c r="L66" s="604"/>
      <c r="M66" s="604"/>
      <c r="N66" s="604"/>
      <c r="O66" s="605">
        <f t="shared" si="16"/>
        <v>0</v>
      </c>
      <c r="P66" s="593"/>
    </row>
    <row r="67" spans="1:17" s="592" customFormat="1" ht="26.4" x14ac:dyDescent="0.25">
      <c r="A67" s="602" t="s">
        <v>244</v>
      </c>
      <c r="B67" s="603" t="s">
        <v>245</v>
      </c>
      <c r="C67" s="604"/>
      <c r="D67" s="604"/>
      <c r="E67" s="604"/>
      <c r="F67" s="604"/>
      <c r="G67" s="604"/>
      <c r="H67" s="604"/>
      <c r="I67" s="604"/>
      <c r="J67" s="604"/>
      <c r="K67" s="604"/>
      <c r="L67" s="604"/>
      <c r="M67" s="604"/>
      <c r="N67" s="604"/>
      <c r="O67" s="605">
        <f t="shared" si="16"/>
        <v>0</v>
      </c>
      <c r="P67" s="593"/>
    </row>
    <row r="68" spans="1:17" s="592" customFormat="1" ht="26.4" x14ac:dyDescent="0.25">
      <c r="A68" s="602" t="s">
        <v>246</v>
      </c>
      <c r="B68" s="606" t="s">
        <v>247</v>
      </c>
      <c r="C68" s="607">
        <f t="shared" ref="C68:N68" si="17">C61+C62+C63+C64+C65+C66+C67</f>
        <v>0</v>
      </c>
      <c r="D68" s="607">
        <f t="shared" si="17"/>
        <v>0</v>
      </c>
      <c r="E68" s="607">
        <f t="shared" si="17"/>
        <v>0</v>
      </c>
      <c r="F68" s="607">
        <f t="shared" si="17"/>
        <v>0</v>
      </c>
      <c r="G68" s="607">
        <f t="shared" si="17"/>
        <v>103672</v>
      </c>
      <c r="H68" s="607">
        <f t="shared" si="17"/>
        <v>652464</v>
      </c>
      <c r="I68" s="607">
        <f t="shared" si="17"/>
        <v>82285</v>
      </c>
      <c r="J68" s="607">
        <f t="shared" si="17"/>
        <v>0</v>
      </c>
      <c r="K68" s="607">
        <f t="shared" si="17"/>
        <v>0</v>
      </c>
      <c r="L68" s="607">
        <f t="shared" si="17"/>
        <v>0</v>
      </c>
      <c r="M68" s="607">
        <f t="shared" si="17"/>
        <v>0</v>
      </c>
      <c r="N68" s="607">
        <f t="shared" si="17"/>
        <v>0</v>
      </c>
      <c r="O68" s="605">
        <f t="shared" si="16"/>
        <v>838421</v>
      </c>
      <c r="P68" s="593"/>
    </row>
    <row r="69" spans="1:17" s="592" customFormat="1" ht="24" customHeight="1" x14ac:dyDescent="0.25">
      <c r="A69" s="602" t="s">
        <v>248</v>
      </c>
      <c r="B69" s="603" t="s">
        <v>272</v>
      </c>
      <c r="C69" s="633">
        <f>C83-C68</f>
        <v>3834237</v>
      </c>
      <c r="D69" s="633">
        <f t="shared" ref="D69:N69" si="18">D83-D68</f>
        <v>3834237.6865704674</v>
      </c>
      <c r="E69" s="633">
        <f t="shared" si="18"/>
        <v>5143350.4477248583</v>
      </c>
      <c r="F69" s="633">
        <f t="shared" si="18"/>
        <v>3919238</v>
      </c>
      <c r="G69" s="633">
        <f t="shared" si="18"/>
        <v>4039068.6886951132</v>
      </c>
      <c r="H69" s="633">
        <f t="shared" si="18"/>
        <v>3421604.6886951132</v>
      </c>
      <c r="I69" s="633">
        <f t="shared" si="18"/>
        <v>4007040.0418289658</v>
      </c>
      <c r="J69" s="633">
        <f t="shared" si="18"/>
        <v>3834237.6865704674</v>
      </c>
      <c r="K69" s="633">
        <f t="shared" si="18"/>
        <v>3834237.6865704674</v>
      </c>
      <c r="L69" s="633">
        <f t="shared" si="18"/>
        <v>3834237.6865704674</v>
      </c>
      <c r="M69" s="633">
        <f t="shared" si="18"/>
        <v>3834237.6865704674</v>
      </c>
      <c r="N69" s="633">
        <f t="shared" si="18"/>
        <v>3861237.6865704674</v>
      </c>
      <c r="O69" s="605">
        <f t="shared" si="16"/>
        <v>47396964.986366846</v>
      </c>
      <c r="P69" s="593"/>
    </row>
    <row r="70" spans="1:17" s="592" customFormat="1" ht="27" thickBot="1" x14ac:dyDescent="0.3">
      <c r="A70" s="627" t="s">
        <v>250</v>
      </c>
      <c r="B70" s="628" t="s">
        <v>251</v>
      </c>
      <c r="C70" s="629">
        <f t="shared" ref="C70:O70" si="19">C68+C69</f>
        <v>3834237</v>
      </c>
      <c r="D70" s="629">
        <f t="shared" si="19"/>
        <v>3834237.6865704674</v>
      </c>
      <c r="E70" s="629">
        <f t="shared" si="19"/>
        <v>5143350.4477248583</v>
      </c>
      <c r="F70" s="629">
        <f t="shared" si="19"/>
        <v>3919238</v>
      </c>
      <c r="G70" s="629">
        <f t="shared" si="19"/>
        <v>4142740.6886951132</v>
      </c>
      <c r="H70" s="629">
        <f t="shared" si="19"/>
        <v>4074068.6886951132</v>
      </c>
      <c r="I70" s="629">
        <f t="shared" si="19"/>
        <v>4089325.0418289658</v>
      </c>
      <c r="J70" s="629">
        <f t="shared" si="19"/>
        <v>3834237.6865704674</v>
      </c>
      <c r="K70" s="629">
        <f t="shared" si="19"/>
        <v>3834237.6865704674</v>
      </c>
      <c r="L70" s="629">
        <f t="shared" si="19"/>
        <v>3834237.6865704674</v>
      </c>
      <c r="M70" s="629">
        <f t="shared" si="19"/>
        <v>3834237.6865704674</v>
      </c>
      <c r="N70" s="629">
        <f t="shared" si="19"/>
        <v>3861237.6865704674</v>
      </c>
      <c r="O70" s="630">
        <f t="shared" si="19"/>
        <v>48235385.986366846</v>
      </c>
      <c r="P70" s="593"/>
    </row>
    <row r="71" spans="1:17" s="592" customFormat="1" ht="19.5" customHeight="1" thickBot="1" x14ac:dyDescent="0.3">
      <c r="A71" s="616"/>
      <c r="B71" s="617"/>
      <c r="C71" s="618"/>
      <c r="D71" s="618"/>
      <c r="E71" s="618"/>
      <c r="F71" s="618"/>
      <c r="G71" s="618"/>
      <c r="H71" s="618"/>
      <c r="I71" s="618"/>
      <c r="J71" s="618"/>
      <c r="K71" s="618"/>
      <c r="L71" s="618"/>
      <c r="M71" s="618"/>
      <c r="N71" s="618"/>
      <c r="O71" s="619"/>
      <c r="P71" s="593"/>
    </row>
    <row r="72" spans="1:17" s="601" customFormat="1" ht="27.6" x14ac:dyDescent="0.3">
      <c r="A72" s="596"/>
      <c r="B72" s="625" t="s">
        <v>273</v>
      </c>
      <c r="C72" s="631" t="s">
        <v>229</v>
      </c>
      <c r="D72" s="631" t="s">
        <v>230</v>
      </c>
      <c r="E72" s="631" t="s">
        <v>231</v>
      </c>
      <c r="F72" s="631" t="s">
        <v>232</v>
      </c>
      <c r="G72" s="631" t="s">
        <v>233</v>
      </c>
      <c r="H72" s="631" t="s">
        <v>234</v>
      </c>
      <c r="I72" s="631" t="s">
        <v>235</v>
      </c>
      <c r="J72" s="631" t="s">
        <v>236</v>
      </c>
      <c r="K72" s="631" t="s">
        <v>237</v>
      </c>
      <c r="L72" s="631" t="s">
        <v>238</v>
      </c>
      <c r="M72" s="631" t="s">
        <v>239</v>
      </c>
      <c r="N72" s="631" t="s">
        <v>240</v>
      </c>
      <c r="O72" s="599" t="s">
        <v>154</v>
      </c>
      <c r="P72" s="600"/>
    </row>
    <row r="73" spans="1:17" s="617" customFormat="1" ht="19.5" customHeight="1" x14ac:dyDescent="0.25">
      <c r="A73" s="632" t="s">
        <v>252</v>
      </c>
      <c r="B73" s="603" t="s">
        <v>33</v>
      </c>
      <c r="C73" s="633">
        <v>2736500</v>
      </c>
      <c r="D73" s="633">
        <v>2736500</v>
      </c>
      <c r="E73" s="633">
        <f>2736500+1050000</f>
        <v>3786500</v>
      </c>
      <c r="F73" s="633">
        <v>2736500</v>
      </c>
      <c r="G73" s="633">
        <f>2736500+200000</f>
        <v>2936500</v>
      </c>
      <c r="H73" s="633">
        <f>2736500+200000</f>
        <v>2936500</v>
      </c>
      <c r="I73" s="633">
        <f>2736500+212600</f>
        <v>2949100</v>
      </c>
      <c r="J73" s="633">
        <v>2736500</v>
      </c>
      <c r="K73" s="633">
        <v>2736500</v>
      </c>
      <c r="L73" s="633">
        <v>2736500</v>
      </c>
      <c r="M73" s="633">
        <v>2736500</v>
      </c>
      <c r="N73" s="633">
        <v>2736500</v>
      </c>
      <c r="O73" s="634">
        <f t="shared" ref="O73:O80" si="20">SUM(C73:N73)</f>
        <v>34500600</v>
      </c>
      <c r="P73" s="635"/>
    </row>
    <row r="74" spans="1:17" s="617" customFormat="1" ht="19.5" customHeight="1" x14ac:dyDescent="0.25">
      <c r="A74" s="632" t="s">
        <v>253</v>
      </c>
      <c r="B74" s="603" t="s">
        <v>254</v>
      </c>
      <c r="C74" s="633">
        <v>544987</v>
      </c>
      <c r="D74" s="633">
        <f t="shared" ref="D74:N74" si="21">6748965/33888000*D73</f>
        <v>544987.68657046743</v>
      </c>
      <c r="E74" s="633">
        <f>6748965/33888000*E73</f>
        <v>754100.4477248583</v>
      </c>
      <c r="F74" s="633">
        <v>544988</v>
      </c>
      <c r="G74" s="633">
        <f>6748965/33888000*G73</f>
        <v>584818.68869511329</v>
      </c>
      <c r="H74" s="633">
        <f>6748965/33888000*H73</f>
        <v>584818.68869511329</v>
      </c>
      <c r="I74" s="633">
        <f>6748965/33888000*I73+147</f>
        <v>587475.041828966</v>
      </c>
      <c r="J74" s="633">
        <f t="shared" si="21"/>
        <v>544987.68657046743</v>
      </c>
      <c r="K74" s="633">
        <f t="shared" si="21"/>
        <v>544987.68657046743</v>
      </c>
      <c r="L74" s="633">
        <f t="shared" si="21"/>
        <v>544987.68657046743</v>
      </c>
      <c r="M74" s="633">
        <f t="shared" si="21"/>
        <v>544987.68657046743</v>
      </c>
      <c r="N74" s="633">
        <f t="shared" si="21"/>
        <v>544987.68657046743</v>
      </c>
      <c r="O74" s="634">
        <f t="shared" si="20"/>
        <v>6871113.986366855</v>
      </c>
      <c r="P74" s="635"/>
    </row>
    <row r="75" spans="1:17" s="617" customFormat="1" ht="19.5" customHeight="1" x14ac:dyDescent="0.25">
      <c r="A75" s="632" t="s">
        <v>255</v>
      </c>
      <c r="B75" s="603" t="s">
        <v>256</v>
      </c>
      <c r="C75" s="633">
        <v>552750</v>
      </c>
      <c r="D75" s="633">
        <v>552750</v>
      </c>
      <c r="E75" s="633">
        <v>552750</v>
      </c>
      <c r="F75" s="633">
        <f>552750+85000</f>
        <v>637750</v>
      </c>
      <c r="G75" s="633">
        <f>552750+18672</f>
        <v>571422</v>
      </c>
      <c r="H75" s="633">
        <v>552750</v>
      </c>
      <c r="I75" s="633">
        <v>552750</v>
      </c>
      <c r="J75" s="633">
        <v>552750</v>
      </c>
      <c r="K75" s="633">
        <v>552750</v>
      </c>
      <c r="L75" s="633">
        <v>552750</v>
      </c>
      <c r="M75" s="633">
        <v>552750</v>
      </c>
      <c r="N75" s="633">
        <v>552750</v>
      </c>
      <c r="O75" s="634">
        <f t="shared" si="20"/>
        <v>6736672</v>
      </c>
      <c r="P75" s="635"/>
      <c r="Q75" s="635"/>
    </row>
    <row r="76" spans="1:17" s="617" customFormat="1" ht="19.5" customHeight="1" x14ac:dyDescent="0.25">
      <c r="A76" s="632" t="s">
        <v>257</v>
      </c>
      <c r="B76" s="603" t="s">
        <v>258</v>
      </c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34">
        <f t="shared" si="20"/>
        <v>0</v>
      </c>
      <c r="P76" s="635"/>
    </row>
    <row r="77" spans="1:17" s="617" customFormat="1" ht="26.4" x14ac:dyDescent="0.25">
      <c r="A77" s="632" t="s">
        <v>259</v>
      </c>
      <c r="B77" s="603" t="s">
        <v>260</v>
      </c>
      <c r="C77" s="633"/>
      <c r="D77" s="633"/>
      <c r="E77" s="633"/>
      <c r="F77" s="633"/>
      <c r="G77" s="633"/>
      <c r="H77" s="633"/>
      <c r="I77" s="633"/>
      <c r="J77" s="633"/>
      <c r="K77" s="633"/>
      <c r="L77" s="633"/>
      <c r="M77" s="633"/>
      <c r="N77" s="633"/>
      <c r="O77" s="634">
        <f t="shared" si="20"/>
        <v>0</v>
      </c>
      <c r="P77" s="635"/>
    </row>
    <row r="78" spans="1:17" s="594" customFormat="1" ht="19.5" customHeight="1" x14ac:dyDescent="0.25">
      <c r="A78" s="632" t="s">
        <v>261</v>
      </c>
      <c r="B78" s="603" t="s">
        <v>3</v>
      </c>
      <c r="C78" s="633"/>
      <c r="D78" s="633"/>
      <c r="E78" s="633">
        <v>50000</v>
      </c>
      <c r="F78" s="633"/>
      <c r="G78" s="633">
        <v>50000</v>
      </c>
      <c r="H78" s="633"/>
      <c r="I78" s="633"/>
      <c r="J78" s="633"/>
      <c r="K78" s="633"/>
      <c r="L78" s="633"/>
      <c r="M78" s="633"/>
      <c r="N78" s="633">
        <v>27000</v>
      </c>
      <c r="O78" s="634">
        <f t="shared" si="20"/>
        <v>127000</v>
      </c>
      <c r="P78" s="637"/>
    </row>
    <row r="79" spans="1:17" s="617" customFormat="1" ht="19.5" customHeight="1" x14ac:dyDescent="0.25">
      <c r="A79" s="632" t="s">
        <v>262</v>
      </c>
      <c r="B79" s="603" t="s">
        <v>4</v>
      </c>
      <c r="C79" s="633"/>
      <c r="D79" s="633"/>
      <c r="E79" s="633"/>
      <c r="F79" s="633"/>
      <c r="G79" s="633"/>
      <c r="H79" s="633"/>
      <c r="I79" s="633"/>
      <c r="J79" s="633"/>
      <c r="K79" s="633"/>
      <c r="L79" s="633"/>
      <c r="M79" s="633"/>
      <c r="N79" s="633"/>
      <c r="O79" s="634">
        <f t="shared" si="20"/>
        <v>0</v>
      </c>
      <c r="P79" s="635"/>
    </row>
    <row r="80" spans="1:17" s="594" customFormat="1" ht="26.4" x14ac:dyDescent="0.25">
      <c r="A80" s="632" t="s">
        <v>263</v>
      </c>
      <c r="B80" s="603" t="s">
        <v>264</v>
      </c>
      <c r="C80" s="603"/>
      <c r="D80" s="603"/>
      <c r="E80" s="603"/>
      <c r="F80" s="603"/>
      <c r="G80" s="603"/>
      <c r="H80" s="603"/>
      <c r="I80" s="603"/>
      <c r="J80" s="603"/>
      <c r="K80" s="603"/>
      <c r="L80" s="603"/>
      <c r="M80" s="603"/>
      <c r="N80" s="603"/>
      <c r="O80" s="634">
        <f t="shared" si="20"/>
        <v>0</v>
      </c>
      <c r="P80" s="637"/>
    </row>
    <row r="81" spans="1:16" s="594" customFormat="1" ht="26.4" x14ac:dyDescent="0.25">
      <c r="A81" s="632" t="s">
        <v>265</v>
      </c>
      <c r="B81" s="606" t="s">
        <v>266</v>
      </c>
      <c r="C81" s="638">
        <f t="shared" ref="C81:O81" si="22">C73+C74+C75+C76+C77+C78+C79+C80</f>
        <v>3834237</v>
      </c>
      <c r="D81" s="638">
        <f t="shared" si="22"/>
        <v>3834237.6865704674</v>
      </c>
      <c r="E81" s="638">
        <f t="shared" si="22"/>
        <v>5143350.4477248583</v>
      </c>
      <c r="F81" s="638">
        <f t="shared" si="22"/>
        <v>3919238</v>
      </c>
      <c r="G81" s="638">
        <f t="shared" si="22"/>
        <v>4142740.6886951132</v>
      </c>
      <c r="H81" s="638">
        <f t="shared" si="22"/>
        <v>4074068.6886951132</v>
      </c>
      <c r="I81" s="638">
        <f t="shared" si="22"/>
        <v>4089325.0418289658</v>
      </c>
      <c r="J81" s="638">
        <f t="shared" si="22"/>
        <v>3834237.6865704674</v>
      </c>
      <c r="K81" s="638">
        <f t="shared" si="22"/>
        <v>3834237.6865704674</v>
      </c>
      <c r="L81" s="638">
        <f t="shared" si="22"/>
        <v>3834237.6865704674</v>
      </c>
      <c r="M81" s="638">
        <f t="shared" si="22"/>
        <v>3834237.6865704674</v>
      </c>
      <c r="N81" s="638">
        <f t="shared" si="22"/>
        <v>3861237.6865704674</v>
      </c>
      <c r="O81" s="634">
        <f t="shared" si="22"/>
        <v>48235385.986366853</v>
      </c>
      <c r="P81" s="637"/>
    </row>
    <row r="82" spans="1:16" s="594" customFormat="1" ht="19.5" customHeight="1" x14ac:dyDescent="0.25">
      <c r="A82" s="632" t="s">
        <v>267</v>
      </c>
      <c r="B82" s="603" t="s">
        <v>274</v>
      </c>
      <c r="C82" s="633"/>
      <c r="D82" s="633"/>
      <c r="E82" s="633"/>
      <c r="F82" s="633"/>
      <c r="G82" s="633"/>
      <c r="H82" s="633"/>
      <c r="I82" s="633"/>
      <c r="J82" s="633"/>
      <c r="K82" s="633"/>
      <c r="L82" s="633"/>
      <c r="M82" s="633"/>
      <c r="N82" s="633"/>
      <c r="O82" s="634">
        <f>SUM(C82:N82)</f>
        <v>0</v>
      </c>
      <c r="P82" s="637"/>
    </row>
    <row r="83" spans="1:16" s="594" customFormat="1" ht="19.5" customHeight="1" thickBot="1" x14ac:dyDescent="0.3">
      <c r="A83" s="639" t="s">
        <v>269</v>
      </c>
      <c r="B83" s="628" t="s">
        <v>270</v>
      </c>
      <c r="C83" s="640">
        <f t="shared" ref="C83:O83" si="23">C81+C82</f>
        <v>3834237</v>
      </c>
      <c r="D83" s="640">
        <f t="shared" si="23"/>
        <v>3834237.6865704674</v>
      </c>
      <c r="E83" s="640">
        <f t="shared" si="23"/>
        <v>5143350.4477248583</v>
      </c>
      <c r="F83" s="640">
        <f t="shared" si="23"/>
        <v>3919238</v>
      </c>
      <c r="G83" s="640">
        <f t="shared" si="23"/>
        <v>4142740.6886951132</v>
      </c>
      <c r="H83" s="640">
        <f t="shared" si="23"/>
        <v>4074068.6886951132</v>
      </c>
      <c r="I83" s="640">
        <f t="shared" si="23"/>
        <v>4089325.0418289658</v>
      </c>
      <c r="J83" s="640">
        <f t="shared" si="23"/>
        <v>3834237.6865704674</v>
      </c>
      <c r="K83" s="640">
        <f t="shared" si="23"/>
        <v>3834237.6865704674</v>
      </c>
      <c r="L83" s="640">
        <f t="shared" si="23"/>
        <v>3834237.6865704674</v>
      </c>
      <c r="M83" s="640">
        <f t="shared" si="23"/>
        <v>3834237.6865704674</v>
      </c>
      <c r="N83" s="640">
        <f t="shared" si="23"/>
        <v>3861237.6865704674</v>
      </c>
      <c r="O83" s="641">
        <f t="shared" si="23"/>
        <v>48235385.986366853</v>
      </c>
      <c r="P83" s="637"/>
    </row>
    <row r="86" spans="1:16" s="592" customFormat="1" ht="33" customHeight="1" x14ac:dyDescent="0.3">
      <c r="B86" s="831" t="s">
        <v>333</v>
      </c>
      <c r="C86" s="831"/>
      <c r="D86" s="831"/>
      <c r="E86" s="831"/>
      <c r="F86" s="831"/>
      <c r="G86" s="831"/>
      <c r="H86" s="831"/>
      <c r="I86" s="831"/>
      <c r="J86" s="831"/>
      <c r="K86" s="831"/>
      <c r="L86" s="831"/>
      <c r="M86" s="831"/>
      <c r="N86" s="831"/>
      <c r="O86" s="831"/>
      <c r="P86" s="593"/>
    </row>
    <row r="87" spans="1:16" s="592" customFormat="1" ht="9" customHeight="1" thickBot="1" x14ac:dyDescent="0.3">
      <c r="B87" s="594"/>
      <c r="O87" s="595"/>
      <c r="P87" s="593"/>
    </row>
    <row r="88" spans="1:16" s="601" customFormat="1" ht="27.6" x14ac:dyDescent="0.3">
      <c r="A88" s="596"/>
      <c r="B88" s="625" t="s">
        <v>271</v>
      </c>
      <c r="C88" s="598" t="s">
        <v>229</v>
      </c>
      <c r="D88" s="598" t="s">
        <v>230</v>
      </c>
      <c r="E88" s="598" t="s">
        <v>231</v>
      </c>
      <c r="F88" s="598" t="s">
        <v>232</v>
      </c>
      <c r="G88" s="598" t="s">
        <v>233</v>
      </c>
      <c r="H88" s="598" t="s">
        <v>234</v>
      </c>
      <c r="I88" s="598" t="s">
        <v>235</v>
      </c>
      <c r="J88" s="598" t="s">
        <v>236</v>
      </c>
      <c r="K88" s="598" t="s">
        <v>237</v>
      </c>
      <c r="L88" s="598" t="s">
        <v>238</v>
      </c>
      <c r="M88" s="598" t="s">
        <v>239</v>
      </c>
      <c r="N88" s="598" t="s">
        <v>240</v>
      </c>
      <c r="O88" s="599" t="s">
        <v>154</v>
      </c>
      <c r="P88" s="600"/>
    </row>
    <row r="89" spans="1:16" s="592" customFormat="1" ht="26.4" x14ac:dyDescent="0.25">
      <c r="A89" s="602" t="s">
        <v>122</v>
      </c>
      <c r="B89" s="603" t="s">
        <v>241</v>
      </c>
      <c r="C89" s="604"/>
      <c r="D89" s="604"/>
      <c r="E89" s="604"/>
      <c r="F89" s="604"/>
      <c r="G89" s="604"/>
      <c r="H89" s="604"/>
      <c r="I89" s="604"/>
      <c r="J89" s="604"/>
      <c r="K89" s="604"/>
      <c r="L89" s="604"/>
      <c r="M89" s="604"/>
      <c r="N89" s="604"/>
      <c r="O89" s="605">
        <f t="shared" ref="O89:O97" si="24">SUM(C89:N89)</f>
        <v>0</v>
      </c>
      <c r="P89" s="593"/>
    </row>
    <row r="90" spans="1:16" s="592" customFormat="1" x14ac:dyDescent="0.25">
      <c r="A90" s="602" t="s">
        <v>123</v>
      </c>
      <c r="B90" s="603" t="s">
        <v>16</v>
      </c>
      <c r="C90" s="610"/>
      <c r="D90" s="610"/>
      <c r="E90" s="604"/>
      <c r="F90" s="604"/>
      <c r="G90" s="604"/>
      <c r="H90" s="604"/>
      <c r="I90" s="604"/>
      <c r="J90" s="604"/>
      <c r="K90" s="604"/>
      <c r="L90" s="604"/>
      <c r="M90" s="604"/>
      <c r="N90" s="604"/>
      <c r="O90" s="605">
        <f t="shared" si="24"/>
        <v>0</v>
      </c>
      <c r="P90" s="593"/>
    </row>
    <row r="91" spans="1:16" s="592" customFormat="1" x14ac:dyDescent="0.25">
      <c r="A91" s="602" t="s">
        <v>124</v>
      </c>
      <c r="B91" s="603" t="s">
        <v>17</v>
      </c>
      <c r="C91" s="604"/>
      <c r="D91" s="604"/>
      <c r="E91" s="604"/>
      <c r="F91" s="604"/>
      <c r="G91" s="604"/>
      <c r="H91" s="604"/>
      <c r="I91" s="604"/>
      <c r="J91" s="604"/>
      <c r="K91" s="604"/>
      <c r="L91" s="604"/>
      <c r="M91" s="604"/>
      <c r="N91" s="604"/>
      <c r="O91" s="605">
        <f t="shared" si="24"/>
        <v>0</v>
      </c>
      <c r="P91" s="593"/>
    </row>
    <row r="92" spans="1:16" s="592" customFormat="1" ht="26.4" x14ac:dyDescent="0.25">
      <c r="A92" s="602" t="s">
        <v>125</v>
      </c>
      <c r="B92" s="603" t="s">
        <v>242</v>
      </c>
      <c r="C92" s="626"/>
      <c r="D92" s="626"/>
      <c r="E92" s="626"/>
      <c r="F92" s="626"/>
      <c r="G92" s="626"/>
      <c r="H92" s="626"/>
      <c r="I92" s="626"/>
      <c r="J92" s="626"/>
      <c r="K92" s="626"/>
      <c r="L92" s="626"/>
      <c r="M92" s="626"/>
      <c r="N92" s="626"/>
      <c r="O92" s="605">
        <f t="shared" si="24"/>
        <v>0</v>
      </c>
      <c r="P92" s="593"/>
    </row>
    <row r="93" spans="1:16" s="592" customFormat="1" ht="26.4" x14ac:dyDescent="0.25">
      <c r="A93" s="602" t="s">
        <v>143</v>
      </c>
      <c r="B93" s="603" t="s">
        <v>243</v>
      </c>
      <c r="C93" s="626"/>
      <c r="D93" s="626"/>
      <c r="E93" s="626"/>
      <c r="F93" s="626"/>
      <c r="G93" s="626"/>
      <c r="H93" s="626"/>
      <c r="I93" s="626"/>
      <c r="J93" s="626"/>
      <c r="K93" s="626"/>
      <c r="L93" s="626"/>
      <c r="M93" s="626"/>
      <c r="N93" s="626"/>
      <c r="O93" s="605">
        <f t="shared" si="24"/>
        <v>0</v>
      </c>
      <c r="P93" s="593"/>
    </row>
    <row r="94" spans="1:16" s="592" customFormat="1" x14ac:dyDescent="0.25">
      <c r="A94" s="602" t="s">
        <v>145</v>
      </c>
      <c r="B94" s="603" t="s">
        <v>22</v>
      </c>
      <c r="C94" s="604"/>
      <c r="D94" s="604"/>
      <c r="E94" s="604"/>
      <c r="F94" s="604"/>
      <c r="G94" s="604"/>
      <c r="H94" s="604"/>
      <c r="I94" s="604"/>
      <c r="J94" s="604"/>
      <c r="K94" s="604"/>
      <c r="L94" s="604"/>
      <c r="M94" s="604"/>
      <c r="N94" s="604"/>
      <c r="O94" s="605">
        <f t="shared" si="24"/>
        <v>0</v>
      </c>
      <c r="P94" s="593"/>
    </row>
    <row r="95" spans="1:16" s="592" customFormat="1" ht="26.4" x14ac:dyDescent="0.25">
      <c r="A95" s="602" t="s">
        <v>244</v>
      </c>
      <c r="B95" s="603" t="s">
        <v>245</v>
      </c>
      <c r="C95" s="604"/>
      <c r="D95" s="604"/>
      <c r="E95" s="604"/>
      <c r="F95" s="604"/>
      <c r="G95" s="604"/>
      <c r="H95" s="604"/>
      <c r="I95" s="604"/>
      <c r="J95" s="604"/>
      <c r="K95" s="604"/>
      <c r="L95" s="604"/>
      <c r="M95" s="604"/>
      <c r="N95" s="604"/>
      <c r="O95" s="605">
        <f t="shared" si="24"/>
        <v>0</v>
      </c>
      <c r="P95" s="593"/>
    </row>
    <row r="96" spans="1:16" s="592" customFormat="1" ht="26.4" x14ac:dyDescent="0.25">
      <c r="A96" s="602" t="s">
        <v>246</v>
      </c>
      <c r="B96" s="606" t="s">
        <v>247</v>
      </c>
      <c r="C96" s="607">
        <f t="shared" ref="C96:N96" si="25">C89+C90+C91+C92+C93+C94+C95</f>
        <v>0</v>
      </c>
      <c r="D96" s="607">
        <f t="shared" si="25"/>
        <v>0</v>
      </c>
      <c r="E96" s="607">
        <f t="shared" si="25"/>
        <v>0</v>
      </c>
      <c r="F96" s="607">
        <f t="shared" si="25"/>
        <v>0</v>
      </c>
      <c r="G96" s="607">
        <f t="shared" si="25"/>
        <v>0</v>
      </c>
      <c r="H96" s="607">
        <f t="shared" si="25"/>
        <v>0</v>
      </c>
      <c r="I96" s="607">
        <f t="shared" si="25"/>
        <v>0</v>
      </c>
      <c r="J96" s="607">
        <f t="shared" si="25"/>
        <v>0</v>
      </c>
      <c r="K96" s="607">
        <f t="shared" si="25"/>
        <v>0</v>
      </c>
      <c r="L96" s="607">
        <f t="shared" si="25"/>
        <v>0</v>
      </c>
      <c r="M96" s="607">
        <f t="shared" si="25"/>
        <v>0</v>
      </c>
      <c r="N96" s="607">
        <f t="shared" si="25"/>
        <v>0</v>
      </c>
      <c r="O96" s="605">
        <f t="shared" si="24"/>
        <v>0</v>
      </c>
      <c r="P96" s="593"/>
    </row>
    <row r="97" spans="1:17" s="592" customFormat="1" ht="24" customHeight="1" x14ac:dyDescent="0.25">
      <c r="A97" s="602" t="s">
        <v>248</v>
      </c>
      <c r="B97" s="603" t="s">
        <v>272</v>
      </c>
      <c r="C97" s="633">
        <f>C111-C96</f>
        <v>1302682</v>
      </c>
      <c r="D97" s="633">
        <f t="shared" ref="D97:N97" si="26">D111-D96</f>
        <v>1283980</v>
      </c>
      <c r="E97" s="633">
        <f t="shared" si="26"/>
        <v>1287585</v>
      </c>
      <c r="F97" s="633">
        <f t="shared" si="26"/>
        <v>1533366</v>
      </c>
      <c r="G97" s="633">
        <f t="shared" si="26"/>
        <v>1347565</v>
      </c>
      <c r="H97" s="633">
        <f t="shared" si="26"/>
        <v>1300431</v>
      </c>
      <c r="I97" s="633">
        <f t="shared" si="26"/>
        <v>1171496</v>
      </c>
      <c r="J97" s="633">
        <f t="shared" si="26"/>
        <v>1171496</v>
      </c>
      <c r="K97" s="633">
        <f t="shared" si="26"/>
        <v>1171496</v>
      </c>
      <c r="L97" s="633">
        <f t="shared" si="26"/>
        <v>1171496</v>
      </c>
      <c r="M97" s="633">
        <f t="shared" si="26"/>
        <v>1171496</v>
      </c>
      <c r="N97" s="633">
        <f t="shared" si="26"/>
        <v>1171496</v>
      </c>
      <c r="O97" s="605">
        <f t="shared" si="24"/>
        <v>15084585</v>
      </c>
      <c r="P97" s="593"/>
    </row>
    <row r="98" spans="1:17" s="592" customFormat="1" ht="27" thickBot="1" x14ac:dyDescent="0.3">
      <c r="A98" s="627" t="s">
        <v>250</v>
      </c>
      <c r="B98" s="628" t="s">
        <v>251</v>
      </c>
      <c r="C98" s="629">
        <f t="shared" ref="C98:O98" si="27">C96+C97</f>
        <v>1302682</v>
      </c>
      <c r="D98" s="629">
        <f t="shared" si="27"/>
        <v>1283980</v>
      </c>
      <c r="E98" s="629">
        <f t="shared" si="27"/>
        <v>1287585</v>
      </c>
      <c r="F98" s="629">
        <f t="shared" si="27"/>
        <v>1533366</v>
      </c>
      <c r="G98" s="629">
        <f t="shared" si="27"/>
        <v>1347565</v>
      </c>
      <c r="H98" s="629">
        <f t="shared" si="27"/>
        <v>1300431</v>
      </c>
      <c r="I98" s="629">
        <f t="shared" si="27"/>
        <v>1171496</v>
      </c>
      <c r="J98" s="629">
        <f t="shared" si="27"/>
        <v>1171496</v>
      </c>
      <c r="K98" s="629">
        <f t="shared" si="27"/>
        <v>1171496</v>
      </c>
      <c r="L98" s="629">
        <f t="shared" si="27"/>
        <v>1171496</v>
      </c>
      <c r="M98" s="629">
        <f t="shared" si="27"/>
        <v>1171496</v>
      </c>
      <c r="N98" s="629">
        <f t="shared" si="27"/>
        <v>1171496</v>
      </c>
      <c r="O98" s="630">
        <f t="shared" si="27"/>
        <v>15084585</v>
      </c>
      <c r="P98" s="593"/>
    </row>
    <row r="99" spans="1:17" s="592" customFormat="1" ht="19.5" customHeight="1" thickBot="1" x14ac:dyDescent="0.3">
      <c r="A99" s="616"/>
      <c r="B99" s="617"/>
      <c r="C99" s="618"/>
      <c r="D99" s="618"/>
      <c r="E99" s="618"/>
      <c r="F99" s="618"/>
      <c r="G99" s="618"/>
      <c r="H99" s="618"/>
      <c r="I99" s="618"/>
      <c r="J99" s="618"/>
      <c r="K99" s="618"/>
      <c r="L99" s="618"/>
      <c r="M99" s="618"/>
      <c r="N99" s="618"/>
      <c r="O99" s="619"/>
      <c r="P99" s="593"/>
    </row>
    <row r="100" spans="1:17" s="601" customFormat="1" ht="27.6" x14ac:dyDescent="0.3">
      <c r="A100" s="596"/>
      <c r="B100" s="625" t="s">
        <v>273</v>
      </c>
      <c r="C100" s="631" t="s">
        <v>229</v>
      </c>
      <c r="D100" s="631" t="s">
        <v>230</v>
      </c>
      <c r="E100" s="631" t="s">
        <v>231</v>
      </c>
      <c r="F100" s="631" t="s">
        <v>232</v>
      </c>
      <c r="G100" s="631" t="s">
        <v>233</v>
      </c>
      <c r="H100" s="631" t="s">
        <v>234</v>
      </c>
      <c r="I100" s="631" t="s">
        <v>235</v>
      </c>
      <c r="J100" s="631" t="s">
        <v>236</v>
      </c>
      <c r="K100" s="631" t="s">
        <v>237</v>
      </c>
      <c r="L100" s="631" t="s">
        <v>238</v>
      </c>
      <c r="M100" s="631" t="s">
        <v>239</v>
      </c>
      <c r="N100" s="631" t="s">
        <v>240</v>
      </c>
      <c r="O100" s="599" t="s">
        <v>154</v>
      </c>
      <c r="P100" s="600"/>
    </row>
    <row r="101" spans="1:17" s="617" customFormat="1" ht="19.5" customHeight="1" x14ac:dyDescent="0.25">
      <c r="A101" s="632" t="s">
        <v>252</v>
      </c>
      <c r="B101" s="603" t="s">
        <v>33</v>
      </c>
      <c r="C101" s="633">
        <f>847750+84720+25059</f>
        <v>957529</v>
      </c>
      <c r="D101" s="633">
        <f>72661+21468+847750</f>
        <v>941879</v>
      </c>
      <c r="E101" s="633">
        <f>72087+25059+847750</f>
        <v>944896</v>
      </c>
      <c r="F101" s="633">
        <f>847750+240000+76925+25059</f>
        <v>1189734</v>
      </c>
      <c r="G101" s="633">
        <f>847750+82837+25060</f>
        <v>955647</v>
      </c>
      <c r="H101" s="633">
        <f>847750+82837+25060</f>
        <v>955647</v>
      </c>
      <c r="I101" s="633">
        <v>847750</v>
      </c>
      <c r="J101" s="633">
        <v>847750</v>
      </c>
      <c r="K101" s="633">
        <v>847750</v>
      </c>
      <c r="L101" s="633">
        <v>847750</v>
      </c>
      <c r="M101" s="633">
        <v>847750</v>
      </c>
      <c r="N101" s="633">
        <v>847750</v>
      </c>
      <c r="O101" s="634">
        <f t="shared" ref="O101:O108" si="28">SUM(C101:N101)</f>
        <v>11031832</v>
      </c>
      <c r="P101" s="635"/>
    </row>
    <row r="102" spans="1:17" s="617" customFormat="1" ht="19.5" customHeight="1" x14ac:dyDescent="0.25">
      <c r="A102" s="632" t="s">
        <v>253</v>
      </c>
      <c r="B102" s="603" t="s">
        <v>254</v>
      </c>
      <c r="C102" s="633">
        <f>16521+4886+166466</f>
        <v>187873</v>
      </c>
      <c r="D102" s="633">
        <f>14169+4186+166466</f>
        <v>184821</v>
      </c>
      <c r="E102" s="633">
        <f>14057+4886+166466</f>
        <v>185409</v>
      </c>
      <c r="F102" s="633">
        <f>166466+15000+4886</f>
        <v>186352</v>
      </c>
      <c r="G102" s="633">
        <f>16153+4886+213599</f>
        <v>234638</v>
      </c>
      <c r="H102" s="633">
        <f>166466+16153+4885</f>
        <v>187504</v>
      </c>
      <c r="I102" s="633">
        <v>166466</v>
      </c>
      <c r="J102" s="633">
        <v>166466</v>
      </c>
      <c r="K102" s="633">
        <v>166466</v>
      </c>
      <c r="L102" s="633">
        <v>166466</v>
      </c>
      <c r="M102" s="633">
        <v>166466</v>
      </c>
      <c r="N102" s="633">
        <v>166466</v>
      </c>
      <c r="O102" s="634">
        <f t="shared" si="28"/>
        <v>2165393</v>
      </c>
      <c r="P102" s="635"/>
    </row>
    <row r="103" spans="1:17" s="617" customFormat="1" ht="19.5" customHeight="1" x14ac:dyDescent="0.25">
      <c r="A103" s="632" t="s">
        <v>255</v>
      </c>
      <c r="B103" s="603" t="s">
        <v>256</v>
      </c>
      <c r="C103" s="633">
        <v>157280</v>
      </c>
      <c r="D103" s="633">
        <v>157280</v>
      </c>
      <c r="E103" s="633">
        <v>157280</v>
      </c>
      <c r="F103" s="633">
        <v>157280</v>
      </c>
      <c r="G103" s="633">
        <v>157280</v>
      </c>
      <c r="H103" s="633">
        <v>157280</v>
      </c>
      <c r="I103" s="633">
        <v>157280</v>
      </c>
      <c r="J103" s="633">
        <v>157280</v>
      </c>
      <c r="K103" s="633">
        <v>157280</v>
      </c>
      <c r="L103" s="633">
        <v>157280</v>
      </c>
      <c r="M103" s="633">
        <v>157280</v>
      </c>
      <c r="N103" s="633">
        <v>157280</v>
      </c>
      <c r="O103" s="634">
        <f t="shared" si="28"/>
        <v>1887360</v>
      </c>
      <c r="P103" s="635"/>
      <c r="Q103" s="635"/>
    </row>
    <row r="104" spans="1:17" s="617" customFormat="1" ht="19.5" customHeight="1" x14ac:dyDescent="0.25">
      <c r="A104" s="632" t="s">
        <v>257</v>
      </c>
      <c r="B104" s="603" t="s">
        <v>258</v>
      </c>
      <c r="C104" s="603"/>
      <c r="D104" s="603"/>
      <c r="E104" s="603"/>
      <c r="F104" s="603"/>
      <c r="G104" s="603"/>
      <c r="H104" s="603"/>
      <c r="I104" s="603"/>
      <c r="J104" s="603"/>
      <c r="K104" s="603"/>
      <c r="L104" s="603"/>
      <c r="M104" s="603"/>
      <c r="N104" s="603"/>
      <c r="O104" s="634">
        <f t="shared" si="28"/>
        <v>0</v>
      </c>
      <c r="P104" s="635"/>
    </row>
    <row r="105" spans="1:17" s="617" customFormat="1" ht="19.5" customHeight="1" x14ac:dyDescent="0.25">
      <c r="A105" s="632" t="s">
        <v>259</v>
      </c>
      <c r="B105" s="603" t="s">
        <v>260</v>
      </c>
      <c r="C105" s="633"/>
      <c r="D105" s="633"/>
      <c r="E105" s="633"/>
      <c r="F105" s="633"/>
      <c r="G105" s="633"/>
      <c r="H105" s="633"/>
      <c r="I105" s="633"/>
      <c r="J105" s="633"/>
      <c r="K105" s="633"/>
      <c r="L105" s="633"/>
      <c r="M105" s="633"/>
      <c r="N105" s="633"/>
      <c r="O105" s="634">
        <f t="shared" si="28"/>
        <v>0</v>
      </c>
      <c r="P105" s="635"/>
    </row>
    <row r="106" spans="1:17" s="594" customFormat="1" ht="19.5" customHeight="1" x14ac:dyDescent="0.25">
      <c r="A106" s="632" t="s">
        <v>261</v>
      </c>
      <c r="B106" s="603" t="s">
        <v>3</v>
      </c>
      <c r="C106" s="633"/>
      <c r="D106" s="633"/>
      <c r="E106" s="633"/>
      <c r="F106" s="633"/>
      <c r="G106" s="633"/>
      <c r="H106" s="633"/>
      <c r="I106" s="633"/>
      <c r="J106" s="633"/>
      <c r="K106" s="633"/>
      <c r="L106" s="633"/>
      <c r="M106" s="633"/>
      <c r="N106" s="633"/>
      <c r="O106" s="634">
        <f t="shared" si="28"/>
        <v>0</v>
      </c>
      <c r="P106" s="637"/>
    </row>
    <row r="107" spans="1:17" s="617" customFormat="1" ht="19.5" customHeight="1" x14ac:dyDescent="0.25">
      <c r="A107" s="632" t="s">
        <v>262</v>
      </c>
      <c r="B107" s="603" t="s">
        <v>4</v>
      </c>
      <c r="C107" s="633"/>
      <c r="D107" s="633"/>
      <c r="E107" s="633"/>
      <c r="F107" s="633"/>
      <c r="G107" s="633"/>
      <c r="H107" s="633"/>
      <c r="I107" s="633"/>
      <c r="J107" s="633"/>
      <c r="K107" s="633"/>
      <c r="L107" s="633"/>
      <c r="M107" s="633"/>
      <c r="N107" s="633"/>
      <c r="O107" s="634">
        <f t="shared" si="28"/>
        <v>0</v>
      </c>
      <c r="P107" s="635"/>
    </row>
    <row r="108" spans="1:17" s="594" customFormat="1" ht="26.4" x14ac:dyDescent="0.25">
      <c r="A108" s="632" t="s">
        <v>263</v>
      </c>
      <c r="B108" s="603" t="s">
        <v>264</v>
      </c>
      <c r="C108" s="603"/>
      <c r="D108" s="603"/>
      <c r="E108" s="603"/>
      <c r="F108" s="603"/>
      <c r="G108" s="603"/>
      <c r="H108" s="603"/>
      <c r="I108" s="603"/>
      <c r="J108" s="603"/>
      <c r="K108" s="603"/>
      <c r="L108" s="603"/>
      <c r="M108" s="603"/>
      <c r="N108" s="603"/>
      <c r="O108" s="634">
        <f t="shared" si="28"/>
        <v>0</v>
      </c>
      <c r="P108" s="637"/>
    </row>
    <row r="109" spans="1:17" s="594" customFormat="1" ht="26.4" x14ac:dyDescent="0.25">
      <c r="A109" s="632" t="s">
        <v>265</v>
      </c>
      <c r="B109" s="606" t="s">
        <v>266</v>
      </c>
      <c r="C109" s="638">
        <f t="shared" ref="C109:O109" si="29">C101+C102+C103+C104+C105+C106+C107+C108</f>
        <v>1302682</v>
      </c>
      <c r="D109" s="638">
        <f t="shared" si="29"/>
        <v>1283980</v>
      </c>
      <c r="E109" s="638">
        <f t="shared" si="29"/>
        <v>1287585</v>
      </c>
      <c r="F109" s="638">
        <f t="shared" si="29"/>
        <v>1533366</v>
      </c>
      <c r="G109" s="638">
        <f t="shared" si="29"/>
        <v>1347565</v>
      </c>
      <c r="H109" s="638">
        <f t="shared" si="29"/>
        <v>1300431</v>
      </c>
      <c r="I109" s="638">
        <f t="shared" si="29"/>
        <v>1171496</v>
      </c>
      <c r="J109" s="638">
        <f t="shared" si="29"/>
        <v>1171496</v>
      </c>
      <c r="K109" s="638">
        <f t="shared" si="29"/>
        <v>1171496</v>
      </c>
      <c r="L109" s="638">
        <f t="shared" si="29"/>
        <v>1171496</v>
      </c>
      <c r="M109" s="638">
        <f t="shared" si="29"/>
        <v>1171496</v>
      </c>
      <c r="N109" s="638">
        <f t="shared" si="29"/>
        <v>1171496</v>
      </c>
      <c r="O109" s="634">
        <f t="shared" si="29"/>
        <v>15084585</v>
      </c>
      <c r="P109" s="637"/>
    </row>
    <row r="110" spans="1:17" s="594" customFormat="1" ht="19.5" customHeight="1" x14ac:dyDescent="0.25">
      <c r="A110" s="632" t="s">
        <v>267</v>
      </c>
      <c r="B110" s="603" t="s">
        <v>274</v>
      </c>
      <c r="C110" s="633"/>
      <c r="D110" s="633"/>
      <c r="E110" s="633"/>
      <c r="F110" s="633"/>
      <c r="G110" s="633"/>
      <c r="H110" s="633"/>
      <c r="I110" s="633"/>
      <c r="J110" s="633"/>
      <c r="K110" s="633"/>
      <c r="L110" s="633"/>
      <c r="M110" s="633"/>
      <c r="N110" s="633"/>
      <c r="O110" s="634">
        <f>SUM(C110:N110)</f>
        <v>0</v>
      </c>
      <c r="P110" s="637"/>
    </row>
    <row r="111" spans="1:17" s="594" customFormat="1" ht="19.5" customHeight="1" thickBot="1" x14ac:dyDescent="0.3">
      <c r="A111" s="639" t="s">
        <v>269</v>
      </c>
      <c r="B111" s="628" t="s">
        <v>270</v>
      </c>
      <c r="C111" s="640">
        <f t="shared" ref="C111:O111" si="30">C109+C110</f>
        <v>1302682</v>
      </c>
      <c r="D111" s="640">
        <f t="shared" si="30"/>
        <v>1283980</v>
      </c>
      <c r="E111" s="640">
        <f t="shared" si="30"/>
        <v>1287585</v>
      </c>
      <c r="F111" s="640">
        <f t="shared" si="30"/>
        <v>1533366</v>
      </c>
      <c r="G111" s="640">
        <f t="shared" si="30"/>
        <v>1347565</v>
      </c>
      <c r="H111" s="640">
        <f t="shared" si="30"/>
        <v>1300431</v>
      </c>
      <c r="I111" s="640">
        <f t="shared" si="30"/>
        <v>1171496</v>
      </c>
      <c r="J111" s="640">
        <f t="shared" si="30"/>
        <v>1171496</v>
      </c>
      <c r="K111" s="640">
        <f t="shared" si="30"/>
        <v>1171496</v>
      </c>
      <c r="L111" s="640">
        <f t="shared" si="30"/>
        <v>1171496</v>
      </c>
      <c r="M111" s="640">
        <f t="shared" si="30"/>
        <v>1171496</v>
      </c>
      <c r="N111" s="640">
        <f t="shared" si="30"/>
        <v>1171496</v>
      </c>
      <c r="O111" s="641">
        <f t="shared" si="30"/>
        <v>15084585</v>
      </c>
      <c r="P111" s="637"/>
    </row>
    <row r="112" spans="1:17" s="642" customFormat="1" x14ac:dyDescent="0.25"/>
    <row r="113" spans="1:16" s="594" customFormat="1" ht="30" customHeight="1" x14ac:dyDescent="0.3">
      <c r="B113" s="830" t="s">
        <v>334</v>
      </c>
      <c r="C113" s="830"/>
      <c r="D113" s="830"/>
      <c r="E113" s="830"/>
      <c r="F113" s="830"/>
      <c r="G113" s="830"/>
      <c r="H113" s="830"/>
      <c r="I113" s="830"/>
      <c r="J113" s="830"/>
      <c r="K113" s="830"/>
      <c r="L113" s="830"/>
      <c r="M113" s="830"/>
      <c r="N113" s="830"/>
      <c r="O113" s="830"/>
      <c r="P113" s="637"/>
    </row>
    <row r="114" spans="1:16" s="594" customFormat="1" ht="9" customHeight="1" thickBot="1" x14ac:dyDescent="0.3">
      <c r="O114" s="617"/>
      <c r="P114" s="637"/>
    </row>
    <row r="115" spans="1:16" s="601" customFormat="1" ht="27.6" x14ac:dyDescent="0.3">
      <c r="A115" s="596"/>
      <c r="B115" s="625" t="s">
        <v>271</v>
      </c>
      <c r="C115" s="598" t="s">
        <v>229</v>
      </c>
      <c r="D115" s="598" t="s">
        <v>230</v>
      </c>
      <c r="E115" s="598" t="s">
        <v>231</v>
      </c>
      <c r="F115" s="598" t="s">
        <v>232</v>
      </c>
      <c r="G115" s="598" t="s">
        <v>233</v>
      </c>
      <c r="H115" s="598" t="s">
        <v>234</v>
      </c>
      <c r="I115" s="598" t="s">
        <v>235</v>
      </c>
      <c r="J115" s="598" t="s">
        <v>236</v>
      </c>
      <c r="K115" s="598" t="s">
        <v>237</v>
      </c>
      <c r="L115" s="598" t="s">
        <v>238</v>
      </c>
      <c r="M115" s="598" t="s">
        <v>239</v>
      </c>
      <c r="N115" s="598" t="s">
        <v>240</v>
      </c>
      <c r="O115" s="599" t="s">
        <v>154</v>
      </c>
      <c r="P115" s="600"/>
    </row>
    <row r="116" spans="1:16" s="594" customFormat="1" ht="26.4" x14ac:dyDescent="0.25">
      <c r="A116" s="632" t="s">
        <v>122</v>
      </c>
      <c r="B116" s="603" t="s">
        <v>241</v>
      </c>
      <c r="C116" s="633">
        <v>246687</v>
      </c>
      <c r="D116" s="633">
        <v>246687</v>
      </c>
      <c r="E116" s="633">
        <v>246687</v>
      </c>
      <c r="F116" s="633">
        <v>246687</v>
      </c>
      <c r="G116" s="633">
        <v>246687</v>
      </c>
      <c r="H116" s="633">
        <f>246687+3771900+600000</f>
        <v>4618587</v>
      </c>
      <c r="I116" s="633">
        <f>246687+800000</f>
        <v>1046687</v>
      </c>
      <c r="J116" s="633">
        <v>246687</v>
      </c>
      <c r="K116" s="633">
        <v>246687</v>
      </c>
      <c r="L116" s="633">
        <v>246687</v>
      </c>
      <c r="M116" s="633">
        <v>246687</v>
      </c>
      <c r="N116" s="633">
        <f>246687+18065206+2400</f>
        <v>18314293</v>
      </c>
      <c r="O116" s="634">
        <f t="shared" ref="O116:O123" si="31">SUM(C116:N116)</f>
        <v>26199750</v>
      </c>
      <c r="P116" s="637"/>
    </row>
    <row r="117" spans="1:16" s="594" customFormat="1" x14ac:dyDescent="0.25">
      <c r="A117" s="632" t="s">
        <v>123</v>
      </c>
      <c r="B117" s="603" t="s">
        <v>16</v>
      </c>
      <c r="C117" s="643"/>
      <c r="D117" s="643"/>
      <c r="E117" s="633"/>
      <c r="F117" s="633"/>
      <c r="G117" s="633"/>
      <c r="H117" s="633"/>
      <c r="I117" s="633"/>
      <c r="J117" s="633"/>
      <c r="K117" s="633"/>
      <c r="L117" s="633"/>
      <c r="M117" s="633"/>
      <c r="N117" s="633"/>
      <c r="O117" s="634">
        <f t="shared" si="31"/>
        <v>0</v>
      </c>
      <c r="P117" s="637"/>
    </row>
    <row r="118" spans="1:16" s="594" customFormat="1" x14ac:dyDescent="0.25">
      <c r="A118" s="632" t="s">
        <v>124</v>
      </c>
      <c r="B118" s="603" t="s">
        <v>17</v>
      </c>
      <c r="C118" s="633">
        <v>254590</v>
      </c>
      <c r="D118" s="633">
        <v>32000</v>
      </c>
      <c r="E118" s="633">
        <v>32000</v>
      </c>
      <c r="F118" s="633">
        <v>32000</v>
      </c>
      <c r="G118" s="633">
        <v>32000</v>
      </c>
      <c r="H118" s="633">
        <v>32000</v>
      </c>
      <c r="I118" s="633">
        <v>32000</v>
      </c>
      <c r="J118" s="633">
        <v>32000</v>
      </c>
      <c r="K118" s="633">
        <v>32000</v>
      </c>
      <c r="L118" s="633">
        <v>32000</v>
      </c>
      <c r="M118" s="633">
        <v>32000</v>
      </c>
      <c r="N118" s="633">
        <v>30000</v>
      </c>
      <c r="O118" s="634">
        <f t="shared" si="31"/>
        <v>604590</v>
      </c>
      <c r="P118" s="637"/>
    </row>
    <row r="119" spans="1:16" s="594" customFormat="1" ht="26.4" x14ac:dyDescent="0.25">
      <c r="A119" s="632" t="s">
        <v>125</v>
      </c>
      <c r="B119" s="603" t="s">
        <v>242</v>
      </c>
      <c r="C119" s="644"/>
      <c r="D119" s="644"/>
      <c r="E119" s="644"/>
      <c r="F119" s="644"/>
      <c r="G119" s="644"/>
      <c r="H119" s="644"/>
      <c r="I119" s="644"/>
      <c r="J119" s="644"/>
      <c r="K119" s="644"/>
      <c r="L119" s="644"/>
      <c r="M119" s="644"/>
      <c r="N119" s="644"/>
      <c r="O119" s="634">
        <f t="shared" si="31"/>
        <v>0</v>
      </c>
      <c r="P119" s="637"/>
    </row>
    <row r="120" spans="1:16" s="594" customFormat="1" ht="26.4" x14ac:dyDescent="0.25">
      <c r="A120" s="632" t="s">
        <v>143</v>
      </c>
      <c r="B120" s="603" t="s">
        <v>243</v>
      </c>
      <c r="C120" s="644"/>
      <c r="D120" s="644"/>
      <c r="E120" s="644"/>
      <c r="F120" s="644"/>
      <c r="G120" s="644"/>
      <c r="H120" s="644"/>
      <c r="I120" s="644"/>
      <c r="J120" s="644"/>
      <c r="K120" s="644"/>
      <c r="L120" s="644"/>
      <c r="M120" s="644"/>
      <c r="N120" s="644"/>
      <c r="O120" s="634">
        <f t="shared" si="31"/>
        <v>0</v>
      </c>
      <c r="P120" s="637"/>
    </row>
    <row r="121" spans="1:16" s="594" customFormat="1" ht="19.5" customHeight="1" x14ac:dyDescent="0.25">
      <c r="A121" s="632" t="s">
        <v>145</v>
      </c>
      <c r="B121" s="603" t="s">
        <v>22</v>
      </c>
      <c r="C121" s="633"/>
      <c r="D121" s="633"/>
      <c r="E121" s="633"/>
      <c r="F121" s="633"/>
      <c r="G121" s="633"/>
      <c r="H121" s="633"/>
      <c r="I121" s="633"/>
      <c r="J121" s="633"/>
      <c r="K121" s="633"/>
      <c r="L121" s="633"/>
      <c r="M121" s="633"/>
      <c r="N121" s="633"/>
      <c r="O121" s="634">
        <f t="shared" si="31"/>
        <v>0</v>
      </c>
      <c r="P121" s="637"/>
    </row>
    <row r="122" spans="1:16" s="594" customFormat="1" ht="26.4" x14ac:dyDescent="0.25">
      <c r="A122" s="632" t="s">
        <v>244</v>
      </c>
      <c r="B122" s="603" t="s">
        <v>245</v>
      </c>
      <c r="C122" s="633"/>
      <c r="D122" s="633"/>
      <c r="E122" s="633"/>
      <c r="F122" s="633"/>
      <c r="G122" s="633"/>
      <c r="H122" s="633"/>
      <c r="I122" s="633"/>
      <c r="J122" s="633"/>
      <c r="K122" s="633"/>
      <c r="L122" s="633"/>
      <c r="M122" s="633"/>
      <c r="N122" s="633"/>
      <c r="O122" s="634">
        <f t="shared" si="31"/>
        <v>0</v>
      </c>
      <c r="P122" s="637"/>
    </row>
    <row r="123" spans="1:16" s="594" customFormat="1" ht="26.4" x14ac:dyDescent="0.25">
      <c r="A123" s="632" t="s">
        <v>246</v>
      </c>
      <c r="B123" s="606" t="s">
        <v>247</v>
      </c>
      <c r="C123" s="638">
        <f>C116+C117+C118+C119+C120+C121+C122</f>
        <v>501277</v>
      </c>
      <c r="D123" s="638">
        <f t="shared" ref="D123:N123" si="32">D116+D117+D118+D119+D120+D121+D122</f>
        <v>278687</v>
      </c>
      <c r="E123" s="638">
        <f t="shared" si="32"/>
        <v>278687</v>
      </c>
      <c r="F123" s="638">
        <f t="shared" si="32"/>
        <v>278687</v>
      </c>
      <c r="G123" s="638">
        <f t="shared" si="32"/>
        <v>278687</v>
      </c>
      <c r="H123" s="638">
        <f t="shared" si="32"/>
        <v>4650587</v>
      </c>
      <c r="I123" s="638">
        <f t="shared" si="32"/>
        <v>1078687</v>
      </c>
      <c r="J123" s="638">
        <f t="shared" si="32"/>
        <v>278687</v>
      </c>
      <c r="K123" s="638">
        <f t="shared" si="32"/>
        <v>278687</v>
      </c>
      <c r="L123" s="638">
        <f t="shared" si="32"/>
        <v>278687</v>
      </c>
      <c r="M123" s="638">
        <f t="shared" si="32"/>
        <v>278687</v>
      </c>
      <c r="N123" s="638">
        <f t="shared" si="32"/>
        <v>18344293</v>
      </c>
      <c r="O123" s="634">
        <f t="shared" si="31"/>
        <v>26804340</v>
      </c>
      <c r="P123" s="637"/>
    </row>
    <row r="124" spans="1:16" s="594" customFormat="1" ht="39.6" x14ac:dyDescent="0.25">
      <c r="A124" s="632" t="s">
        <v>248</v>
      </c>
      <c r="B124" s="603" t="s">
        <v>276</v>
      </c>
      <c r="C124" s="633">
        <f>C138-C123</f>
        <v>1445438</v>
      </c>
      <c r="D124" s="633">
        <f t="shared" ref="D124:N124" si="33">D138-D123</f>
        <v>1668028</v>
      </c>
      <c r="E124" s="633">
        <f t="shared" si="33"/>
        <v>1668028</v>
      </c>
      <c r="F124" s="633">
        <f t="shared" si="33"/>
        <v>1883508</v>
      </c>
      <c r="G124" s="633">
        <f t="shared" si="33"/>
        <v>1618028</v>
      </c>
      <c r="H124" s="633">
        <f t="shared" si="33"/>
        <v>1948031</v>
      </c>
      <c r="I124" s="633">
        <f t="shared" si="33"/>
        <v>853938</v>
      </c>
      <c r="J124" s="633">
        <f t="shared" si="33"/>
        <v>1953938</v>
      </c>
      <c r="K124" s="633">
        <f t="shared" si="33"/>
        <v>1953938</v>
      </c>
      <c r="L124" s="633">
        <f t="shared" si="33"/>
        <v>1653938</v>
      </c>
      <c r="M124" s="633">
        <f t="shared" si="33"/>
        <v>1658938</v>
      </c>
      <c r="N124" s="633">
        <f t="shared" si="33"/>
        <v>1553544</v>
      </c>
      <c r="O124" s="634">
        <f>SUM(C124:N124)</f>
        <v>19859295</v>
      </c>
      <c r="P124" s="637"/>
    </row>
    <row r="125" spans="1:16" s="594" customFormat="1" ht="27" thickBot="1" x14ac:dyDescent="0.3">
      <c r="A125" s="632" t="s">
        <v>250</v>
      </c>
      <c r="B125" s="628" t="s">
        <v>251</v>
      </c>
      <c r="C125" s="640">
        <f t="shared" ref="C125:O125" si="34">C123+C124</f>
        <v>1946715</v>
      </c>
      <c r="D125" s="640">
        <f t="shared" si="34"/>
        <v>1946715</v>
      </c>
      <c r="E125" s="640">
        <f t="shared" si="34"/>
        <v>1946715</v>
      </c>
      <c r="F125" s="640">
        <f t="shared" si="34"/>
        <v>2162195</v>
      </c>
      <c r="G125" s="640">
        <f t="shared" si="34"/>
        <v>1896715</v>
      </c>
      <c r="H125" s="640">
        <f t="shared" si="34"/>
        <v>6598618</v>
      </c>
      <c r="I125" s="640">
        <f t="shared" si="34"/>
        <v>1932625</v>
      </c>
      <c r="J125" s="640">
        <f t="shared" si="34"/>
        <v>2232625</v>
      </c>
      <c r="K125" s="640">
        <f t="shared" si="34"/>
        <v>2232625</v>
      </c>
      <c r="L125" s="640">
        <f t="shared" si="34"/>
        <v>1932625</v>
      </c>
      <c r="M125" s="640">
        <f t="shared" si="34"/>
        <v>1937625</v>
      </c>
      <c r="N125" s="640">
        <f t="shared" si="34"/>
        <v>19897837</v>
      </c>
      <c r="O125" s="640">
        <f t="shared" si="34"/>
        <v>46663635</v>
      </c>
      <c r="P125" s="637"/>
    </row>
    <row r="126" spans="1:16" s="594" customFormat="1" ht="9.75" customHeight="1" thickBot="1" x14ac:dyDescent="0.3">
      <c r="A126" s="645"/>
      <c r="B126" s="617"/>
      <c r="C126" s="646"/>
      <c r="D126" s="646"/>
      <c r="E126" s="646"/>
      <c r="F126" s="646"/>
      <c r="G126" s="646"/>
      <c r="H126" s="646"/>
      <c r="I126" s="646"/>
      <c r="J126" s="646"/>
      <c r="K126" s="646"/>
      <c r="L126" s="646"/>
      <c r="M126" s="646"/>
      <c r="N126" s="646"/>
      <c r="O126" s="647"/>
      <c r="P126" s="637"/>
    </row>
    <row r="127" spans="1:16" s="601" customFormat="1" ht="28.2" thickBot="1" x14ac:dyDescent="0.35">
      <c r="A127" s="596"/>
      <c r="B127" s="625" t="s">
        <v>273</v>
      </c>
      <c r="C127" s="598" t="s">
        <v>229</v>
      </c>
      <c r="D127" s="598" t="s">
        <v>230</v>
      </c>
      <c r="E127" s="598" t="s">
        <v>231</v>
      </c>
      <c r="F127" s="598" t="s">
        <v>232</v>
      </c>
      <c r="G127" s="598" t="s">
        <v>233</v>
      </c>
      <c r="H127" s="598" t="s">
        <v>234</v>
      </c>
      <c r="I127" s="598" t="s">
        <v>235</v>
      </c>
      <c r="J127" s="598" t="s">
        <v>236</v>
      </c>
      <c r="K127" s="598" t="s">
        <v>237</v>
      </c>
      <c r="L127" s="598" t="s">
        <v>238</v>
      </c>
      <c r="M127" s="598" t="s">
        <v>239</v>
      </c>
      <c r="N127" s="598" t="s">
        <v>240</v>
      </c>
      <c r="O127" s="599" t="s">
        <v>154</v>
      </c>
      <c r="P127" s="600"/>
    </row>
    <row r="128" spans="1:16" s="617" customFormat="1" ht="24.6" customHeight="1" x14ac:dyDescent="0.25">
      <c r="A128" s="648" t="s">
        <v>252</v>
      </c>
      <c r="B128" s="649" t="s">
        <v>33</v>
      </c>
      <c r="C128" s="650">
        <f>1023272+96833</f>
        <v>1120105</v>
      </c>
      <c r="D128" s="650">
        <f>1023272+96833</f>
        <v>1120105</v>
      </c>
      <c r="E128" s="650">
        <f>1023272+96833</f>
        <v>1120105</v>
      </c>
      <c r="F128" s="650">
        <f>1023268+180000+96833</f>
        <v>1300101</v>
      </c>
      <c r="G128" s="650">
        <f>1023272+96833</f>
        <v>1120105</v>
      </c>
      <c r="H128" s="650">
        <f>1023272+96835</f>
        <v>1120107</v>
      </c>
      <c r="I128" s="650">
        <v>1023272</v>
      </c>
      <c r="J128" s="650">
        <v>1023272</v>
      </c>
      <c r="K128" s="650">
        <v>1023272</v>
      </c>
      <c r="L128" s="650">
        <v>1023272</v>
      </c>
      <c r="M128" s="650">
        <v>1023272</v>
      </c>
      <c r="N128" s="650">
        <v>1023272</v>
      </c>
      <c r="O128" s="651">
        <f t="shared" ref="O128:O135" si="35">SUM(C128:N128)</f>
        <v>13040260</v>
      </c>
      <c r="P128" s="635"/>
    </row>
    <row r="129" spans="1:17" s="617" customFormat="1" ht="19.5" customHeight="1" x14ac:dyDescent="0.25">
      <c r="A129" s="632" t="s">
        <v>253</v>
      </c>
      <c r="B129" s="652" t="s">
        <v>254</v>
      </c>
      <c r="C129" s="633">
        <f>201756+17257</f>
        <v>219013</v>
      </c>
      <c r="D129" s="633">
        <f>201756+17257</f>
        <v>219013</v>
      </c>
      <c r="E129" s="633">
        <f>201756+17257</f>
        <v>219013</v>
      </c>
      <c r="F129" s="633">
        <f>237240+17257</f>
        <v>254497</v>
      </c>
      <c r="G129" s="633">
        <f>201756+17257</f>
        <v>219013</v>
      </c>
      <c r="H129" s="633">
        <f>201756+17258</f>
        <v>219014</v>
      </c>
      <c r="I129" s="633">
        <v>201756</v>
      </c>
      <c r="J129" s="633">
        <v>201756</v>
      </c>
      <c r="K129" s="633">
        <v>201756</v>
      </c>
      <c r="L129" s="633">
        <v>201756</v>
      </c>
      <c r="M129" s="633">
        <v>201756</v>
      </c>
      <c r="N129" s="633">
        <v>201756</v>
      </c>
      <c r="O129" s="634">
        <f t="shared" si="35"/>
        <v>2560099</v>
      </c>
      <c r="P129" s="635"/>
    </row>
    <row r="130" spans="1:17" s="617" customFormat="1" ht="19.5" customHeight="1" x14ac:dyDescent="0.25">
      <c r="A130" s="632" t="s">
        <v>255</v>
      </c>
      <c r="B130" s="652" t="s">
        <v>256</v>
      </c>
      <c r="C130" s="633">
        <v>607597</v>
      </c>
      <c r="D130" s="633">
        <v>607597</v>
      </c>
      <c r="E130" s="633">
        <v>607597</v>
      </c>
      <c r="F130" s="633">
        <v>607597</v>
      </c>
      <c r="G130" s="633">
        <f>607597-50000</f>
        <v>557597</v>
      </c>
      <c r="H130" s="633">
        <f>607597+3771900+600000</f>
        <v>4979497</v>
      </c>
      <c r="I130" s="633">
        <f>607597+100000</f>
        <v>707597</v>
      </c>
      <c r="J130" s="633">
        <f>607597+400000</f>
        <v>1007597</v>
      </c>
      <c r="K130" s="633">
        <f>607597+400000</f>
        <v>1007597</v>
      </c>
      <c r="L130" s="633">
        <f>100000+607597</f>
        <v>707597</v>
      </c>
      <c r="M130" s="633">
        <f>607597+105000</f>
        <v>712597</v>
      </c>
      <c r="N130" s="633">
        <f>607597+18065206+6</f>
        <v>18672809</v>
      </c>
      <c r="O130" s="653">
        <f t="shared" si="35"/>
        <v>30783276</v>
      </c>
      <c r="P130" s="635"/>
      <c r="Q130" s="635"/>
    </row>
    <row r="131" spans="1:17" s="617" customFormat="1" ht="19.5" customHeight="1" x14ac:dyDescent="0.25">
      <c r="A131" s="632" t="s">
        <v>257</v>
      </c>
      <c r="B131" s="652" t="s">
        <v>258</v>
      </c>
      <c r="C131" s="603"/>
      <c r="D131" s="603"/>
      <c r="E131" s="603"/>
      <c r="F131" s="603"/>
      <c r="G131" s="603"/>
      <c r="H131" s="603"/>
      <c r="I131" s="603"/>
      <c r="J131" s="603"/>
      <c r="K131" s="603"/>
      <c r="L131" s="603"/>
      <c r="M131" s="603"/>
      <c r="N131" s="603"/>
      <c r="O131" s="634">
        <f t="shared" si="35"/>
        <v>0</v>
      </c>
      <c r="P131" s="635"/>
    </row>
    <row r="132" spans="1:17" s="617" customFormat="1" ht="27.75" customHeight="1" x14ac:dyDescent="0.25">
      <c r="A132" s="632" t="s">
        <v>259</v>
      </c>
      <c r="B132" s="652" t="s">
        <v>260</v>
      </c>
      <c r="C132" s="633"/>
      <c r="D132" s="633"/>
      <c r="E132" s="633"/>
      <c r="F132" s="633"/>
      <c r="G132" s="633"/>
      <c r="H132" s="633"/>
      <c r="I132" s="633"/>
      <c r="J132" s="633"/>
      <c r="K132" s="633"/>
      <c r="L132" s="633"/>
      <c r="M132" s="633"/>
      <c r="N132" s="633"/>
      <c r="O132" s="634">
        <f t="shared" si="35"/>
        <v>0</v>
      </c>
      <c r="P132" s="635"/>
    </row>
    <row r="133" spans="1:17" s="594" customFormat="1" ht="19.5" customHeight="1" x14ac:dyDescent="0.25">
      <c r="A133" s="632" t="s">
        <v>261</v>
      </c>
      <c r="B133" s="652" t="s">
        <v>3</v>
      </c>
      <c r="C133" s="644"/>
      <c r="D133" s="644"/>
      <c r="E133" s="644"/>
      <c r="F133" s="644"/>
      <c r="G133" s="644"/>
      <c r="H133" s="644">
        <v>280000</v>
      </c>
      <c r="I133" s="644"/>
      <c r="J133" s="644"/>
      <c r="K133" s="644"/>
      <c r="L133" s="644"/>
      <c r="M133" s="644"/>
      <c r="N133" s="644"/>
      <c r="O133" s="634">
        <f t="shared" si="35"/>
        <v>280000</v>
      </c>
      <c r="P133" s="637"/>
    </row>
    <row r="134" spans="1:17" s="617" customFormat="1" ht="19.5" customHeight="1" x14ac:dyDescent="0.25">
      <c r="A134" s="632" t="s">
        <v>262</v>
      </c>
      <c r="B134" s="652" t="s">
        <v>4</v>
      </c>
      <c r="C134" s="633"/>
      <c r="D134" s="633"/>
      <c r="E134" s="633"/>
      <c r="F134" s="633"/>
      <c r="G134" s="633"/>
      <c r="H134" s="633"/>
      <c r="I134" s="633"/>
      <c r="J134" s="633"/>
      <c r="K134" s="633"/>
      <c r="L134" s="633"/>
      <c r="M134" s="633"/>
      <c r="N134" s="633"/>
      <c r="O134" s="634">
        <f t="shared" si="35"/>
        <v>0</v>
      </c>
      <c r="P134" s="635"/>
    </row>
    <row r="135" spans="1:17" s="594" customFormat="1" ht="26.4" x14ac:dyDescent="0.25">
      <c r="A135" s="632" t="s">
        <v>263</v>
      </c>
      <c r="B135" s="652" t="s">
        <v>264</v>
      </c>
      <c r="C135" s="603"/>
      <c r="D135" s="603"/>
      <c r="E135" s="603"/>
      <c r="F135" s="603"/>
      <c r="G135" s="603"/>
      <c r="H135" s="603"/>
      <c r="I135" s="603"/>
      <c r="J135" s="603"/>
      <c r="K135" s="603"/>
      <c r="L135" s="603"/>
      <c r="M135" s="603"/>
      <c r="N135" s="603"/>
      <c r="O135" s="634">
        <f t="shared" si="35"/>
        <v>0</v>
      </c>
      <c r="P135" s="637"/>
    </row>
    <row r="136" spans="1:17" s="594" customFormat="1" ht="26.4" x14ac:dyDescent="0.25">
      <c r="A136" s="632" t="s">
        <v>265</v>
      </c>
      <c r="B136" s="654" t="s">
        <v>266</v>
      </c>
      <c r="C136" s="638">
        <f>C128+C129+C130+C131+C132+C133+C134+C135</f>
        <v>1946715</v>
      </c>
      <c r="D136" s="638">
        <f t="shared" ref="D136:O136" si="36">D128+D129+D130+D131+D132+D133+D134+D135</f>
        <v>1946715</v>
      </c>
      <c r="E136" s="638">
        <f t="shared" si="36"/>
        <v>1946715</v>
      </c>
      <c r="F136" s="638">
        <f t="shared" si="36"/>
        <v>2162195</v>
      </c>
      <c r="G136" s="638">
        <f t="shared" si="36"/>
        <v>1896715</v>
      </c>
      <c r="H136" s="638">
        <f t="shared" si="36"/>
        <v>6598618</v>
      </c>
      <c r="I136" s="638">
        <f t="shared" si="36"/>
        <v>1932625</v>
      </c>
      <c r="J136" s="638">
        <f t="shared" si="36"/>
        <v>2232625</v>
      </c>
      <c r="K136" s="638">
        <f t="shared" si="36"/>
        <v>2232625</v>
      </c>
      <c r="L136" s="638">
        <f t="shared" si="36"/>
        <v>1932625</v>
      </c>
      <c r="M136" s="638">
        <f t="shared" si="36"/>
        <v>1937625</v>
      </c>
      <c r="N136" s="638">
        <f t="shared" si="36"/>
        <v>19897837</v>
      </c>
      <c r="O136" s="634">
        <f t="shared" si="36"/>
        <v>46663635</v>
      </c>
      <c r="P136" s="637"/>
    </row>
    <row r="137" spans="1:17" s="594" customFormat="1" ht="39.6" x14ac:dyDescent="0.25">
      <c r="A137" s="632" t="s">
        <v>267</v>
      </c>
      <c r="B137" s="652" t="s">
        <v>275</v>
      </c>
      <c r="C137" s="633"/>
      <c r="D137" s="633"/>
      <c r="E137" s="633"/>
      <c r="F137" s="633"/>
      <c r="G137" s="633"/>
      <c r="H137" s="633"/>
      <c r="I137" s="633"/>
      <c r="J137" s="633"/>
      <c r="K137" s="633"/>
      <c r="L137" s="633"/>
      <c r="M137" s="633"/>
      <c r="N137" s="633"/>
      <c r="O137" s="634">
        <f>SUM(C137:N137)</f>
        <v>0</v>
      </c>
      <c r="P137" s="637"/>
    </row>
    <row r="138" spans="1:17" s="594" customFormat="1" ht="27" thickBot="1" x14ac:dyDescent="0.3">
      <c r="A138" s="632" t="s">
        <v>269</v>
      </c>
      <c r="B138" s="655" t="s">
        <v>270</v>
      </c>
      <c r="C138" s="640">
        <f>C136+C137</f>
        <v>1946715</v>
      </c>
      <c r="D138" s="640">
        <f t="shared" ref="D138:O138" si="37">D136+D137</f>
        <v>1946715</v>
      </c>
      <c r="E138" s="640">
        <f t="shared" si="37"/>
        <v>1946715</v>
      </c>
      <c r="F138" s="640">
        <f t="shared" si="37"/>
        <v>2162195</v>
      </c>
      <c r="G138" s="640">
        <f t="shared" si="37"/>
        <v>1896715</v>
      </c>
      <c r="H138" s="640">
        <f t="shared" si="37"/>
        <v>6598618</v>
      </c>
      <c r="I138" s="640">
        <f t="shared" si="37"/>
        <v>1932625</v>
      </c>
      <c r="J138" s="640">
        <f t="shared" si="37"/>
        <v>2232625</v>
      </c>
      <c r="K138" s="640">
        <f t="shared" si="37"/>
        <v>2232625</v>
      </c>
      <c r="L138" s="640">
        <f t="shared" si="37"/>
        <v>1932625</v>
      </c>
      <c r="M138" s="640">
        <f t="shared" si="37"/>
        <v>1937625</v>
      </c>
      <c r="N138" s="640">
        <f t="shared" si="37"/>
        <v>19897837</v>
      </c>
      <c r="O138" s="641">
        <f t="shared" si="37"/>
        <v>46663635</v>
      </c>
      <c r="P138" s="637"/>
    </row>
  </sheetData>
  <mergeCells count="5">
    <mergeCell ref="B3:O3"/>
    <mergeCell ref="B30:O30"/>
    <mergeCell ref="B58:O58"/>
    <mergeCell ref="B86:O86"/>
    <mergeCell ref="B113:O113"/>
  </mergeCells>
  <pageMargins left="0.19685039370078741" right="0.19685039370078741" top="0.43307086614173229" bottom="0.43307086614173229" header="0.31496062992125984" footer="0.31496062992125984"/>
  <pageSetup paperSize="9" scale="84" fitToHeight="6" orientation="landscape" r:id="rId1"/>
  <headerFooter alignWithMargins="0"/>
  <rowBreaks count="4" manualBreakCount="4">
    <brk id="28" max="16383" man="1"/>
    <brk id="57" max="16383" man="1"/>
    <brk id="85" max="16383" man="1"/>
    <brk id="112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6</vt:i4>
      </vt:variant>
    </vt:vector>
  </HeadingPairs>
  <TitlesOfParts>
    <vt:vector size="15" baseType="lpstr">
      <vt:lpstr>1.  melléklet (2)</vt:lpstr>
      <vt:lpstr>2. melléklet (2)</vt:lpstr>
      <vt:lpstr>3. melléklet  (2)</vt:lpstr>
      <vt:lpstr>4. melléklet (2)</vt:lpstr>
      <vt:lpstr>5. melléklet  (2)</vt:lpstr>
      <vt:lpstr>6. melléklet</vt:lpstr>
      <vt:lpstr>7.  melléklet</vt:lpstr>
      <vt:lpstr>8. melléklet (2)</vt:lpstr>
      <vt:lpstr>9. melléklet(2)</vt:lpstr>
      <vt:lpstr>'1.  melléklet (2)'!Nyomtatási_cím</vt:lpstr>
      <vt:lpstr>'2. melléklet (2)'!Nyomtatási_cím</vt:lpstr>
      <vt:lpstr>'3. melléklet  (2)'!Nyomtatási_cím</vt:lpstr>
      <vt:lpstr>'5. melléklet  (2)'!Nyomtatási_cím</vt:lpstr>
      <vt:lpstr>'3. melléklet  (2)'!Nyomtatási_terület</vt:lpstr>
      <vt:lpstr>'9. melléklet(2)'!Nyomtatási_terület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</dc:creator>
  <cp:lastModifiedBy>Szilvi</cp:lastModifiedBy>
  <cp:lastPrinted>2019-03-01T08:40:32Z</cp:lastPrinted>
  <dcterms:created xsi:type="dcterms:W3CDTF">2013-11-10T20:02:36Z</dcterms:created>
  <dcterms:modified xsi:type="dcterms:W3CDTF">2020-01-08T08:35:24Z</dcterms:modified>
</cp:coreProperties>
</file>