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05" windowWidth="15480" windowHeight="6150" tabRatio="903" activeTab="0"/>
  </bookViews>
  <sheets>
    <sheet name="Címrend" sheetId="1" r:id="rId1"/>
    <sheet name="1. melléklet" sheetId="2" r:id="rId2"/>
    <sheet name="2. melléklet" sheetId="3" r:id="rId3"/>
    <sheet name="3. melléklet" sheetId="4" r:id="rId4"/>
    <sheet name="4. melléklet" sheetId="5" r:id="rId5"/>
    <sheet name="5. melléklet" sheetId="6" r:id="rId6"/>
    <sheet name="6. melléklet" sheetId="7" r:id="rId7"/>
    <sheet name="7. melléklet" sheetId="8" r:id="rId8"/>
    <sheet name="8. melléklet" sheetId="9" r:id="rId9"/>
    <sheet name="9. melléklet" sheetId="10" r:id="rId10"/>
  </sheets>
  <definedNames>
    <definedName name="_xlnm.Print_Titles" localSheetId="2">'2. melléklet'!$1:$4</definedName>
    <definedName name="_xlnm.Print_Titles" localSheetId="3">'3. melléklet'!$A:$A</definedName>
    <definedName name="_xlnm.Print_Titles" localSheetId="5">'5. melléklet'!$2:$3</definedName>
  </definedNames>
  <calcPr calcMode="manual" fullCalcOnLoad="1"/>
</workbook>
</file>

<file path=xl/sharedStrings.xml><?xml version="1.0" encoding="utf-8"?>
<sst xmlns="http://schemas.openxmlformats.org/spreadsheetml/2006/main" count="978" uniqueCount="505">
  <si>
    <t>Jogcím</t>
  </si>
  <si>
    <t>I.</t>
  </si>
  <si>
    <t>II.</t>
  </si>
  <si>
    <t>Intézmény</t>
  </si>
  <si>
    <t>Összesen:</t>
  </si>
  <si>
    <t xml:space="preserve">          (E Ft)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</si>
  <si>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</si>
  <si>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</si>
  <si>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</si>
  <si>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</si>
  <si>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</si>
  <si>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</si>
  <si>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</si>
  <si>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</si>
  <si>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Lakástámogatás visszatérítés (bérlakás-számla)</t>
  </si>
  <si>
    <t>Munkáltatói támogatás</t>
  </si>
  <si>
    <t>IV.</t>
  </si>
  <si>
    <t>MINDÖSSZESEN:</t>
  </si>
  <si>
    <t>Dologi kiadások</t>
  </si>
  <si>
    <t xml:space="preserve">Eredeti ei. </t>
  </si>
  <si>
    <t xml:space="preserve">Eredeti  ei. </t>
  </si>
  <si>
    <t xml:space="preserve">szakmai </t>
  </si>
  <si>
    <t>technikai</t>
  </si>
  <si>
    <t>összesen</t>
  </si>
  <si>
    <t>Közműv. intézm. összesen: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</si>
  <si>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</si>
  <si>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</si>
  <si>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</si>
  <si>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</si>
  <si>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</si>
  <si>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</si>
  <si>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</si>
  <si>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>11.</t>
  </si>
  <si>
    <t>12.</t>
  </si>
  <si>
    <t xml:space="preserve">Kőszeg Város Önkormányzatának bevételei és kiadásai </t>
  </si>
  <si>
    <t>Kiemelt előirányzatok</t>
  </si>
  <si>
    <t>BEVÉTELI ELŐIRÁNYZAT MINDÖSSZESEN:</t>
  </si>
  <si>
    <t>Személyi juttatások</t>
  </si>
  <si>
    <t>Munkaadókat terhelő járulékok</t>
  </si>
  <si>
    <t>Ellátottak pénzbeli juttatásai</t>
  </si>
  <si>
    <t>KIADÁSI ELŐIRÁNYZAT MINDÖSSZESEN:</t>
  </si>
  <si>
    <t>Kőszeg Város Önkormányzatának címrendje</t>
  </si>
  <si>
    <t>Cím</t>
  </si>
  <si>
    <t>Alcím</t>
  </si>
  <si>
    <t>Jurisics-vár Művelődési Központ és Várszínház</t>
  </si>
  <si>
    <t>Hulladékgazdálkodási társulási beruházásokhoz átadás</t>
  </si>
  <si>
    <t>Kőszeg Város Önkormányzata</t>
  </si>
  <si>
    <t>Önkormányzat és intézményei összesen</t>
  </si>
  <si>
    <t>közfogl</t>
  </si>
  <si>
    <t>5. Kőszeg Város Önkormányzata</t>
  </si>
  <si>
    <t>I. 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</si>
  <si>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</si>
  <si>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</si>
  <si>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</si>
  <si>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>1. Chernel K. Városi Könyvtár</t>
  </si>
  <si>
    <t>2 Jurisics-vár Műv.Központ és Várszínház</t>
  </si>
  <si>
    <t xml:space="preserve">4. Kőszegi Közös Önkormányzati Hivatal </t>
  </si>
  <si>
    <t>13.</t>
  </si>
  <si>
    <t>14.</t>
  </si>
  <si>
    <t xml:space="preserve">1. </t>
  </si>
  <si>
    <t xml:space="preserve">Kőszegi Közös Önkormányzati Hivatal </t>
  </si>
  <si>
    <t>I.) Települési önkromáynzatok működésének támogatása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</si>
  <si>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</si>
  <si>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</si>
  <si>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</si>
  <si>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-ebből: munkaszervezeti feladatok</t>
  </si>
  <si>
    <t>15.</t>
  </si>
  <si>
    <t>16.</t>
  </si>
  <si>
    <t>9.</t>
  </si>
  <si>
    <t>10.</t>
  </si>
  <si>
    <t>17.</t>
  </si>
  <si>
    <t>18.</t>
  </si>
  <si>
    <t>19.</t>
  </si>
  <si>
    <t>Egészségház építés pályázati támogatása</t>
  </si>
  <si>
    <t>Újvárosi Óvoda fejlesztési hozzájárulás</t>
  </si>
  <si>
    <t>Városrehabilitációs kölcsön</t>
  </si>
  <si>
    <t>Vis maior pályázat támogatása</t>
  </si>
  <si>
    <t>Nepomuki Szent János kápolna felújítás támogatása</t>
  </si>
  <si>
    <t>Szociális Gondozási Központ fejlesztési hozzájárulás</t>
  </si>
  <si>
    <t>Vis maior káresemény helyreállítási munkái</t>
  </si>
  <si>
    <t>Fejlesztési tartalék</t>
  </si>
  <si>
    <t xml:space="preserve">Jurisics vár turisztikai fejlesztése pályázati támogatás </t>
  </si>
  <si>
    <t>Önként vállalt feladatok összesen:</t>
  </si>
  <si>
    <t>ebből:</t>
  </si>
  <si>
    <t>Kötelező feladatok összesen:</t>
  </si>
  <si>
    <t>2. Óvodaműködtetési támogatás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</si>
  <si>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</si>
  <si>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</si>
  <si>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</si>
  <si>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</si>
  <si>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</si>
  <si>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</si>
  <si>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</si>
  <si>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</si>
  <si>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</si>
  <si>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</si>
  <si>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</si>
  <si>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</si>
  <si>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Kőszeg Város Önkormányzatának bevételei 2015. évben</t>
  </si>
  <si>
    <t>Kőszeg Város Önkormányzatának kiadásai 2015. évben</t>
  </si>
  <si>
    <t>Bérlakás törlesztések</t>
  </si>
  <si>
    <t>Vagyonhasznosító bevétele</t>
  </si>
  <si>
    <t>Bezerédy u. 3. (40 lakás) biztosítási kártérítése</t>
  </si>
  <si>
    <t>Rendkívüli támogatás maradványa (egészségházhoz)</t>
  </si>
  <si>
    <t>Egészségház pályázati támogatás maradványa</t>
  </si>
  <si>
    <t>Vár projekt pályázati támogatás maradványa</t>
  </si>
  <si>
    <t>Kraft projekt pályázati támogatás maradványa</t>
  </si>
  <si>
    <t>2015. évi felhalmozási  kiadások (E Ft)</t>
  </si>
  <si>
    <t>Központi Óvoda Bölcsőde fejlesztési hozzájárulás</t>
  </si>
  <si>
    <t>Központi Óvoda Felsővárosi Tagóvodája fejlesztési hozzájárulás</t>
  </si>
  <si>
    <t>Központi Óvoda fejlesztési hozzájárulás</t>
  </si>
  <si>
    <t>Újvárosi Óvoda Kőszegfalvi Tagóvodája fejlesztési hozzájárulás</t>
  </si>
  <si>
    <t>KSK pálya nézőtér felújítás támogatása</t>
  </si>
  <si>
    <t>Vízi-közmű hálózaton végzett felújítási munkák</t>
  </si>
  <si>
    <t>Központi Óvoda hátsó épületrész villamos hálózat felújítása</t>
  </si>
  <si>
    <t>Államtól átvett ingatlanok állagmegóvó felújítása (pályázati önerő)</t>
  </si>
  <si>
    <t>Jurisics vár turisztikai fejlesztése (2014-ről áthúzódó kifizetések)</t>
  </si>
  <si>
    <t>Egészségház tervezés és kivitelezés (eszközbeszerzések I. és II. ütem)</t>
  </si>
  <si>
    <t>Rohonci u. (Tamás árok) gyaloghíd építése (2014-ről áthúzódó kifizetések)</t>
  </si>
  <si>
    <t>Balog iskola szennyvízelvezető rendszer részleges cseréje</t>
  </si>
  <si>
    <t>Képviselő-testületi munkához informatikai eszközök beszerzése</t>
  </si>
  <si>
    <t>ÖBB tulajdonában lévő volt vasúti pályatest megvásárlása (I. ütem)</t>
  </si>
  <si>
    <t>Kártalanítás 54/2014. (III.27.) KT határozat</t>
  </si>
  <si>
    <t>Kőszegfalvi sportpálya bejárati kapu cseréje</t>
  </si>
  <si>
    <t>Írottkő utcai parkoló építés (2014-ről áthúzódó kifizetések)</t>
  </si>
  <si>
    <t>Liszt F. u. 30. épület bontása</t>
  </si>
  <si>
    <t>Vasivíz Zrt-től átvett vagyon értékeltetése</t>
  </si>
  <si>
    <t>Kőszegfalvi lakóparkhoz vezető út kisajátítása</t>
  </si>
  <si>
    <t xml:space="preserve">912 és 913 hrsz. Ingatlanok megvásárlása </t>
  </si>
  <si>
    <t xml:space="preserve">KRAFT projekt megvalósítása </t>
  </si>
  <si>
    <t>20.</t>
  </si>
  <si>
    <t>21.</t>
  </si>
  <si>
    <t>Kisértékű tárgyi eszköz beszerzések (Chernel K. Városi Könyvtár)</t>
  </si>
  <si>
    <t>Bérlakás értékesítési bevétel</t>
  </si>
  <si>
    <t>Tájékoztató tábla felállítása Kőszegfalván</t>
  </si>
  <si>
    <t>Útfelújítási keretösszeg (Ambró Gy. U. 2 M Ft, stb)</t>
  </si>
  <si>
    <t>Bezerédy u. 3. (40 lakás) tetőfelújítás (2014-ről áthúzódó kifizetések)</t>
  </si>
  <si>
    <t>Koronaőrző bunker világítás felújítás</t>
  </si>
  <si>
    <t>Kőszeg Város Önkormányzatának központilag szabályozott bevételei 2015. évben</t>
  </si>
  <si>
    <t>Kőszegi Városi Múzeum</t>
  </si>
  <si>
    <t>Előző évi maradvány</t>
  </si>
  <si>
    <t>Finanszírozási bevételek összesen:</t>
  </si>
  <si>
    <t>Költségvetési bevételek összesen:</t>
  </si>
  <si>
    <t>Működési célú támogatások áht-n belülről</t>
  </si>
  <si>
    <t>Közhatalmi bevételek</t>
  </si>
  <si>
    <t>Működési bevételek</t>
  </si>
  <si>
    <t>Felhalmozási bevételek</t>
  </si>
  <si>
    <t>Működési célú átvett pénzeszközök</t>
  </si>
  <si>
    <t>BEVÉTELEK ÖSSZESEN</t>
  </si>
  <si>
    <t>Felhalmozási c. támogatások áht-n belülről</t>
  </si>
  <si>
    <t>Beruházások</t>
  </si>
  <si>
    <t>Felújítások</t>
  </si>
  <si>
    <t>Egyéb felhalmozási c. kiadások</t>
  </si>
  <si>
    <t xml:space="preserve">Finanszírozási kiadások </t>
  </si>
  <si>
    <t>KIADÁSOK ÖSSZESEN</t>
  </si>
  <si>
    <t>Költségvetési létszámkeret (fő)</t>
  </si>
  <si>
    <t>Egyéb működési c. kiadások összesen:</t>
  </si>
  <si>
    <t xml:space="preserve">Működési c. tartalékok </t>
  </si>
  <si>
    <t xml:space="preserve">Felhalmozási c. tartalékok </t>
  </si>
  <si>
    <t xml:space="preserve">3. Kőszegi Városi Múzeum </t>
  </si>
  <si>
    <t>Egyéb műk c támogatások, elvonások, befizetések</t>
  </si>
  <si>
    <t>Irányító szervi (adott-kapott) támogatással nettósítva:</t>
  </si>
  <si>
    <t>Egyéb felhalm c támogatások, kölcsönök áht-n belülre és kívülre</t>
  </si>
  <si>
    <t xml:space="preserve">A helyi önkormányzatok általános müködésének és ágazati feladatainak támogatása (2014. évi C. törvény 2. melléklete szerint)  </t>
  </si>
  <si>
    <t>Központi támogatások összesen (2014. évi C. törvény 2. és 3. melléklete szerint):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</si>
  <si>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</si>
  <si>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</si>
  <si>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</si>
  <si>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</si>
  <si>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</si>
  <si>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4.  Köznevelési intézmények működtetéséhez kapcsolódó támogatás</t>
  </si>
  <si>
    <t>5.  Pedagógus II. kategóriába sorolt óvodapedagógusok kiegészítő támogatása</t>
  </si>
  <si>
    <t>1. Pénzbeli szociális ellátások kiegészítése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</si>
  <si>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</si>
  <si>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</si>
  <si>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</si>
  <si>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 xml:space="preserve">          2015. évi felhalmozási célú bevételek </t>
  </si>
  <si>
    <t>Felhalmozási bevételek (saját bevételek)</t>
  </si>
  <si>
    <t>Vasivíz vízdíj használati díjak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</si>
  <si>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</si>
  <si>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</si>
  <si>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</si>
  <si>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</si>
  <si>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</si>
  <si>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</si>
  <si>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</si>
  <si>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</si>
  <si>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</si>
  <si>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</si>
  <si>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</si>
  <si>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</si>
  <si>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</si>
  <si>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</si>
  <si>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</si>
  <si>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>2015. évi eredeti előirányzat</t>
  </si>
  <si>
    <t xml:space="preserve">                - ebből felhalmozási célú állami támogatás 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</si>
  <si>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</si>
  <si>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</si>
  <si>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</si>
  <si>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</si>
  <si>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</si>
  <si>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</si>
  <si>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</si>
  <si>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</si>
  <si>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</si>
  <si>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</si>
  <si>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</si>
  <si>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</si>
  <si>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</si>
  <si>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</si>
  <si>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</si>
  <si>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Támogatás összege 2015. 01. 01.                                         (Ft)</t>
  </si>
  <si>
    <t>6. A 2014. évről áthúzódó bérkompenzáció támogatása</t>
  </si>
  <si>
    <t>6. Szociális ágazati pótlék</t>
  </si>
  <si>
    <t>i) A települési önkormányzatok könyvtári célú érdekeltségnövelő támogatása</t>
  </si>
  <si>
    <t xml:space="preserve">A helyi önkormányzatok kiegészítő támogatásai  (2014. évi C. törvény 3. melléklete szerint)  </t>
  </si>
  <si>
    <t xml:space="preserve">A helyi önkormányzatok kiegészítő támogatásai összesen: </t>
  </si>
  <si>
    <t>I. Helyi önkormányzatok működési célú költségvetési támogatásai</t>
  </si>
  <si>
    <t>II. Helyi önkormányzatok felhalmozási célú költségvetési támogatásai</t>
  </si>
  <si>
    <t>III.  Önkormányzati fejezeti tartalék</t>
  </si>
  <si>
    <t xml:space="preserve">4. A települési önkormányzatok rendkívüli támogatása </t>
  </si>
  <si>
    <t xml:space="preserve">2015. évi bérkompenzáció </t>
  </si>
  <si>
    <t>3. Gyermekszegénység elleni program keretében nyári étkeztetés biztosítása</t>
  </si>
  <si>
    <t>22.</t>
  </si>
  <si>
    <t>ÁROP 1.A.3 pályázat informatikai eszközök</t>
  </si>
  <si>
    <t>Lóránt Gy. U. vízellátás tervezése</t>
  </si>
  <si>
    <t>23.</t>
  </si>
  <si>
    <t>Hagyománőrző játékok (Jurisics-vár Műv. Központ és Várszínház)</t>
  </si>
  <si>
    <t xml:space="preserve">Jurisich Miklós Gimnázium kollégium fürdőfelújítás 112/2015(V.28.) sz határozat alapján </t>
  </si>
  <si>
    <t xml:space="preserve">Teljesítés </t>
  </si>
  <si>
    <t>Teljesítés %</t>
  </si>
  <si>
    <t>Teljesítés %-ban</t>
  </si>
  <si>
    <t xml:space="preserve"> - ebből egyéb működési célú támogatás áht-n belülről</t>
  </si>
  <si>
    <t xml:space="preserve">     -  ebből egyéb felhalmozási c visszatérítendő tám, kölcsönök</t>
  </si>
  <si>
    <t xml:space="preserve">     -  ebből egyéb felhalmozási c átvett pénzeszközök</t>
  </si>
  <si>
    <t xml:space="preserve">               -ebből működési célú tám áht-n belülre</t>
  </si>
  <si>
    <t xml:space="preserve">               -ebből működési célú tám áht-n kívülre</t>
  </si>
  <si>
    <t xml:space="preserve">               -ebből felhalmozási c visszatérítendő tám, kölcsönök nyújtása</t>
  </si>
  <si>
    <t xml:space="preserve">               -ebből egyéb felhalmozási c tám áht-n belülre</t>
  </si>
  <si>
    <t xml:space="preserve">               -ebből egyéb felhalmozási c tám áht-n kívülre</t>
  </si>
  <si>
    <t>2015. évben</t>
  </si>
  <si>
    <t>E Ft</t>
  </si>
  <si>
    <t>Bevételi előirányzatok</t>
  </si>
  <si>
    <t>Kiadási előirányzatok</t>
  </si>
  <si>
    <t>Laptop értékesítés (Kőszegi Közös Önk. Hivatal)</t>
  </si>
  <si>
    <t>Felhalmozási célú átvett pénzeszközök, kölcsönök visszatérülése</t>
  </si>
  <si>
    <t>Előző évek közműépítéseinek lakossági hozzájárulása</t>
  </si>
  <si>
    <t>Kisértékű tárgyi eszköz beszerzés (önkormányzat)</t>
  </si>
  <si>
    <t>Kiegészítő szociális ágazati pótlék</t>
  </si>
  <si>
    <t xml:space="preserve">           4.aa) Kötelező önkormányzati feladatot ellátó intzémények fejlesztése, felújítása</t>
  </si>
  <si>
    <t>Központi Óvoda felújításának pályázati támogatás</t>
  </si>
  <si>
    <t>Kőszegi Városi Múzeum szoftverbeszerzés pályázati támogatás</t>
  </si>
  <si>
    <t>25.</t>
  </si>
  <si>
    <t>26.</t>
  </si>
  <si>
    <t>Kisértékű tárgyi eszköz beszerzések (Jurisics-vár Műv.Központ és Várszínház)</t>
  </si>
  <si>
    <t>27.</t>
  </si>
  <si>
    <t>Szellemi termék beszerzése (Kőszegi Városi Múzeum)</t>
  </si>
  <si>
    <t>KRAFT projekt megvalósítása -eszközbeszerzés</t>
  </si>
  <si>
    <t>Kisértékű tárgyi eszköz, szellemi termék  beszerzések (Kőszegi Közös Önkormányzati Hivatal)</t>
  </si>
  <si>
    <t>Előző években értkesített ingatlanok törlesztőrészlete</t>
  </si>
  <si>
    <t>(E Ft)</t>
  </si>
  <si>
    <t>Chernel K. Városi Könyvtár</t>
  </si>
  <si>
    <t>Jurisics-vár Művelődési Központ</t>
  </si>
  <si>
    <t>Kőszegi Közös Önkormány-zati Hivatal</t>
  </si>
  <si>
    <t>Önkormányzat és intézmények összesen: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</si>
  <si>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</si>
  <si>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</si>
  <si>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</si>
  <si>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</si>
  <si>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</si>
  <si>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</si>
  <si>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</si>
  <si>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</si>
  <si>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</si>
  <si>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</si>
  <si>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</si>
  <si>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</si>
  <si>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</si>
  <si>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</si>
  <si>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</si>
  <si>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</si>
  <si>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</si>
  <si>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</si>
  <si>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</si>
  <si>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Kőszeg Város Önkormányzata maradványának felhasználása</t>
  </si>
  <si>
    <t>Hozzájárulás visszautalása Velem községi Önkormányzatnak</t>
  </si>
  <si>
    <t>Hozzájárulás visszautalása Bozsok községi Önkormányzatnak</t>
  </si>
  <si>
    <t>Finanszírozás visszavonása Kőszeg Város Önkormányzata</t>
  </si>
  <si>
    <t xml:space="preserve"> </t>
  </si>
  <si>
    <t>V.</t>
  </si>
  <si>
    <t>Önkormányzat és intézményei összesen (I.+II.+III.+IV.+V.):</t>
  </si>
  <si>
    <t>(E Ft-ban)</t>
  </si>
  <si>
    <t>Kőszegi Közös Önkormányzati Hivatal</t>
  </si>
  <si>
    <t>ESZKÖZÖK</t>
  </si>
  <si>
    <t>A/1</t>
  </si>
  <si>
    <t>Immateriális javak</t>
  </si>
  <si>
    <t>A/II/1</t>
  </si>
  <si>
    <t>Ingatlanok és a kapcsolódó vagyoni értékű jogok</t>
  </si>
  <si>
    <t>A/II/2</t>
  </si>
  <si>
    <t>Gépek, berendezések, felszerelések, járművek</t>
  </si>
  <si>
    <t>A/II/3</t>
  </si>
  <si>
    <t>Tenyészállatok</t>
  </si>
  <si>
    <t>A/II/4</t>
  </si>
  <si>
    <t>Beruházások, felújítások</t>
  </si>
  <si>
    <t>A/II/5</t>
  </si>
  <si>
    <t>Tárgyi eszközök értékhelyesbítése</t>
  </si>
  <si>
    <t>A/II</t>
  </si>
  <si>
    <t>Tárgyi eszközök (=A/II/1+...+A/II/5)</t>
  </si>
  <si>
    <t>A/III/1</t>
  </si>
  <si>
    <t xml:space="preserve">Tartós részesedések </t>
  </si>
  <si>
    <t>A/III/2</t>
  </si>
  <si>
    <t xml:space="preserve"> Tartós hitelviszonyt megtestesítő értékpapírok </t>
  </si>
  <si>
    <t>A/III/3</t>
  </si>
  <si>
    <t>Befektetett pénzügyi eszközök értékhelyesbítése</t>
  </si>
  <si>
    <t>A/III</t>
  </si>
  <si>
    <t>Befektetett pénzügyi eszközök (=A/III/1+A/III/2+A/III/3)</t>
  </si>
  <si>
    <t>A/IV</t>
  </si>
  <si>
    <t>Koncesszióba, vagyonkezelésbe adott eszközök</t>
  </si>
  <si>
    <t>A</t>
  </si>
  <si>
    <t>NEMZETI VAGYONBA TARTOZÓ BEFEKTETETT ESZKÖZÖK (=A/I+A/II+A/III+A/IV)</t>
  </si>
  <si>
    <t>B/I</t>
  </si>
  <si>
    <t>Készletek</t>
  </si>
  <si>
    <t>B/II</t>
  </si>
  <si>
    <t>Értékpapírok</t>
  </si>
  <si>
    <t>B</t>
  </si>
  <si>
    <t>NEMZETI VAGYONBA TARTOZÓ FORGÓESZKÖZÖK                     (= B/I+B/II)</t>
  </si>
  <si>
    <t>C/I</t>
  </si>
  <si>
    <t>Hosszú lejáratú betétek</t>
  </si>
  <si>
    <t>C/II</t>
  </si>
  <si>
    <t>Pénztárak, csekkek, betétkönyvek</t>
  </si>
  <si>
    <t>C/III</t>
  </si>
  <si>
    <t>Forintszámlák</t>
  </si>
  <si>
    <t>C/IV</t>
  </si>
  <si>
    <t>Devizaszámlák</t>
  </si>
  <si>
    <t>C/V</t>
  </si>
  <si>
    <t>Idegen pénzeszközök</t>
  </si>
  <si>
    <t>C</t>
  </si>
  <si>
    <t>PÉNZESZKÖZÖK (=C/I+…+C/V)</t>
  </si>
  <si>
    <t>D/I</t>
  </si>
  <si>
    <t xml:space="preserve">Költségvetési évben esedékes követelések </t>
  </si>
  <si>
    <t>D/II</t>
  </si>
  <si>
    <t>Költségvetési évet követően esedékes követelések</t>
  </si>
  <si>
    <t>D/III</t>
  </si>
  <si>
    <t>Követelés jellegű sajátos elszámolások</t>
  </si>
  <si>
    <t>D</t>
  </si>
  <si>
    <t xml:space="preserve">KÖVETELÉSEK (=D/I+D/II+D/III) </t>
  </si>
  <si>
    <t>E</t>
  </si>
  <si>
    <t>EGYÉB SAJÁTOS ESZKÖZOLDALI ELSZÁMOLÁSOK</t>
  </si>
  <si>
    <t>F</t>
  </si>
  <si>
    <t>AKTÍV IDŐBELI ELHATÁROLÁSOK</t>
  </si>
  <si>
    <t>ESZKÖZÖK ÖSSZESEN (=A+B+C+D+E+F)</t>
  </si>
  <si>
    <t>FORRÁSOK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</si>
  <si>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</si>
  <si>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</si>
  <si>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</si>
  <si>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</si>
  <si>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</si>
  <si>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</si>
  <si>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</si>
  <si>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</si>
  <si>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</si>
  <si>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</si>
  <si>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</si>
  <si>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</si>
  <si>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</si>
  <si>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</si>
  <si>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</si>
  <si>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</si>
  <si>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</si>
  <si>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</si>
  <si>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</si>
  <si>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>Kötelezettség jellegű sajátos elszámolások</t>
  </si>
  <si>
    <t>H</t>
  </si>
  <si>
    <t>KÖTELEZETTSÉGEK (=H/I+H/II+H/III)</t>
  </si>
  <si>
    <t>I</t>
  </si>
  <si>
    <t>EGYÉB SAJÁTOS FORRÁSOLDALI ELSZÁMOLÁSOK</t>
  </si>
  <si>
    <t>J</t>
  </si>
  <si>
    <t>KINCSTÁRI SZÁMLAVEZETÉSSEL KAPCSOLATOS ELSZÁMOLÁSOK</t>
  </si>
  <si>
    <t>K</t>
  </si>
  <si>
    <t>PASSZÍV IDŐBELI ELHATÁROLÁSOK</t>
  </si>
  <si>
    <t xml:space="preserve">FORRÁSOK ÖSSZESEN (=G+H+I+J+K) </t>
  </si>
  <si>
    <t>az Európai Uniós forrásból megvalósított, ill. tervezett projektek bevételeiről és kiadásairól, valamint az önkormányzaton kívüli ilyen projektekhez történő hozzájárulásról</t>
  </si>
  <si>
    <t>Jurisics Vár turisztikai hasznosítása</t>
  </si>
  <si>
    <t>2008.</t>
  </si>
  <si>
    <t>2009.</t>
  </si>
  <si>
    <t>2010.</t>
  </si>
  <si>
    <t>2011.</t>
  </si>
  <si>
    <t>2012.</t>
  </si>
  <si>
    <t>2013.</t>
  </si>
  <si>
    <t>2014.</t>
  </si>
  <si>
    <t>Bevételek (források)</t>
  </si>
  <si>
    <t>Európai Unios forrás</t>
  </si>
  <si>
    <t>Kormányzati támogatás</t>
  </si>
  <si>
    <t>Egyéb bevétel</t>
  </si>
  <si>
    <t>Fejlesztési hitel felvétel (támogatás megelőlegező)</t>
  </si>
  <si>
    <t>Önkormányzat saját forrásaiból</t>
  </si>
  <si>
    <t>Kiadások:</t>
  </si>
  <si>
    <t>Fejlesztés</t>
  </si>
  <si>
    <t>Fejlesztési hitel visszafizetése (támogatás megelőlegező)</t>
  </si>
  <si>
    <t>Egyéb kiadás</t>
  </si>
  <si>
    <t>Történelmi belváros rehabilitációja</t>
  </si>
  <si>
    <t>Alpannónia turistaút projekt</t>
  </si>
  <si>
    <t>Fejlesztési c. átadás, támogatásért. kiadás</t>
  </si>
  <si>
    <t xml:space="preserve">Egyéb kiadás </t>
  </si>
  <si>
    <t>Foglalkoztatási paktum II. pályázat</t>
  </si>
  <si>
    <t>TÁMOP kulturális szakember képzés (könyvtár)</t>
  </si>
  <si>
    <t>KŐ-KÖZ-MŰ projekt (Jurisics-vár)</t>
  </si>
  <si>
    <t>Önkormányzaton kívüli, Európai unios forrásból megvalósuló programokhoz, projektekhez való hozzájárulás:</t>
  </si>
  <si>
    <t>Balog iskola felújítási pályázata</t>
  </si>
  <si>
    <t>Egyéb támogatás</t>
  </si>
  <si>
    <t>2015.12.31. módosított előirányzat</t>
  </si>
  <si>
    <t>Támogatás összege 2015. 12.31.             (Ft)</t>
  </si>
  <si>
    <t>Módosított ei. 12.31.</t>
  </si>
  <si>
    <t>2015. évi maradvány kimutatása</t>
  </si>
  <si>
    <t>Önkormányzat 2015. évi képződött maradványa</t>
  </si>
  <si>
    <t>2015. évi állami támogatások elszámolása miatti visszafizetés</t>
  </si>
  <si>
    <t>Kőszegi Közös Önkormányzati Hivatal 2015. évben képződött maradványa:</t>
  </si>
  <si>
    <t>Chernel K. Városi Könyvtár 2015. évben képződött maradványa:</t>
  </si>
  <si>
    <t>Jurisics-vár Művelődési Központ és Várszínház 2015. évben képződött maradványa:</t>
  </si>
  <si>
    <t>Kőszegi Városi Múzeum 2015. évben képződött maradványa</t>
  </si>
  <si>
    <t>Kőszeg Város Önkormányzatának 2015. évi vagyonmérlege</t>
  </si>
  <si>
    <t>2015.</t>
  </si>
  <si>
    <t xml:space="preserve">           7.d. Járásszékhely települési önkormányzatok által fenntartott múzeumok szakmai támogatása</t>
  </si>
  <si>
    <t>IV.  VIS MAIOR támogatás</t>
  </si>
  <si>
    <t xml:space="preserve">              Vis Maior támogatás</t>
  </si>
  <si>
    <t>Család és gyermekjóléti Központ</t>
  </si>
  <si>
    <t xml:space="preserve">           7.a. Közművelődési érdekeltségnövelő támogatás</t>
  </si>
  <si>
    <t>Szociális Gondozási Központban kialakítandó család és gyermekjóléti központ fejlesztési támogatása</t>
  </si>
  <si>
    <t xml:space="preserve">Közművelődési érdekletségnövelő támogatás </t>
  </si>
  <si>
    <t>Érdekeltségnövelő pályázat támogatás és saját erőből beszerzett eszközök (Jurisics-vár Műv. Központ és Várszínház)</t>
  </si>
  <si>
    <t>Informatikai eszközök és egyéb tárgyi eszköz beszerzések (Kőszegi Városi Múzeum)</t>
  </si>
  <si>
    <t xml:space="preserve">24. </t>
  </si>
  <si>
    <t xml:space="preserve">Vízkárelhárítási terv </t>
  </si>
  <si>
    <t>28.</t>
  </si>
  <si>
    <t xml:space="preserve">10. </t>
  </si>
  <si>
    <t>Balog iskola lábazatfelújítás</t>
  </si>
  <si>
    <t xml:space="preserve">Nepumuki kápolna világítás </t>
  </si>
  <si>
    <t>Szulejmán kilátó világítás</t>
  </si>
  <si>
    <t>Kálvária u. felújításához átvett péneszköz</t>
  </si>
  <si>
    <t>Radiátor csere</t>
  </si>
  <si>
    <t>Lift főkapcsoló csere</t>
  </si>
  <si>
    <t>Fénymásoló</t>
  </si>
  <si>
    <t>Megbízási díjak Chernel Kálmán halálának évfordulójához kapcsolódóan</t>
  </si>
  <si>
    <t>Karbantartási , villanyszerlési munkák, porszívó  beszerzés</t>
  </si>
  <si>
    <t>Kálvária utca felújítása</t>
  </si>
  <si>
    <t>ERASMUS + pályázati támogatás maradványa</t>
  </si>
  <si>
    <t>Összes maradvány</t>
  </si>
  <si>
    <t>2016. évi költségvetésbe beépített feladatok</t>
  </si>
  <si>
    <t>Kötelezettségvállalással terhelt maradvány</t>
  </si>
  <si>
    <t>Központi Óvoda felújításhoz kapcsolódó tervezési szerződés</t>
  </si>
  <si>
    <t xml:space="preserve">Működési feladatok összesen </t>
  </si>
  <si>
    <t xml:space="preserve">Fejlesztési feladatok összesen </t>
  </si>
  <si>
    <t>Vagyonkezelési díj turistaszálló (2010. és 2011. évi )</t>
  </si>
  <si>
    <t>Villamosenergia közbeszerzési eljárás szakértői díja</t>
  </si>
  <si>
    <t>Egészségház tűzjelző rendszerének karbantartása</t>
  </si>
  <si>
    <t xml:space="preserve">Központi Óvoda felújítása </t>
  </si>
  <si>
    <t>2016. évi állami támogatások előlegének elszámolása</t>
  </si>
  <si>
    <t xml:space="preserve">Vasi Víz víz és szennyvízhálózat rekonstrukció számlái </t>
  </si>
  <si>
    <t>Köz- és díszvilágítás karbantartása</t>
  </si>
  <si>
    <t>2016. évi költségvetésbe a zárszámadás követően beépítendő maradvány</t>
  </si>
  <si>
    <t>Kamera rendszer karbantartása</t>
  </si>
  <si>
    <t>Szabad maradvány felhasználási terve</t>
  </si>
  <si>
    <t>MARADVÁNY ÖSSZESEN:</t>
  </si>
  <si>
    <t>2016. évi kiadások fedezeteként a 2016. évi költségvetésbe szereplő összeg</t>
  </si>
  <si>
    <t>Szabad maradvány tartalékba helyezése</t>
  </si>
  <si>
    <t>WIN Szoc rendszer karbantartása</t>
  </si>
  <si>
    <t>Jurisics tér 8. épület karbantartása (volt okmányiroda)</t>
  </si>
  <si>
    <t>Könyvbeszerzés</t>
  </si>
  <si>
    <t>Ingatlanvagyon kataszter karbantartása</t>
  </si>
  <si>
    <t>IV</t>
  </si>
  <si>
    <t>Szabad maradvány összesen:</t>
  </si>
  <si>
    <t xml:space="preserve"> ÁROP.-1.A.5.-2013-2013-0037 projekt szervezetfejlesztési projekt</t>
  </si>
  <si>
    <t xml:space="preserve"> ÁROP.-1.A.53-2014-2014-0019 projekt Esélyteremtési akcióprogram a Kőszegi Járásban</t>
  </si>
  <si>
    <t>Egészségház építése Kőszegen</t>
  </si>
  <si>
    <t>Járásszékhely települési önkormányzatok által fenntartott múzeumok szakmai támogatása pályázat maradványa</t>
  </si>
  <si>
    <t>Múzeumi pórtál tárgyi adatbázis fejlesztése</t>
  </si>
  <si>
    <t>Kubinyik Ágoston program pályázati saját erő</t>
  </si>
  <si>
    <t>A Kelcz–Adelffy utcai épületrészben és az Arany Egyszarvú Patika udvarán két fenyő, egy madárberkenye és egy nyírfa kivágása, elszállítása).</t>
  </si>
  <si>
    <t>Restaurátor műhely egykaros laboratórium mobil elszívó rendszer,LUXO nagyítós lámpa LFM 101, RESKO sztereo mikroszkóp rugós karral + rögzítő elem az asztalhoz</t>
  </si>
  <si>
    <t>Kőszegi Városi Múzeumban használhatatlan mosdó felújítása</t>
  </si>
  <si>
    <t>Fekete Szerecseny Patika elektromos hálózatának terveztetése, engedélyeztetése</t>
  </si>
  <si>
    <t>Hősök tornya, Tábornokház nyílászáróinak javítása, mázolása</t>
  </si>
  <si>
    <t>A Fúvószenekar 150. évfordulójára kiállítás (vár)</t>
  </si>
  <si>
    <t>A Tábornokház előterében 3. fázis vezetékének cseréje</t>
  </si>
  <si>
    <t>Az Arany Egyszarvú Patika udvari szárnya Ipartestület felé néző tetejének javítása, tetőablak megszüntetéses (hullik le a tetőcserép)</t>
  </si>
  <si>
    <t>Kiállító terekben izzók cseréje</t>
  </si>
  <si>
    <t>Kis értékű tárgyi eszköz beszerzés (volt okmányiroda berendezése)</t>
  </si>
  <si>
    <t>ERASMUS+ pályázat</t>
  </si>
  <si>
    <t>Az előirányzatok megoszlása feladatjelleg alapján</t>
  </si>
  <si>
    <t>Kötelező feladatok</t>
  </si>
  <si>
    <t>Önként vállalt feladatok</t>
  </si>
  <si>
    <t>Államigazgatási feladatok</t>
  </si>
  <si>
    <t>Államháztartáson belüli megelőlegezés</t>
  </si>
  <si>
    <t>Irányító szervi támogatás bevétele / államháztartáson belüli megelőlegezések</t>
  </si>
  <si>
    <t>Szabad maradványból wifi hálózat kiépítése a belvárosban</t>
  </si>
  <si>
    <t xml:space="preserve">összesen </t>
  </si>
  <si>
    <t>1. melléklet a 13/2016. (IV. 29.) önkormányzati rendelethez</t>
  </si>
  <si>
    <t>2. melléklet a 13/2016. (IV. 29.) önkormányzati rendelethez</t>
  </si>
  <si>
    <t>3. melléklet a 13/2016. (IV. 29.) önkormányzati rendelethez</t>
  </si>
  <si>
    <t>4. melléklet a 13/2016. (IV. 29.) önkormányzati rendelethez</t>
  </si>
  <si>
    <t>5. melléklet a 13/2016. (IV. 29.) önkormányzati rendelethez</t>
  </si>
  <si>
    <t>6. melléklet a 13/2016. (IV. 29.) önkormányzati rendelethez</t>
  </si>
  <si>
    <t>7. melléklet a 13/2016. (IV. 29.) önkormányzati rendelethez</t>
  </si>
  <si>
    <t>8. melléklet a 13/2016. (IV. 29.) önkormányzati rendelethez</t>
  </si>
  <si>
    <t>9. melléklet a 13/2016. (IV. 29.)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</si>
</sst>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sz val="10"/>
      <name val="Arial"/>
      <family val="0"/>
    </font>
    <font>
      <b/>
      <i/>
      <sz val="12"/>
      <name val="Times New Roman"/>
      <family val="1"/>
    </font>
    <font>
      <b/>
      <i/>
      <sz val="11"/>
      <name val="Times New Roman CE"/>
      <family val="1"/>
    </font>
    <font>
      <b/>
      <i/>
      <sz val="11"/>
      <name val="Times New Roman"/>
      <family val="1"/>
    </font>
    <font>
      <b/>
      <i/>
      <sz val="10"/>
      <name val="Arial CE"/>
      <family val="0"/>
    </font>
    <font>
      <b/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5" fillId="3" borderId="0" applyNumberFormat="0" applyBorder="0" applyAlignment="0" applyProtection="0"/>
    <xf numFmtId="0" fontId="23" fillId="7" borderId="1" applyNumberFormat="0" applyAlignment="0" applyProtection="0"/>
    <xf numFmtId="0" fontId="37" fillId="20" borderId="1" applyNumberFormat="0" applyAlignment="0" applyProtection="0"/>
    <xf numFmtId="0" fontId="28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3" fillId="7" borderId="1" applyNumberFormat="0" applyAlignment="0" applyProtection="0"/>
    <xf numFmtId="0" fontId="0" fillId="22" borderId="7" applyNumberFormat="0" applyFont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1" fillId="4" borderId="0" applyNumberFormat="0" applyBorder="0" applyAlignment="0" applyProtection="0"/>
    <xf numFmtId="0" fontId="32" fillId="20" borderId="8" applyNumberFormat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2" borderId="7" applyNumberFormat="0" applyFont="0" applyAlignment="0" applyProtection="0"/>
    <xf numFmtId="0" fontId="32" fillId="20" borderId="8" applyNumberFormat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 applyFill="1" applyAlignment="1">
      <alignment horizontal="center"/>
    </xf>
    <xf numFmtId="3" fontId="18" fillId="0" borderId="10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19" fillId="0" borderId="0" xfId="0" applyFont="1" applyAlignment="1">
      <alignment horizontal="left"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4" borderId="0" xfId="0" applyFont="1" applyFill="1" applyBorder="1" applyAlignment="1">
      <alignment/>
    </xf>
    <xf numFmtId="3" fontId="4" fillId="4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3" fontId="4" fillId="3" borderId="0" xfId="0" applyNumberFormat="1" applyFont="1" applyFill="1" applyBorder="1" applyAlignment="1">
      <alignment horizontal="right"/>
    </xf>
    <xf numFmtId="0" fontId="4" fillId="4" borderId="0" xfId="0" applyFont="1" applyFill="1" applyAlignment="1">
      <alignment vertical="top"/>
    </xf>
    <xf numFmtId="3" fontId="4" fillId="4" borderId="0" xfId="0" applyNumberFormat="1" applyFont="1" applyFill="1" applyAlignment="1">
      <alignment/>
    </xf>
    <xf numFmtId="3" fontId="4" fillId="3" borderId="0" xfId="0" applyNumberFormat="1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1" fillId="0" borderId="0" xfId="0" applyFont="1" applyAlignment="1">
      <alignment/>
    </xf>
    <xf numFmtId="0" fontId="5" fillId="4" borderId="0" xfId="0" applyFont="1" applyFill="1" applyAlignment="1">
      <alignment/>
    </xf>
    <xf numFmtId="3" fontId="5" fillId="4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3" fontId="5" fillId="3" borderId="0" xfId="0" applyNumberFormat="1" applyFont="1" applyFill="1" applyAlignment="1">
      <alignment/>
    </xf>
    <xf numFmtId="3" fontId="4" fillId="3" borderId="0" xfId="0" applyNumberFormat="1" applyFont="1" applyFill="1" applyAlignment="1">
      <alignment horizontal="right"/>
    </xf>
    <xf numFmtId="0" fontId="4" fillId="4" borderId="0" xfId="96" applyFont="1" applyFill="1" applyAlignment="1">
      <alignment horizontal="left" vertical="top"/>
      <protection/>
    </xf>
    <xf numFmtId="0" fontId="4" fillId="3" borderId="0" xfId="96" applyFont="1" applyFill="1" applyAlignment="1">
      <alignment horizontal="left" vertical="top"/>
      <protection/>
    </xf>
    <xf numFmtId="3" fontId="4" fillId="4" borderId="0" xfId="0" applyNumberFormat="1" applyFont="1" applyFill="1" applyAlignment="1">
      <alignment horizontal="right"/>
    </xf>
    <xf numFmtId="0" fontId="4" fillId="3" borderId="0" xfId="96" applyFont="1" applyFill="1" applyAlignment="1">
      <alignment horizontal="left"/>
      <protection/>
    </xf>
    <xf numFmtId="0" fontId="4" fillId="3" borderId="0" xfId="96" applyFont="1" applyFill="1" applyBorder="1" applyAlignment="1">
      <alignment/>
      <protection/>
    </xf>
    <xf numFmtId="3" fontId="4" fillId="3" borderId="0" xfId="96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left" wrapText="1"/>
    </xf>
    <xf numFmtId="3" fontId="4" fillId="0" borderId="0" xfId="94" applyNumberFormat="1" applyFont="1" applyFill="1" applyAlignment="1">
      <alignment vertical="top"/>
      <protection/>
    </xf>
    <xf numFmtId="0" fontId="4" fillId="0" borderId="0" xfId="94" applyFont="1" applyFill="1" applyAlignment="1">
      <alignment vertical="top"/>
      <protection/>
    </xf>
    <xf numFmtId="0" fontId="3" fillId="0" borderId="0" xfId="97" applyFont="1" applyFill="1" applyBorder="1">
      <alignment/>
      <protection/>
    </xf>
    <xf numFmtId="3" fontId="4" fillId="0" borderId="0" xfId="94" applyNumberFormat="1" applyFont="1" applyFill="1">
      <alignment/>
      <protection/>
    </xf>
    <xf numFmtId="0" fontId="4" fillId="0" borderId="0" xfId="94" applyFont="1" applyFill="1">
      <alignment/>
      <protection/>
    </xf>
    <xf numFmtId="0" fontId="3" fillId="0" borderId="0" xfId="94" applyFont="1" applyFill="1">
      <alignment/>
      <protection/>
    </xf>
    <xf numFmtId="3" fontId="20" fillId="0" borderId="0" xfId="94" applyNumberFormat="1" applyFont="1" applyFill="1" applyAlignment="1">
      <alignment horizontal="center" wrapText="1"/>
      <protection/>
    </xf>
    <xf numFmtId="0" fontId="13" fillId="0" borderId="0" xfId="94" applyFont="1" applyFill="1">
      <alignment/>
      <protection/>
    </xf>
    <xf numFmtId="0" fontId="5" fillId="0" borderId="0" xfId="94" applyFont="1" applyFill="1">
      <alignment/>
      <protection/>
    </xf>
    <xf numFmtId="3" fontId="5" fillId="0" borderId="0" xfId="94" applyNumberFormat="1" applyFont="1" applyFill="1">
      <alignment/>
      <protection/>
    </xf>
    <xf numFmtId="0" fontId="6" fillId="0" borderId="0" xfId="94" applyFont="1" applyFill="1">
      <alignment/>
      <protection/>
    </xf>
    <xf numFmtId="0" fontId="7" fillId="20" borderId="0" xfId="94" applyFont="1" applyFill="1" applyBorder="1" applyAlignment="1">
      <alignment horizontal="left"/>
      <protection/>
    </xf>
    <xf numFmtId="3" fontId="4" fillId="20" borderId="0" xfId="94" applyNumberFormat="1" applyFont="1" applyFill="1" applyBorder="1">
      <alignment/>
      <protection/>
    </xf>
    <xf numFmtId="0" fontId="6" fillId="0" borderId="0" xfId="94" applyFont="1" applyFill="1" applyBorder="1" applyAlignment="1">
      <alignment horizontal="left" wrapText="1" indent="3"/>
      <protection/>
    </xf>
    <xf numFmtId="0" fontId="6" fillId="0" borderId="0" xfId="94" applyFont="1" applyFill="1" applyBorder="1" applyAlignment="1">
      <alignment horizontal="left" indent="3"/>
      <protection/>
    </xf>
    <xf numFmtId="0" fontId="4" fillId="0" borderId="0" xfId="94" applyFont="1" applyFill="1" applyBorder="1" applyAlignment="1">
      <alignment horizontal="left" wrapText="1" indent="3"/>
      <protection/>
    </xf>
    <xf numFmtId="0" fontId="4" fillId="0" borderId="0" xfId="94" applyFont="1" applyFill="1" applyBorder="1" applyAlignment="1">
      <alignment horizontal="left" indent="3"/>
      <protection/>
    </xf>
    <xf numFmtId="0" fontId="5" fillId="20" borderId="0" xfId="94" applyFont="1" applyFill="1" applyBorder="1" applyAlignment="1">
      <alignment wrapText="1"/>
      <protection/>
    </xf>
    <xf numFmtId="3" fontId="4" fillId="20" borderId="0" xfId="94" applyNumberFormat="1" applyFont="1" applyFill="1">
      <alignment/>
      <protection/>
    </xf>
    <xf numFmtId="0" fontId="6" fillId="0" borderId="0" xfId="94" applyFont="1" applyFill="1" applyBorder="1" applyAlignment="1">
      <alignment wrapText="1"/>
      <protection/>
    </xf>
    <xf numFmtId="2" fontId="6" fillId="0" borderId="0" xfId="94" applyNumberFormat="1" applyFont="1" applyFill="1" applyBorder="1" applyAlignment="1">
      <alignment horizontal="left" wrapText="1" indent="3"/>
      <protection/>
    </xf>
    <xf numFmtId="0" fontId="4" fillId="0" borderId="0" xfId="94" applyFont="1" applyFill="1" applyBorder="1">
      <alignment/>
      <protection/>
    </xf>
    <xf numFmtId="0" fontId="16" fillId="0" borderId="0" xfId="94" applyFont="1" applyFill="1" applyBorder="1" applyAlignment="1">
      <alignment wrapText="1"/>
      <protection/>
    </xf>
    <xf numFmtId="0" fontId="8" fillId="0" borderId="0" xfId="94" applyFont="1" applyFill="1">
      <alignment/>
      <protection/>
    </xf>
    <xf numFmtId="0" fontId="7" fillId="0" borderId="0" xfId="94" applyFont="1" applyFill="1" applyAlignment="1">
      <alignment horizontal="right"/>
      <protection/>
    </xf>
    <xf numFmtId="0" fontId="8" fillId="0" borderId="0" xfId="94" applyFont="1" applyFill="1" applyAlignment="1">
      <alignment horizontal="right"/>
      <protection/>
    </xf>
    <xf numFmtId="0" fontId="16" fillId="0" borderId="0" xfId="94" applyFont="1" applyFill="1">
      <alignment/>
      <protection/>
    </xf>
    <xf numFmtId="0" fontId="38" fillId="0" borderId="0" xfId="94" applyFont="1" applyFill="1">
      <alignment/>
      <protection/>
    </xf>
    <xf numFmtId="0" fontId="5" fillId="0" borderId="0" xfId="94" applyFont="1" applyFill="1" applyAlignment="1">
      <alignment/>
      <protection/>
    </xf>
    <xf numFmtId="3" fontId="16" fillId="23" borderId="0" xfId="94" applyNumberFormat="1" applyFont="1" applyFill="1">
      <alignment/>
      <protection/>
    </xf>
    <xf numFmtId="0" fontId="16" fillId="23" borderId="0" xfId="94" applyFont="1" applyFill="1" applyBorder="1" applyAlignment="1">
      <alignment wrapText="1"/>
      <protection/>
    </xf>
    <xf numFmtId="3" fontId="16" fillId="23" borderId="0" xfId="94" applyNumberFormat="1" applyFont="1" applyFill="1" applyBorder="1" applyAlignment="1">
      <alignment wrapText="1"/>
      <protection/>
    </xf>
    <xf numFmtId="0" fontId="13" fillId="4" borderId="0" xfId="94" applyFont="1" applyFill="1">
      <alignment/>
      <protection/>
    </xf>
    <xf numFmtId="3" fontId="13" fillId="4" borderId="0" xfId="94" applyNumberFormat="1" applyFont="1" applyFill="1">
      <alignment/>
      <protection/>
    </xf>
    <xf numFmtId="0" fontId="18" fillId="0" borderId="15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5" fillId="0" borderId="0" xfId="94" applyFont="1" applyFill="1" applyBorder="1" applyAlignment="1">
      <alignment horizontal="left" wrapText="1"/>
      <protection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top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wrapText="1"/>
    </xf>
    <xf numFmtId="3" fontId="18" fillId="0" borderId="18" xfId="0" applyNumberFormat="1" applyFont="1" applyFill="1" applyBorder="1" applyAlignment="1">
      <alignment/>
    </xf>
    <xf numFmtId="0" fontId="19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3" fontId="18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8" fillId="0" borderId="15" xfId="0" applyFont="1" applyFill="1" applyBorder="1" applyAlignment="1">
      <alignment wrapText="1"/>
    </xf>
    <xf numFmtId="0" fontId="18" fillId="0" borderId="26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0" fontId="39" fillId="0" borderId="27" xfId="0" applyFont="1" applyFill="1" applyBorder="1" applyAlignment="1">
      <alignment/>
    </xf>
    <xf numFmtId="3" fontId="39" fillId="0" borderId="22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0" fontId="19" fillId="0" borderId="24" xfId="0" applyFont="1" applyFill="1" applyBorder="1" applyAlignment="1">
      <alignment wrapText="1"/>
    </xf>
    <xf numFmtId="0" fontId="39" fillId="0" borderId="20" xfId="0" applyFont="1" applyFill="1" applyBorder="1" applyAlignment="1">
      <alignment horizontal="left" wrapText="1" indent="2"/>
    </xf>
    <xf numFmtId="0" fontId="39" fillId="0" borderId="20" xfId="0" applyFont="1" applyFill="1" applyBorder="1" applyAlignment="1">
      <alignment horizontal="left" indent="2"/>
    </xf>
    <xf numFmtId="3" fontId="4" fillId="4" borderId="0" xfId="0" applyNumberFormat="1" applyFont="1" applyFill="1" applyAlignment="1">
      <alignment/>
    </xf>
    <xf numFmtId="0" fontId="17" fillId="0" borderId="0" xfId="0" applyFont="1" applyAlignment="1">
      <alignment wrapText="1"/>
    </xf>
    <xf numFmtId="0" fontId="19" fillId="0" borderId="2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wrapText="1"/>
    </xf>
    <xf numFmtId="3" fontId="4" fillId="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center"/>
    </xf>
    <xf numFmtId="3" fontId="4" fillId="4" borderId="0" xfId="0" applyNumberFormat="1" applyFont="1" applyFill="1" applyBorder="1" applyAlignment="1">
      <alignment/>
    </xf>
    <xf numFmtId="0" fontId="4" fillId="4" borderId="0" xfId="0" applyFont="1" applyFill="1" applyAlignment="1">
      <alignment horizontal="right"/>
    </xf>
    <xf numFmtId="0" fontId="4" fillId="0" borderId="0" xfId="94" applyFont="1" applyFill="1" applyBorder="1" applyAlignment="1">
      <alignment horizontal="left" wrapText="1"/>
      <protection/>
    </xf>
    <xf numFmtId="3" fontId="4" fillId="0" borderId="0" xfId="94" applyNumberFormat="1" applyFont="1" applyFill="1" applyBorder="1" applyAlignment="1">
      <alignment horizontal="right" wrapText="1"/>
      <protection/>
    </xf>
    <xf numFmtId="0" fontId="3" fillId="0" borderId="0" xfId="97" applyFont="1" applyFill="1" applyBorder="1" applyAlignment="1">
      <alignment horizontal="left"/>
      <protection/>
    </xf>
    <xf numFmtId="0" fontId="19" fillId="0" borderId="0" xfId="0" applyFont="1" applyFill="1" applyBorder="1" applyAlignment="1">
      <alignment horizontal="center" wrapText="1"/>
    </xf>
    <xf numFmtId="4" fontId="18" fillId="0" borderId="18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4" fontId="18" fillId="0" borderId="22" xfId="0" applyNumberFormat="1" applyFont="1" applyFill="1" applyBorder="1" applyAlignment="1">
      <alignment/>
    </xf>
    <xf numFmtId="4" fontId="19" fillId="0" borderId="13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39" fillId="0" borderId="10" xfId="0" applyNumberFormat="1" applyFont="1" applyFill="1" applyBorder="1" applyAlignment="1">
      <alignment/>
    </xf>
    <xf numFmtId="4" fontId="39" fillId="0" borderId="22" xfId="0" applyNumberFormat="1" applyFont="1" applyFill="1" applyBorder="1" applyAlignment="1">
      <alignment/>
    </xf>
    <xf numFmtId="4" fontId="19" fillId="0" borderId="25" xfId="0" applyNumberFormat="1" applyFont="1" applyFill="1" applyBorder="1" applyAlignment="1">
      <alignment/>
    </xf>
    <xf numFmtId="4" fontId="39" fillId="0" borderId="12" xfId="0" applyNumberFormat="1" applyFont="1" applyFill="1" applyBorder="1" applyAlignment="1">
      <alignment/>
    </xf>
    <xf numFmtId="4" fontId="19" fillId="0" borderId="14" xfId="0" applyNumberFormat="1" applyFont="1" applyFill="1" applyBorder="1" applyAlignment="1">
      <alignment/>
    </xf>
    <xf numFmtId="4" fontId="18" fillId="0" borderId="0" xfId="0" applyNumberFormat="1" applyFont="1" applyFill="1" applyAlignment="1">
      <alignment/>
    </xf>
    <xf numFmtId="4" fontId="19" fillId="0" borderId="24" xfId="0" applyNumberFormat="1" applyFont="1" applyFill="1" applyBorder="1" applyAlignment="1">
      <alignment horizontal="center" wrapText="1"/>
    </xf>
    <xf numFmtId="4" fontId="18" fillId="0" borderId="12" xfId="0" applyNumberFormat="1" applyFont="1" applyFill="1" applyBorder="1" applyAlignment="1">
      <alignment/>
    </xf>
    <xf numFmtId="4" fontId="19" fillId="0" borderId="13" xfId="0" applyNumberFormat="1" applyFont="1" applyFill="1" applyBorder="1" applyAlignment="1">
      <alignment/>
    </xf>
    <xf numFmtId="4" fontId="4" fillId="20" borderId="0" xfId="94" applyNumberFormat="1" applyFont="1" applyFill="1" applyBorder="1">
      <alignment/>
      <protection/>
    </xf>
    <xf numFmtId="4" fontId="4" fillId="0" borderId="0" xfId="94" applyNumberFormat="1" applyFont="1" applyFill="1">
      <alignment/>
      <protection/>
    </xf>
    <xf numFmtId="4" fontId="4" fillId="20" borderId="0" xfId="94" applyNumberFormat="1" applyFont="1" applyFill="1">
      <alignment/>
      <protection/>
    </xf>
    <xf numFmtId="4" fontId="16" fillId="23" borderId="0" xfId="94" applyNumberFormat="1" applyFont="1" applyFill="1">
      <alignment/>
      <protection/>
    </xf>
    <xf numFmtId="4" fontId="4" fillId="20" borderId="0" xfId="94" applyNumberFormat="1" applyFont="1" applyFill="1" applyAlignment="1">
      <alignment horizontal="right"/>
      <protection/>
    </xf>
    <xf numFmtId="4" fontId="5" fillId="0" borderId="0" xfId="94" applyNumberFormat="1" applyFont="1" applyFill="1" applyBorder="1" applyAlignment="1">
      <alignment horizontal="left" wrapText="1"/>
      <protection/>
    </xf>
    <xf numFmtId="4" fontId="16" fillId="0" borderId="0" xfId="94" applyNumberFormat="1" applyFont="1" applyFill="1" applyBorder="1" applyAlignment="1">
      <alignment wrapText="1"/>
      <protection/>
    </xf>
    <xf numFmtId="4" fontId="4" fillId="0" borderId="0" xfId="94" applyNumberFormat="1" applyFont="1" applyFill="1" applyBorder="1" applyAlignment="1">
      <alignment horizontal="right" wrapText="1"/>
      <protection/>
    </xf>
    <xf numFmtId="4" fontId="16" fillId="23" borderId="0" xfId="94" applyNumberFormat="1" applyFont="1" applyFill="1" applyBorder="1" applyAlignment="1">
      <alignment horizontal="right" wrapText="1"/>
      <protection/>
    </xf>
    <xf numFmtId="4" fontId="13" fillId="4" borderId="0" xfId="94" applyNumberFormat="1" applyFont="1" applyFill="1" applyAlignment="1">
      <alignment horizontal="right"/>
      <protection/>
    </xf>
    <xf numFmtId="0" fontId="39" fillId="0" borderId="20" xfId="0" applyFont="1" applyFill="1" applyBorder="1" applyAlignment="1">
      <alignment wrapText="1"/>
    </xf>
    <xf numFmtId="0" fontId="19" fillId="0" borderId="28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3" fontId="4" fillId="3" borderId="0" xfId="0" applyNumberFormat="1" applyFont="1" applyFill="1" applyAlignment="1">
      <alignment/>
    </xf>
    <xf numFmtId="0" fontId="4" fillId="0" borderId="0" xfId="94" applyFont="1" applyFill="1" applyBorder="1" applyAlignment="1">
      <alignment wrapText="1"/>
      <protection/>
    </xf>
    <xf numFmtId="3" fontId="3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4" fillId="0" borderId="0" xfId="96" applyFont="1" applyFill="1" applyAlignment="1">
      <alignment horizontal="left"/>
      <protection/>
    </xf>
    <xf numFmtId="0" fontId="4" fillId="4" borderId="0" xfId="0" applyFont="1" applyFill="1" applyAlignment="1">
      <alignment vertical="top" wrapText="1"/>
    </xf>
    <xf numFmtId="0" fontId="4" fillId="4" borderId="0" xfId="96" applyFont="1" applyFill="1" applyBorder="1" applyAlignment="1">
      <alignment vertical="top" wrapText="1"/>
      <protection/>
    </xf>
    <xf numFmtId="0" fontId="4" fillId="3" borderId="0" xfId="0" applyFont="1" applyFill="1" applyAlignment="1">
      <alignment vertical="top" wrapText="1"/>
    </xf>
    <xf numFmtId="3" fontId="4" fillId="4" borderId="0" xfId="96" applyNumberFormat="1" applyFont="1" applyFill="1" applyBorder="1" applyAlignment="1">
      <alignment horizontal="right" vertical="top"/>
      <protection/>
    </xf>
    <xf numFmtId="3" fontId="4" fillId="4" borderId="0" xfId="0" applyNumberFormat="1" applyFont="1" applyFill="1" applyAlignment="1">
      <alignment vertical="top"/>
    </xf>
    <xf numFmtId="3" fontId="4" fillId="3" borderId="0" xfId="0" applyNumberFormat="1" applyFont="1" applyFill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4" fontId="4" fillId="20" borderId="0" xfId="94" applyNumberFormat="1" applyFont="1" applyFill="1" applyBorder="1" applyAlignment="1">
      <alignment horizontal="right" wrapText="1"/>
      <protection/>
    </xf>
    <xf numFmtId="2" fontId="4" fillId="0" borderId="0" xfId="0" applyNumberFormat="1" applyFont="1" applyFill="1" applyAlignment="1">
      <alignment horizontal="right"/>
    </xf>
    <xf numFmtId="0" fontId="4" fillId="0" borderId="0" xfId="93" applyFont="1" applyFill="1" applyBorder="1">
      <alignment/>
      <protection/>
    </xf>
    <xf numFmtId="0" fontId="4" fillId="0" borderId="0" xfId="93" applyFont="1" applyFill="1" applyBorder="1" applyAlignment="1">
      <alignment horizontal="left"/>
      <protection/>
    </xf>
    <xf numFmtId="0" fontId="5" fillId="0" borderId="29" xfId="93" applyFont="1" applyFill="1" applyBorder="1" applyAlignment="1">
      <alignment horizontal="left" vertical="top" wrapText="1"/>
      <protection/>
    </xf>
    <xf numFmtId="0" fontId="3" fillId="0" borderId="30" xfId="93" applyFont="1" applyFill="1" applyBorder="1" applyAlignment="1">
      <alignment horizontal="right" wrapText="1"/>
      <protection/>
    </xf>
    <xf numFmtId="0" fontId="3" fillId="0" borderId="30" xfId="93" applyFont="1" applyFill="1" applyBorder="1" applyAlignment="1">
      <alignment wrapText="1"/>
      <protection/>
    </xf>
    <xf numFmtId="49" fontId="3" fillId="0" borderId="30" xfId="93" applyNumberFormat="1" applyFont="1" applyFill="1" applyBorder="1" applyAlignment="1">
      <alignment horizontal="right" wrapText="1"/>
      <protection/>
    </xf>
    <xf numFmtId="3" fontId="3" fillId="0" borderId="25" xfId="93" applyNumberFormat="1" applyFont="1" applyFill="1" applyBorder="1" applyAlignment="1">
      <alignment horizontal="right" wrapText="1"/>
      <protection/>
    </xf>
    <xf numFmtId="0" fontId="4" fillId="0" borderId="0" xfId="93" applyFont="1" applyFill="1" applyBorder="1" applyAlignment="1">
      <alignment vertical="top" wrapText="1"/>
      <protection/>
    </xf>
    <xf numFmtId="0" fontId="4" fillId="0" borderId="31" xfId="93" applyFont="1" applyFill="1" applyBorder="1" applyAlignment="1">
      <alignment horizontal="left" vertical="center" wrapText="1"/>
      <protection/>
    </xf>
    <xf numFmtId="3" fontId="4" fillId="0" borderId="32" xfId="93" applyNumberFormat="1" applyFont="1" applyFill="1" applyBorder="1" applyAlignment="1">
      <alignment horizontal="right" vertical="center" wrapText="1"/>
      <protection/>
    </xf>
    <xf numFmtId="3" fontId="4" fillId="0" borderId="32" xfId="93" applyNumberFormat="1" applyFont="1" applyFill="1" applyBorder="1" applyAlignment="1">
      <alignment vertical="center"/>
      <protection/>
    </xf>
    <xf numFmtId="3" fontId="5" fillId="0" borderId="18" xfId="93" applyNumberFormat="1" applyFont="1" applyFill="1" applyBorder="1" applyAlignment="1">
      <alignment vertical="center"/>
      <protection/>
    </xf>
    <xf numFmtId="0" fontId="4" fillId="0" borderId="33" xfId="93" applyFont="1" applyFill="1" applyBorder="1" applyAlignment="1">
      <alignment horizontal="left" vertical="center" wrapText="1"/>
      <protection/>
    </xf>
    <xf numFmtId="3" fontId="4" fillId="0" borderId="34" xfId="93" applyNumberFormat="1" applyFont="1" applyFill="1" applyBorder="1" applyAlignment="1">
      <alignment horizontal="right" vertical="center" wrapText="1"/>
      <protection/>
    </xf>
    <xf numFmtId="3" fontId="4" fillId="0" borderId="34" xfId="93" applyNumberFormat="1" applyFont="1" applyFill="1" applyBorder="1" applyAlignment="1">
      <alignment vertical="center"/>
      <protection/>
    </xf>
    <xf numFmtId="3" fontId="5" fillId="0" borderId="11" xfId="93" applyNumberFormat="1" applyFont="1" applyFill="1" applyBorder="1" applyAlignment="1">
      <alignment vertical="center"/>
      <protection/>
    </xf>
    <xf numFmtId="0" fontId="5" fillId="0" borderId="33" xfId="93" applyFont="1" applyFill="1" applyBorder="1" applyAlignment="1">
      <alignment horizontal="left" vertical="center" wrapText="1"/>
      <protection/>
    </xf>
    <xf numFmtId="3" fontId="5" fillId="0" borderId="34" xfId="93" applyNumberFormat="1" applyFont="1" applyFill="1" applyBorder="1" applyAlignment="1">
      <alignment horizontal="right" vertical="center" wrapText="1"/>
      <protection/>
    </xf>
    <xf numFmtId="3" fontId="6" fillId="0" borderId="34" xfId="93" applyNumberFormat="1" applyFont="1" applyFill="1" applyBorder="1" applyAlignment="1">
      <alignment horizontal="right" vertical="center"/>
      <protection/>
    </xf>
    <xf numFmtId="3" fontId="6" fillId="0" borderId="34" xfId="93" applyNumberFormat="1" applyFont="1" applyFill="1" applyBorder="1" applyAlignment="1">
      <alignment vertical="center"/>
      <protection/>
    </xf>
    <xf numFmtId="3" fontId="5" fillId="0" borderId="34" xfId="93" applyNumberFormat="1" applyFont="1" applyFill="1" applyBorder="1" applyAlignment="1">
      <alignment vertical="center"/>
      <protection/>
    </xf>
    <xf numFmtId="0" fontId="5" fillId="0" borderId="0" xfId="93" applyFont="1" applyFill="1" applyBorder="1">
      <alignment/>
      <protection/>
    </xf>
    <xf numFmtId="0" fontId="5" fillId="0" borderId="35" xfId="93" applyFont="1" applyFill="1" applyBorder="1" applyAlignment="1">
      <alignment horizontal="left" vertical="center" wrapText="1"/>
      <protection/>
    </xf>
    <xf numFmtId="3" fontId="5" fillId="0" borderId="36" xfId="93" applyNumberFormat="1" applyFont="1" applyFill="1" applyBorder="1" applyAlignment="1">
      <alignment horizontal="right" vertical="center" wrapText="1"/>
      <protection/>
    </xf>
    <xf numFmtId="3" fontId="5" fillId="0" borderId="12" xfId="93" applyNumberFormat="1" applyFont="1" applyFill="1" applyBorder="1" applyAlignment="1">
      <alignment vertical="center"/>
      <protection/>
    </xf>
    <xf numFmtId="0" fontId="4" fillId="0" borderId="0" xfId="93" applyFont="1">
      <alignment/>
      <protection/>
    </xf>
    <xf numFmtId="0" fontId="3" fillId="0" borderId="0" xfId="93" applyFont="1" applyAlignment="1">
      <alignment wrapText="1"/>
      <protection/>
    </xf>
    <xf numFmtId="3" fontId="4" fillId="0" borderId="0" xfId="93" applyNumberFormat="1" applyFont="1" applyFill="1" applyAlignment="1">
      <alignment horizontal="right"/>
      <protection/>
    </xf>
    <xf numFmtId="0" fontId="5" fillId="0" borderId="0" xfId="93" applyFont="1" applyAlignment="1">
      <alignment/>
      <protection/>
    </xf>
    <xf numFmtId="0" fontId="3" fillId="0" borderId="0" xfId="93" applyFont="1" applyFill="1">
      <alignment/>
      <protection/>
    </xf>
    <xf numFmtId="0" fontId="4" fillId="0" borderId="0" xfId="93" applyFont="1" applyFill="1">
      <alignment/>
      <protection/>
    </xf>
    <xf numFmtId="3" fontId="4" fillId="0" borderId="0" xfId="93" applyNumberFormat="1" applyFont="1" applyFill="1">
      <alignment/>
      <protection/>
    </xf>
    <xf numFmtId="0" fontId="3" fillId="0" borderId="0" xfId="93" applyFont="1" applyFill="1" applyAlignment="1">
      <alignment wrapText="1"/>
      <protection/>
    </xf>
    <xf numFmtId="0" fontId="6" fillId="0" borderId="0" xfId="93" applyFont="1" applyFill="1">
      <alignment/>
      <protection/>
    </xf>
    <xf numFmtId="0" fontId="6" fillId="0" borderId="0" xfId="93" applyFont="1" applyAlignment="1">
      <alignment horizontal="left" wrapText="1"/>
      <protection/>
    </xf>
    <xf numFmtId="3" fontId="6" fillId="0" borderId="0" xfId="93" applyNumberFormat="1" applyFont="1" applyFill="1">
      <alignment/>
      <protection/>
    </xf>
    <xf numFmtId="0" fontId="3" fillId="0" borderId="0" xfId="93" applyFont="1" applyAlignment="1">
      <alignment horizontal="left" wrapText="1"/>
      <protection/>
    </xf>
    <xf numFmtId="3" fontId="3" fillId="0" borderId="0" xfId="93" applyNumberFormat="1" applyFont="1" applyFill="1">
      <alignment/>
      <protection/>
    </xf>
    <xf numFmtId="0" fontId="4" fillId="0" borderId="0" xfId="93" applyFont="1" applyAlignment="1">
      <alignment wrapText="1"/>
      <protection/>
    </xf>
    <xf numFmtId="0" fontId="5" fillId="0" borderId="0" xfId="93" applyFont="1" applyFill="1">
      <alignment/>
      <protection/>
    </xf>
    <xf numFmtId="0" fontId="4" fillId="0" borderId="0" xfId="93" applyFont="1" applyFill="1" applyAlignment="1">
      <alignment horizontal="left"/>
      <protection/>
    </xf>
    <xf numFmtId="0" fontId="4" fillId="0" borderId="0" xfId="93" applyFont="1" applyAlignment="1">
      <alignment horizontal="justify" wrapText="1"/>
      <protection/>
    </xf>
    <xf numFmtId="0" fontId="4" fillId="0" borderId="0" xfId="93" applyFont="1" applyFill="1" applyAlignment="1">
      <alignment/>
      <protection/>
    </xf>
    <xf numFmtId="0" fontId="43" fillId="0" borderId="0" xfId="93" applyFont="1" applyFill="1" applyAlignment="1">
      <alignment horizontal="center"/>
      <protection/>
    </xf>
    <xf numFmtId="0" fontId="3" fillId="0" borderId="37" xfId="93" applyFont="1" applyFill="1" applyBorder="1">
      <alignment/>
      <protection/>
    </xf>
    <xf numFmtId="0" fontId="3" fillId="0" borderId="38" xfId="93" applyFont="1" applyFill="1" applyBorder="1">
      <alignment/>
      <protection/>
    </xf>
    <xf numFmtId="0" fontId="3" fillId="0" borderId="38" xfId="93" applyFont="1" applyFill="1" applyBorder="1" applyAlignment="1">
      <alignment horizontal="right" wrapText="1"/>
      <protection/>
    </xf>
    <xf numFmtId="0" fontId="3" fillId="0" borderId="38" xfId="93" applyFont="1" applyFill="1" applyBorder="1" applyAlignment="1">
      <alignment wrapText="1"/>
      <protection/>
    </xf>
    <xf numFmtId="0" fontId="3" fillId="0" borderId="13" xfId="93" applyFont="1" applyFill="1" applyBorder="1" applyAlignment="1">
      <alignment horizontal="right" wrapText="1"/>
      <protection/>
    </xf>
    <xf numFmtId="0" fontId="4" fillId="0" borderId="39" xfId="95" applyFont="1" applyFill="1" applyBorder="1" applyAlignment="1">
      <alignment vertical="center"/>
      <protection/>
    </xf>
    <xf numFmtId="0" fontId="4" fillId="0" borderId="0" xfId="93" applyFont="1" applyFill="1" applyAlignment="1">
      <alignment vertical="center"/>
      <protection/>
    </xf>
    <xf numFmtId="0" fontId="4" fillId="0" borderId="33" xfId="95" applyFont="1" applyFill="1" applyBorder="1" applyAlignment="1">
      <alignment vertical="center"/>
      <protection/>
    </xf>
    <xf numFmtId="0" fontId="5" fillId="0" borderId="34" xfId="95" applyFont="1" applyFill="1" applyBorder="1" applyAlignment="1">
      <alignment horizontal="left" vertical="center" wrapText="1"/>
      <protection/>
    </xf>
    <xf numFmtId="3" fontId="5" fillId="0" borderId="34" xfId="95" applyNumberFormat="1" applyFont="1" applyFill="1" applyBorder="1" applyAlignment="1">
      <alignment horizontal="right" vertical="center" wrapText="1"/>
      <protection/>
    </xf>
    <xf numFmtId="0" fontId="4" fillId="0" borderId="34" xfId="95" applyFont="1" applyFill="1" applyBorder="1" applyAlignment="1">
      <alignment horizontal="left" vertical="center" wrapText="1"/>
      <protection/>
    </xf>
    <xf numFmtId="3" fontId="4" fillId="0" borderId="34" xfId="95" applyNumberFormat="1" applyFont="1" applyFill="1" applyBorder="1" applyAlignment="1">
      <alignment horizontal="right" vertical="center" wrapText="1"/>
      <protection/>
    </xf>
    <xf numFmtId="0" fontId="6" fillId="0" borderId="0" xfId="93" applyFont="1" applyFill="1" applyAlignment="1">
      <alignment vertical="center"/>
      <protection/>
    </xf>
    <xf numFmtId="0" fontId="3" fillId="0" borderId="0" xfId="93" applyFont="1" applyFill="1" applyAlignment="1">
      <alignment vertical="center"/>
      <protection/>
    </xf>
    <xf numFmtId="3" fontId="5" fillId="0" borderId="40" xfId="95" applyNumberFormat="1" applyFont="1" applyFill="1" applyBorder="1" applyAlignment="1">
      <alignment horizontal="right" vertical="center" wrapText="1"/>
      <protection/>
    </xf>
    <xf numFmtId="3" fontId="4" fillId="0" borderId="32" xfId="95" applyNumberFormat="1" applyFont="1" applyFill="1" applyBorder="1" applyAlignment="1">
      <alignment vertical="center"/>
      <protection/>
    </xf>
    <xf numFmtId="3" fontId="5" fillId="0" borderId="36" xfId="95" applyNumberFormat="1" applyFont="1" applyFill="1" applyBorder="1" applyAlignment="1">
      <alignment horizontal="right" vertical="center" wrapText="1"/>
      <protection/>
    </xf>
    <xf numFmtId="3" fontId="5" fillId="0" borderId="0" xfId="93" applyNumberFormat="1" applyFont="1" applyFill="1" applyAlignment="1">
      <alignment horizontal="center"/>
      <protection/>
    </xf>
    <xf numFmtId="0" fontId="3" fillId="0" borderId="0" xfId="98" applyFont="1" applyFill="1" applyBorder="1" applyAlignment="1">
      <alignment wrapText="1"/>
      <protection/>
    </xf>
    <xf numFmtId="0" fontId="3" fillId="0" borderId="0" xfId="97" applyFont="1" applyFill="1" applyBorder="1" applyAlignment="1">
      <alignment/>
      <protection/>
    </xf>
    <xf numFmtId="0" fontId="3" fillId="0" borderId="0" xfId="98" applyFont="1" applyFill="1" applyBorder="1" applyAlignment="1">
      <alignment/>
      <protection/>
    </xf>
    <xf numFmtId="0" fontId="3" fillId="0" borderId="0" xfId="93" applyFont="1" applyFill="1" applyAlignment="1">
      <alignment/>
      <protection/>
    </xf>
    <xf numFmtId="0" fontId="4" fillId="4" borderId="0" xfId="0" applyFont="1" applyFill="1" applyAlignment="1">
      <alignment vertical="center" wrapText="1"/>
    </xf>
    <xf numFmtId="3" fontId="4" fillId="4" borderId="0" xfId="0" applyNumberFormat="1" applyFont="1" applyFill="1" applyAlignment="1">
      <alignment vertical="center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 vertical="top"/>
    </xf>
    <xf numFmtId="4" fontId="4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vertical="top"/>
    </xf>
    <xf numFmtId="4" fontId="5" fillId="0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3" fontId="4" fillId="3" borderId="0" xfId="0" applyNumberFormat="1" applyFont="1" applyFill="1" applyBorder="1" applyAlignment="1">
      <alignment/>
    </xf>
    <xf numFmtId="0" fontId="45" fillId="0" borderId="0" xfId="93" applyFont="1" applyFill="1" applyAlignment="1">
      <alignment horizontal="right"/>
      <protection/>
    </xf>
    <xf numFmtId="0" fontId="3" fillId="0" borderId="0" xfId="93" applyFont="1" applyAlignment="1">
      <alignment vertical="top" wrapText="1"/>
      <protection/>
    </xf>
    <xf numFmtId="0" fontId="4" fillId="0" borderId="0" xfId="93" applyFont="1" applyFill="1" applyAlignment="1">
      <alignment horizontal="left" indent="3"/>
      <protection/>
    </xf>
    <xf numFmtId="0" fontId="3" fillId="0" borderId="34" xfId="93" applyFont="1" applyFill="1" applyBorder="1" applyAlignment="1">
      <alignment horizontal="justify" wrapText="1"/>
      <protection/>
    </xf>
    <xf numFmtId="3" fontId="3" fillId="0" borderId="34" xfId="93" applyNumberFormat="1" applyFont="1" applyFill="1" applyBorder="1" applyAlignment="1">
      <alignment horizontal="right" wrapText="1"/>
      <protection/>
    </xf>
    <xf numFmtId="0" fontId="3" fillId="0" borderId="34" xfId="93" applyFont="1" applyFill="1" applyBorder="1" applyAlignment="1">
      <alignment wrapText="1"/>
      <protection/>
    </xf>
    <xf numFmtId="0" fontId="4" fillId="0" borderId="41" xfId="93" applyFont="1" applyFill="1" applyBorder="1" applyAlignment="1">
      <alignment horizontal="left" wrapText="1" indent="3"/>
      <protection/>
    </xf>
    <xf numFmtId="3" fontId="4" fillId="0" borderId="41" xfId="93" applyNumberFormat="1" applyFont="1" applyFill="1" applyBorder="1" applyAlignment="1">
      <alignment horizontal="right"/>
      <protection/>
    </xf>
    <xf numFmtId="3" fontId="4" fillId="0" borderId="41" xfId="93" applyNumberFormat="1" applyFont="1" applyFill="1" applyBorder="1">
      <alignment/>
      <protection/>
    </xf>
    <xf numFmtId="0" fontId="4" fillId="0" borderId="41" xfId="93" applyFont="1" applyFill="1" applyBorder="1">
      <alignment/>
      <protection/>
    </xf>
    <xf numFmtId="3" fontId="4" fillId="0" borderId="41" xfId="93" applyNumberFormat="1" applyFont="1" applyFill="1" applyBorder="1" applyAlignment="1">
      <alignment horizontal="left" indent="3"/>
      <protection/>
    </xf>
    <xf numFmtId="0" fontId="4" fillId="0" borderId="41" xfId="93" applyFont="1" applyFill="1" applyBorder="1" applyAlignment="1">
      <alignment horizontal="right"/>
      <protection/>
    </xf>
    <xf numFmtId="0" fontId="6" fillId="0" borderId="34" xfId="93" applyFont="1" applyBorder="1" applyAlignment="1">
      <alignment horizontal="left" wrapText="1" indent="3"/>
      <protection/>
    </xf>
    <xf numFmtId="3" fontId="6" fillId="0" borderId="34" xfId="93" applyNumberFormat="1" applyFont="1" applyFill="1" applyBorder="1">
      <alignment/>
      <protection/>
    </xf>
    <xf numFmtId="0" fontId="4" fillId="0" borderId="40" xfId="93" applyFont="1" applyFill="1" applyBorder="1" applyAlignment="1">
      <alignment horizontal="left" wrapText="1" indent="3"/>
      <protection/>
    </xf>
    <xf numFmtId="3" fontId="4" fillId="0" borderId="40" xfId="93" applyNumberFormat="1" applyFont="1" applyFill="1" applyBorder="1">
      <alignment/>
      <protection/>
    </xf>
    <xf numFmtId="0" fontId="4" fillId="0" borderId="39" xfId="93" applyFont="1" applyFill="1" applyBorder="1" applyAlignment="1">
      <alignment horizontal="left" wrapText="1" indent="3"/>
      <protection/>
    </xf>
    <xf numFmtId="3" fontId="4" fillId="0" borderId="39" xfId="93" applyNumberFormat="1" applyFont="1" applyFill="1" applyBorder="1">
      <alignment/>
      <protection/>
    </xf>
    <xf numFmtId="0" fontId="3" fillId="20" borderId="40" xfId="93" applyFont="1" applyFill="1" applyBorder="1" applyAlignment="1">
      <alignment wrapText="1"/>
      <protection/>
    </xf>
    <xf numFmtId="3" fontId="3" fillId="20" borderId="40" xfId="93" applyNumberFormat="1" applyFont="1" applyFill="1" applyBorder="1" applyAlignment="1">
      <alignment horizontal="right"/>
      <protection/>
    </xf>
    <xf numFmtId="0" fontId="5" fillId="0" borderId="34" xfId="93" applyFont="1" applyBorder="1" applyAlignment="1">
      <alignment wrapText="1"/>
      <protection/>
    </xf>
    <xf numFmtId="3" fontId="5" fillId="0" borderId="34" xfId="93" applyNumberFormat="1" applyFont="1" applyFill="1" applyBorder="1">
      <alignment/>
      <protection/>
    </xf>
    <xf numFmtId="3" fontId="5" fillId="0" borderId="0" xfId="93" applyNumberFormat="1" applyFont="1" applyFill="1">
      <alignment/>
      <protection/>
    </xf>
    <xf numFmtId="0" fontId="3" fillId="20" borderId="34" xfId="93" applyFont="1" applyFill="1" applyBorder="1" applyAlignment="1">
      <alignment wrapText="1"/>
      <protection/>
    </xf>
    <xf numFmtId="0" fontId="4" fillId="0" borderId="41" xfId="93" applyFont="1" applyBorder="1" applyAlignment="1">
      <alignment horizontal="left" wrapText="1" indent="3"/>
      <protection/>
    </xf>
    <xf numFmtId="0" fontId="5" fillId="0" borderId="34" xfId="93" applyFont="1" applyFill="1" applyBorder="1" applyAlignment="1">
      <alignment horizontal="left"/>
      <protection/>
    </xf>
    <xf numFmtId="0" fontId="4" fillId="0" borderId="39" xfId="93" applyFont="1" applyBorder="1" applyAlignment="1">
      <alignment horizontal="left" wrapText="1" indent="3"/>
      <protection/>
    </xf>
    <xf numFmtId="3" fontId="5" fillId="0" borderId="34" xfId="93" applyNumberFormat="1" applyFont="1" applyFill="1" applyBorder="1" applyAlignment="1">
      <alignment horizontal="right"/>
      <protection/>
    </xf>
    <xf numFmtId="0" fontId="5" fillId="0" borderId="34" xfId="93" applyFont="1" applyBorder="1" applyAlignment="1">
      <alignment horizontal="justify" wrapText="1"/>
      <protection/>
    </xf>
    <xf numFmtId="0" fontId="5" fillId="0" borderId="39" xfId="93" applyFont="1" applyBorder="1" applyAlignment="1">
      <alignment wrapText="1"/>
      <protection/>
    </xf>
    <xf numFmtId="3" fontId="5" fillId="0" borderId="39" xfId="93" applyNumberFormat="1" applyFont="1" applyFill="1" applyBorder="1">
      <alignment/>
      <protection/>
    </xf>
    <xf numFmtId="0" fontId="4" fillId="0" borderId="41" xfId="0" applyFont="1" applyBorder="1" applyAlignment="1">
      <alignment horizontal="left" vertical="top" wrapText="1" indent="3"/>
    </xf>
    <xf numFmtId="0" fontId="4" fillId="0" borderId="41" xfId="0" applyFont="1" applyBorder="1" applyAlignment="1">
      <alignment horizontal="left" wrapText="1" indent="3"/>
    </xf>
    <xf numFmtId="0" fontId="4" fillId="0" borderId="39" xfId="0" applyFont="1" applyBorder="1" applyAlignment="1">
      <alignment horizontal="left" wrapText="1" indent="3"/>
    </xf>
    <xf numFmtId="0" fontId="39" fillId="0" borderId="23" xfId="0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4" fillId="0" borderId="42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4" fontId="5" fillId="0" borderId="43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4" fontId="5" fillId="0" borderId="46" xfId="0" applyNumberFormat="1" applyFont="1" applyFill="1" applyBorder="1" applyAlignment="1">
      <alignment/>
    </xf>
    <xf numFmtId="0" fontId="5" fillId="0" borderId="40" xfId="0" applyFont="1" applyFill="1" applyBorder="1" applyAlignment="1">
      <alignment wrapText="1"/>
    </xf>
    <xf numFmtId="0" fontId="4" fillId="0" borderId="41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left" wrapText="1"/>
    </xf>
    <xf numFmtId="49" fontId="4" fillId="0" borderId="41" xfId="0" applyNumberFormat="1" applyFont="1" applyFill="1" applyBorder="1" applyAlignment="1">
      <alignment horizontal="left" wrapText="1"/>
    </xf>
    <xf numFmtId="0" fontId="5" fillId="0" borderId="41" xfId="0" applyFont="1" applyFill="1" applyBorder="1" applyAlignment="1">
      <alignment horizontal="left"/>
    </xf>
    <xf numFmtId="3" fontId="4" fillId="0" borderId="41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4" fontId="5" fillId="0" borderId="45" xfId="0" applyNumberFormat="1" applyFont="1" applyFill="1" applyBorder="1" applyAlignment="1">
      <alignment/>
    </xf>
    <xf numFmtId="0" fontId="5" fillId="0" borderId="42" xfId="0" applyFont="1" applyFill="1" applyBorder="1" applyAlignment="1">
      <alignment/>
    </xf>
    <xf numFmtId="4" fontId="5" fillId="0" borderId="47" xfId="0" applyNumberFormat="1" applyFont="1" applyFill="1" applyBorder="1" applyAlignment="1">
      <alignment/>
    </xf>
    <xf numFmtId="0" fontId="5" fillId="0" borderId="43" xfId="0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0" fontId="14" fillId="0" borderId="39" xfId="0" applyFont="1" applyFill="1" applyBorder="1" applyAlignment="1">
      <alignment wrapText="1"/>
    </xf>
    <xf numFmtId="3" fontId="14" fillId="0" borderId="44" xfId="0" applyNumberFormat="1" applyFont="1" applyFill="1" applyBorder="1" applyAlignment="1">
      <alignment horizontal="center" wrapText="1"/>
    </xf>
    <xf numFmtId="3" fontId="14" fillId="0" borderId="45" xfId="0" applyNumberFormat="1" applyFont="1" applyFill="1" applyBorder="1" applyAlignment="1">
      <alignment horizontal="center" wrapText="1"/>
    </xf>
    <xf numFmtId="3" fontId="14" fillId="0" borderId="46" xfId="0" applyNumberFormat="1" applyFont="1" applyFill="1" applyBorder="1" applyAlignment="1">
      <alignment horizontal="center" wrapText="1"/>
    </xf>
    <xf numFmtId="0" fontId="15" fillId="0" borderId="44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46" xfId="0" applyFont="1" applyFill="1" applyBorder="1" applyAlignment="1">
      <alignment/>
    </xf>
    <xf numFmtId="0" fontId="4" fillId="0" borderId="40" xfId="0" applyFont="1" applyFill="1" applyBorder="1" applyAlignment="1">
      <alignment horizontal="left" wrapText="1"/>
    </xf>
    <xf numFmtId="3" fontId="4" fillId="0" borderId="48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3" fontId="5" fillId="0" borderId="48" xfId="0" applyNumberFormat="1" applyFon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4" fontId="4" fillId="0" borderId="49" xfId="0" applyNumberFormat="1" applyFont="1" applyFill="1" applyBorder="1" applyAlignment="1">
      <alignment/>
    </xf>
    <xf numFmtId="0" fontId="5" fillId="0" borderId="39" xfId="0" applyFont="1" applyFill="1" applyBorder="1" applyAlignment="1">
      <alignment horizontal="left" wrapText="1"/>
    </xf>
    <xf numFmtId="4" fontId="5" fillId="0" borderId="42" xfId="0" applyNumberFormat="1" applyFont="1" applyFill="1" applyBorder="1" applyAlignment="1">
      <alignment/>
    </xf>
    <xf numFmtId="0" fontId="5" fillId="0" borderId="34" xfId="0" applyFont="1" applyFill="1" applyBorder="1" applyAlignment="1">
      <alignment horizontal="left" wrapText="1"/>
    </xf>
    <xf numFmtId="3" fontId="5" fillId="0" borderId="50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4" fontId="5" fillId="0" borderId="52" xfId="0" applyNumberFormat="1" applyFont="1" applyFill="1" applyBorder="1" applyAlignment="1">
      <alignment/>
    </xf>
    <xf numFmtId="4" fontId="5" fillId="0" borderId="51" xfId="0" applyNumberFormat="1" applyFont="1" applyFill="1" applyBorder="1" applyAlignment="1">
      <alignment/>
    </xf>
    <xf numFmtId="4" fontId="5" fillId="0" borderId="50" xfId="0" applyNumberFormat="1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0" borderId="42" xfId="0" applyNumberFormat="1" applyFont="1" applyFill="1" applyBorder="1" applyAlignment="1">
      <alignment/>
    </xf>
    <xf numFmtId="4" fontId="5" fillId="0" borderId="44" xfId="0" applyNumberFormat="1" applyFont="1" applyFill="1" applyBorder="1" applyAlignment="1">
      <alignment/>
    </xf>
    <xf numFmtId="0" fontId="3" fillId="0" borderId="0" xfId="93" applyFont="1" applyFill="1" applyAlignment="1">
      <alignment horizontal="right"/>
      <protection/>
    </xf>
    <xf numFmtId="0" fontId="3" fillId="0" borderId="0" xfId="93" applyFont="1" applyFill="1" applyAlignment="1">
      <alignment horizontal="right" vertical="top"/>
      <protection/>
    </xf>
    <xf numFmtId="0" fontId="5" fillId="0" borderId="0" xfId="93" applyFont="1" applyFill="1" applyAlignment="1">
      <alignment horizontal="center"/>
      <protection/>
    </xf>
    <xf numFmtId="0" fontId="19" fillId="0" borderId="0" xfId="93" applyFont="1" applyFill="1" applyAlignment="1">
      <alignment horizontal="center" wrapText="1"/>
      <protection/>
    </xf>
    <xf numFmtId="0" fontId="4" fillId="0" borderId="0" xfId="93" applyFont="1" applyFill="1" applyAlignment="1">
      <alignment wrapText="1"/>
      <protection/>
    </xf>
    <xf numFmtId="3" fontId="3" fillId="20" borderId="34" xfId="93" applyNumberFormat="1" applyFont="1" applyFill="1" applyBorder="1" applyAlignment="1">
      <alignment/>
      <protection/>
    </xf>
    <xf numFmtId="3" fontId="3" fillId="20" borderId="34" xfId="93" applyNumberFormat="1" applyFont="1" applyFill="1" applyBorder="1">
      <alignment/>
      <protection/>
    </xf>
    <xf numFmtId="0" fontId="10" fillId="0" borderId="0" xfId="0" applyFont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3" fillId="0" borderId="0" xfId="98" applyFont="1" applyFill="1" applyBorder="1" applyAlignment="1">
      <alignment horizontal="left"/>
      <protection/>
    </xf>
    <xf numFmtId="0" fontId="10" fillId="0" borderId="0" xfId="0" applyFont="1" applyFill="1" applyAlignment="1">
      <alignment horizontal="center"/>
    </xf>
    <xf numFmtId="0" fontId="5" fillId="0" borderId="0" xfId="94" applyFont="1" applyFill="1" applyBorder="1" applyAlignment="1">
      <alignment horizontal="left" wrapText="1"/>
      <protection/>
    </xf>
    <xf numFmtId="0" fontId="5" fillId="0" borderId="0" xfId="94" applyFont="1" applyFill="1" applyAlignment="1">
      <alignment horizontal="center"/>
      <protection/>
    </xf>
    <xf numFmtId="0" fontId="5" fillId="0" borderId="48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1" fillId="0" borderId="0" xfId="93" applyFont="1" applyFill="1" applyBorder="1" applyAlignment="1">
      <alignment horizontal="center"/>
      <protection/>
    </xf>
    <xf numFmtId="0" fontId="3" fillId="0" borderId="28" xfId="93" applyFont="1" applyFill="1" applyBorder="1" applyAlignment="1">
      <alignment horizontal="center"/>
      <protection/>
    </xf>
    <xf numFmtId="0" fontId="3" fillId="0" borderId="0" xfId="93" applyFont="1" applyFill="1" applyAlignment="1">
      <alignment horizontal="left"/>
      <protection/>
    </xf>
    <xf numFmtId="0" fontId="3" fillId="0" borderId="0" xfId="93" applyFont="1" applyAlignment="1">
      <alignment horizontal="center"/>
      <protection/>
    </xf>
    <xf numFmtId="0" fontId="5" fillId="0" borderId="35" xfId="95" applyFont="1" applyFill="1" applyBorder="1" applyAlignment="1">
      <alignment horizontal="left" vertical="center" wrapText="1"/>
      <protection/>
    </xf>
    <xf numFmtId="0" fontId="5" fillId="0" borderId="36" xfId="95" applyFont="1" applyFill="1" applyBorder="1" applyAlignment="1">
      <alignment horizontal="left" vertical="center" wrapText="1"/>
      <protection/>
    </xf>
    <xf numFmtId="0" fontId="42" fillId="0" borderId="0" xfId="93" applyFont="1" applyFill="1" applyAlignment="1">
      <alignment horizontal="center"/>
      <protection/>
    </xf>
    <xf numFmtId="0" fontId="43" fillId="0" borderId="0" xfId="93" applyFont="1" applyFill="1" applyAlignment="1">
      <alignment horizontal="center"/>
      <protection/>
    </xf>
    <xf numFmtId="0" fontId="5" fillId="0" borderId="53" xfId="95" applyFont="1" applyFill="1" applyBorder="1" applyAlignment="1">
      <alignment horizontal="left" vertical="center" wrapText="1"/>
      <protection/>
    </xf>
    <xf numFmtId="0" fontId="5" fillId="0" borderId="39" xfId="95" applyFont="1" applyFill="1" applyBorder="1" applyAlignment="1">
      <alignment horizontal="left" vertical="center" wrapText="1"/>
      <protection/>
    </xf>
    <xf numFmtId="0" fontId="5" fillId="0" borderId="54" xfId="95" applyFont="1" applyFill="1" applyBorder="1" applyAlignment="1">
      <alignment horizontal="left" vertical="center" wrapText="1"/>
      <protection/>
    </xf>
    <xf numFmtId="0" fontId="5" fillId="0" borderId="47" xfId="95" applyFont="1" applyFill="1" applyBorder="1" applyAlignment="1">
      <alignment horizontal="left" vertical="center" wrapText="1"/>
      <protection/>
    </xf>
    <xf numFmtId="0" fontId="5" fillId="0" borderId="31" xfId="95" applyFont="1" applyFill="1" applyBorder="1" applyAlignment="1">
      <alignment horizontal="left" vertical="center" wrapText="1"/>
      <protection/>
    </xf>
    <xf numFmtId="0" fontId="5" fillId="0" borderId="32" xfId="95" applyFont="1" applyFill="1" applyBorder="1" applyAlignment="1">
      <alignment horizontal="left" vertical="center" wrapText="1"/>
      <protection/>
    </xf>
    <xf numFmtId="0" fontId="5" fillId="0" borderId="0" xfId="93" applyFont="1" applyFill="1" applyAlignment="1">
      <alignment horizontal="center" wrapText="1"/>
      <protection/>
    </xf>
    <xf numFmtId="3" fontId="5" fillId="0" borderId="0" xfId="93" applyNumberFormat="1" applyFont="1" applyFill="1" applyAlignment="1">
      <alignment horizontal="center" wrapText="1"/>
      <protection/>
    </xf>
    <xf numFmtId="0" fontId="17" fillId="0" borderId="0" xfId="93" applyFont="1" applyFill="1" applyAlignment="1">
      <alignment wrapText="1"/>
      <protection/>
    </xf>
    <xf numFmtId="0" fontId="44" fillId="0" borderId="0" xfId="93" applyFont="1" applyFill="1" applyAlignment="1">
      <alignment wrapText="1"/>
      <protection/>
    </xf>
    <xf numFmtId="0" fontId="40" fillId="0" borderId="0" xfId="93" applyFont="1" applyFill="1" applyAlignment="1">
      <alignment wrapText="1"/>
      <protection/>
    </xf>
  </cellXfs>
  <cellStyles count="9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 3" xfId="93"/>
    <cellStyle name="Normál_2013. költségvetés mell" xfId="94"/>
    <cellStyle name="Normál_20150413.1" xfId="95"/>
    <cellStyle name="Normál_melléklet összesen_2012. koncepció kiegészítő táblázatok" xfId="96"/>
    <cellStyle name="Normál_R_2MELL" xfId="97"/>
    <cellStyle name="Normál_R_2MELL 2" xfId="98"/>
    <cellStyle name="Note" xfId="99"/>
    <cellStyle name="Output" xfId="100"/>
    <cellStyle name="Összesen" xfId="101"/>
    <cellStyle name="Currency" xfId="102"/>
    <cellStyle name="Currency [0]" xfId="103"/>
    <cellStyle name="Rossz" xfId="104"/>
    <cellStyle name="Semleges" xfId="105"/>
    <cellStyle name="Számítás" xfId="106"/>
    <cellStyle name="Percent" xfId="107"/>
    <cellStyle name="Title" xfId="108"/>
    <cellStyle name="Total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12.00390625" style="25" customWidth="1"/>
    <col min="2" max="2" width="12.25390625" style="25" customWidth="1"/>
    <col min="3" max="3" width="6.00390625" style="24" customWidth="1"/>
    <col min="4" max="4" width="37.125" style="24" customWidth="1"/>
    <col min="5" max="5" width="9.125" style="24" customWidth="1"/>
    <col min="6" max="6" width="7.875" style="24" customWidth="1"/>
    <col min="7" max="16384" width="9.125" style="24" customWidth="1"/>
  </cols>
  <sheetData>
    <row r="1" ht="18.75" customHeight="1"/>
    <row r="2" spans="1:8" ht="15.75">
      <c r="A2" s="385" t="s">
        <v>41</v>
      </c>
      <c r="B2" s="385"/>
      <c r="C2" s="385"/>
      <c r="D2" s="385"/>
      <c r="E2" s="385"/>
      <c r="F2" s="385"/>
      <c r="G2" s="30"/>
      <c r="H2" s="30"/>
    </row>
    <row r="3" spans="1:6" ht="12.75">
      <c r="A3" s="29"/>
      <c r="B3" s="29"/>
      <c r="C3" s="27"/>
      <c r="D3" s="27"/>
      <c r="E3" s="27"/>
      <c r="F3" s="27"/>
    </row>
    <row r="4" spans="1:6" ht="27.75" customHeight="1">
      <c r="A4" s="29"/>
      <c r="B4" s="29"/>
      <c r="C4" s="27"/>
      <c r="D4" s="27"/>
      <c r="E4" s="27"/>
      <c r="F4" s="27"/>
    </row>
    <row r="5" spans="1:6" ht="12.75">
      <c r="A5" s="31" t="s">
        <v>42</v>
      </c>
      <c r="B5" s="31"/>
      <c r="C5" s="27"/>
      <c r="D5" s="27"/>
      <c r="E5" s="27"/>
      <c r="F5" s="27"/>
    </row>
    <row r="6" spans="1:6" ht="12.75">
      <c r="A6" s="31"/>
      <c r="B6" s="31" t="s">
        <v>43</v>
      </c>
      <c r="C6" s="27"/>
      <c r="D6" s="27"/>
      <c r="E6" s="27"/>
      <c r="F6" s="27"/>
    </row>
    <row r="7" spans="1:6" ht="25.5" customHeight="1">
      <c r="A7" s="31"/>
      <c r="B7" s="31" t="s">
        <v>6</v>
      </c>
      <c r="C7" s="32"/>
      <c r="D7" s="33" t="s">
        <v>91</v>
      </c>
      <c r="E7" s="27"/>
      <c r="F7" s="27"/>
    </row>
    <row r="8" spans="1:6" ht="25.5" customHeight="1">
      <c r="A8" s="31"/>
      <c r="B8" s="31" t="s">
        <v>7</v>
      </c>
      <c r="C8" s="32"/>
      <c r="D8" s="42" t="s">
        <v>44</v>
      </c>
      <c r="E8" s="27"/>
      <c r="F8" s="27"/>
    </row>
    <row r="9" spans="1:6" ht="25.5" customHeight="1">
      <c r="A9" s="31"/>
      <c r="B9" s="31" t="s">
        <v>8</v>
      </c>
      <c r="C9" s="32"/>
      <c r="D9" s="25" t="s">
        <v>139</v>
      </c>
      <c r="E9" s="27"/>
      <c r="F9" s="27"/>
    </row>
    <row r="10" spans="1:6" ht="25.5" customHeight="1">
      <c r="A10" s="31"/>
      <c r="B10" s="31" t="s">
        <v>9</v>
      </c>
      <c r="C10" s="32"/>
      <c r="D10" s="42" t="s">
        <v>60</v>
      </c>
      <c r="E10" s="27"/>
      <c r="F10" s="27"/>
    </row>
    <row r="11" spans="1:6" ht="25.5" customHeight="1">
      <c r="A11" s="31"/>
      <c r="B11" s="31" t="s">
        <v>10</v>
      </c>
      <c r="C11" s="32"/>
      <c r="D11" s="42" t="s">
        <v>46</v>
      </c>
      <c r="E11" s="27"/>
      <c r="F11" s="27"/>
    </row>
    <row r="12" spans="1:6" ht="25.5" customHeight="1">
      <c r="A12" s="31" t="s">
        <v>1</v>
      </c>
      <c r="B12" s="29"/>
      <c r="C12" s="27"/>
      <c r="D12" s="33" t="s">
        <v>47</v>
      </c>
      <c r="E12" s="27"/>
      <c r="F12" s="27"/>
    </row>
    <row r="13" spans="1:6" ht="12.75">
      <c r="A13" s="29"/>
      <c r="B13" s="29"/>
      <c r="C13" s="27"/>
      <c r="D13" s="27"/>
      <c r="E13" s="27"/>
      <c r="F13" s="27"/>
    </row>
    <row r="14" spans="1:6" ht="12.75">
      <c r="A14" s="29"/>
      <c r="B14" s="29"/>
      <c r="C14" s="27"/>
      <c r="D14" s="27"/>
      <c r="E14" s="27"/>
      <c r="F14" s="27"/>
    </row>
    <row r="15" spans="1:6" ht="12.75">
      <c r="A15" s="29"/>
      <c r="B15" s="29"/>
      <c r="C15" s="27"/>
      <c r="D15" s="27"/>
      <c r="E15" s="27"/>
      <c r="F15" s="27"/>
    </row>
    <row r="16" spans="1:6" ht="12.75">
      <c r="A16" s="29"/>
      <c r="B16" s="29"/>
      <c r="C16" s="27"/>
      <c r="D16" s="27"/>
      <c r="E16" s="27"/>
      <c r="F16" s="27"/>
    </row>
    <row r="17" spans="1:6" ht="12.75">
      <c r="A17" s="29"/>
      <c r="B17" s="29"/>
      <c r="C17" s="27"/>
      <c r="D17" s="27"/>
      <c r="E17" s="27"/>
      <c r="F17" s="27"/>
    </row>
    <row r="18" spans="1:6" ht="12.75">
      <c r="A18" s="29"/>
      <c r="B18" s="29"/>
      <c r="C18" s="27"/>
      <c r="D18" s="27"/>
      <c r="E18" s="27"/>
      <c r="F18" s="27"/>
    </row>
    <row r="19" spans="1:6" ht="12.75">
      <c r="A19" s="29"/>
      <c r="B19" s="29"/>
      <c r="C19" s="27"/>
      <c r="D19" s="27"/>
      <c r="E19" s="27"/>
      <c r="F19" s="27"/>
    </row>
    <row r="20" spans="1:6" ht="12.75">
      <c r="A20" s="29"/>
      <c r="B20" s="29"/>
      <c r="C20" s="27"/>
      <c r="D20" s="27"/>
      <c r="E20" s="27"/>
      <c r="F20" s="27"/>
    </row>
    <row r="21" spans="1:6" ht="12.75">
      <c r="A21" s="29"/>
      <c r="B21" s="29"/>
      <c r="C21" s="27"/>
      <c r="D21" s="27"/>
      <c r="E21" s="27"/>
      <c r="F21" s="27"/>
    </row>
    <row r="22" spans="1:6" ht="12.75">
      <c r="A22" s="29"/>
      <c r="B22" s="29"/>
      <c r="C22" s="27"/>
      <c r="D22" s="27"/>
      <c r="E22" s="27"/>
      <c r="F22" s="27"/>
    </row>
    <row r="23" spans="1:6" ht="12.75">
      <c r="A23" s="29"/>
      <c r="B23" s="29"/>
      <c r="C23" s="27"/>
      <c r="D23" s="27"/>
      <c r="E23" s="27"/>
      <c r="F23" s="27"/>
    </row>
    <row r="24" spans="1:6" ht="12.75">
      <c r="A24" s="29"/>
      <c r="B24" s="29"/>
      <c r="C24" s="27"/>
      <c r="D24" s="27"/>
      <c r="E24" s="27"/>
      <c r="F24" s="27"/>
    </row>
    <row r="25" spans="1:6" ht="12.75">
      <c r="A25" s="29"/>
      <c r="B25" s="29"/>
      <c r="C25" s="27"/>
      <c r="D25" s="27"/>
      <c r="E25" s="27"/>
      <c r="F25" s="27"/>
    </row>
    <row r="26" spans="1:6" ht="12.75">
      <c r="A26" s="29"/>
      <c r="B26" s="29"/>
      <c r="C26" s="27"/>
      <c r="D26" s="27"/>
      <c r="E26" s="27"/>
      <c r="F26" s="27"/>
    </row>
    <row r="27" spans="1:6" ht="12.75">
      <c r="A27" s="29"/>
      <c r="B27" s="29"/>
      <c r="C27" s="27"/>
      <c r="D27" s="27"/>
      <c r="E27" s="27"/>
      <c r="F27" s="27"/>
    </row>
    <row r="28" spans="1:6" ht="12.75">
      <c r="A28" s="29"/>
      <c r="B28" s="29"/>
      <c r="C28" s="27"/>
      <c r="D28" s="27"/>
      <c r="E28" s="27"/>
      <c r="F28" s="27"/>
    </row>
    <row r="29" spans="1:6" ht="12.75">
      <c r="A29" s="29"/>
      <c r="B29" s="29"/>
      <c r="C29" s="27"/>
      <c r="D29" s="27"/>
      <c r="E29" s="27"/>
      <c r="F29" s="27"/>
    </row>
    <row r="30" spans="1:6" ht="12.75">
      <c r="A30" s="29"/>
      <c r="B30" s="29"/>
      <c r="C30" s="27"/>
      <c r="D30" s="27"/>
      <c r="E30" s="27"/>
      <c r="F30" s="27"/>
    </row>
    <row r="31" spans="1:6" ht="12.75">
      <c r="A31" s="29"/>
      <c r="B31" s="29"/>
      <c r="C31" s="27"/>
      <c r="D31" s="27"/>
      <c r="E31" s="27"/>
      <c r="F31" s="27"/>
    </row>
    <row r="32" spans="1:6" ht="12.75">
      <c r="A32" s="29"/>
      <c r="B32" s="29"/>
      <c r="C32" s="27"/>
      <c r="D32" s="27"/>
      <c r="E32" s="27"/>
      <c r="F32" s="27"/>
    </row>
    <row r="33" spans="1:6" ht="12.75">
      <c r="A33" s="29"/>
      <c r="B33" s="29"/>
      <c r="C33" s="27"/>
      <c r="D33" s="27"/>
      <c r="E33" s="27"/>
      <c r="F33" s="27"/>
    </row>
    <row r="34" spans="1:6" ht="12.75">
      <c r="A34" s="29"/>
      <c r="B34" s="29"/>
      <c r="C34" s="27"/>
      <c r="D34" s="27"/>
      <c r="E34" s="27"/>
      <c r="F34" s="27"/>
    </row>
    <row r="35" spans="1:6" ht="12.75">
      <c r="A35" s="29"/>
      <c r="B35" s="29"/>
      <c r="C35" s="27"/>
      <c r="D35" s="27"/>
      <c r="E35" s="27"/>
      <c r="F35" s="27"/>
    </row>
    <row r="36" spans="1:6" ht="12.75">
      <c r="A36" s="29"/>
      <c r="B36" s="29"/>
      <c r="C36" s="27"/>
      <c r="D36" s="27"/>
      <c r="E36" s="27"/>
      <c r="F36" s="27"/>
    </row>
    <row r="37" spans="1:6" ht="12.75">
      <c r="A37" s="29"/>
      <c r="B37" s="29"/>
      <c r="C37" s="27"/>
      <c r="D37" s="27"/>
      <c r="E37" s="27"/>
      <c r="F37" s="27"/>
    </row>
    <row r="38" spans="1:6" ht="12.75">
      <c r="A38" s="29"/>
      <c r="B38" s="29"/>
      <c r="C38" s="27"/>
      <c r="D38" s="27"/>
      <c r="E38" s="27"/>
      <c r="F38" s="27"/>
    </row>
    <row r="39" spans="1:6" ht="12.75">
      <c r="A39" s="29"/>
      <c r="B39" s="29"/>
      <c r="C39" s="27"/>
      <c r="D39" s="27"/>
      <c r="E39" s="27"/>
      <c r="F39" s="27"/>
    </row>
    <row r="40" spans="1:6" ht="12.75">
      <c r="A40" s="29"/>
      <c r="B40" s="29"/>
      <c r="C40" s="27"/>
      <c r="D40" s="27"/>
      <c r="E40" s="27"/>
      <c r="F40" s="27"/>
    </row>
    <row r="41" spans="1:6" ht="12.75">
      <c r="A41" s="29"/>
      <c r="B41" s="29"/>
      <c r="C41" s="27"/>
      <c r="D41" s="27"/>
      <c r="E41" s="27"/>
      <c r="F41" s="27"/>
    </row>
    <row r="42" spans="1:6" ht="12.75">
      <c r="A42" s="29"/>
      <c r="B42" s="29"/>
      <c r="C42" s="27"/>
      <c r="D42" s="27"/>
      <c r="E42" s="27"/>
      <c r="F42" s="27"/>
    </row>
    <row r="43" spans="1:6" ht="12.75">
      <c r="A43" s="29"/>
      <c r="B43" s="29"/>
      <c r="C43" s="27"/>
      <c r="D43" s="27"/>
      <c r="E43" s="27"/>
      <c r="F43" s="27"/>
    </row>
    <row r="44" spans="1:6" ht="12.75">
      <c r="A44" s="29"/>
      <c r="B44" s="29"/>
      <c r="C44" s="27"/>
      <c r="D44" s="27"/>
      <c r="E44" s="27"/>
      <c r="F44" s="27"/>
    </row>
    <row r="45" spans="1:6" ht="12.75">
      <c r="A45" s="29"/>
      <c r="B45" s="29"/>
      <c r="C45" s="27"/>
      <c r="D45" s="27"/>
      <c r="E45" s="27"/>
      <c r="F45" s="27"/>
    </row>
    <row r="46" spans="1:6" ht="12.75">
      <c r="A46" s="29"/>
      <c r="B46" s="29"/>
      <c r="C46" s="27"/>
      <c r="D46" s="27"/>
      <c r="E46" s="27"/>
      <c r="F46" s="27"/>
    </row>
    <row r="47" spans="1:6" ht="12.75">
      <c r="A47" s="29"/>
      <c r="B47" s="29"/>
      <c r="C47" s="27"/>
      <c r="D47" s="27"/>
      <c r="E47" s="27"/>
      <c r="F47" s="27"/>
    </row>
    <row r="48" spans="1:6" ht="12.75">
      <c r="A48" s="29"/>
      <c r="B48" s="29"/>
      <c r="C48" s="27"/>
      <c r="D48" s="27"/>
      <c r="E48" s="27"/>
      <c r="F48" s="27"/>
    </row>
    <row r="49" spans="1:6" ht="12.75">
      <c r="A49" s="29"/>
      <c r="B49" s="29"/>
      <c r="C49" s="27"/>
      <c r="D49" s="27"/>
      <c r="E49" s="27"/>
      <c r="F49" s="27"/>
    </row>
    <row r="50" spans="1:6" ht="12.75">
      <c r="A50" s="29"/>
      <c r="B50" s="29"/>
      <c r="C50" s="27"/>
      <c r="D50" s="27"/>
      <c r="E50" s="27"/>
      <c r="F50" s="27"/>
    </row>
    <row r="51" spans="1:6" ht="12.75">
      <c r="A51" s="29"/>
      <c r="B51" s="29"/>
      <c r="C51" s="27"/>
      <c r="D51" s="27"/>
      <c r="E51" s="27"/>
      <c r="F51" s="27"/>
    </row>
    <row r="52" spans="1:6" ht="12.75">
      <c r="A52" s="29"/>
      <c r="B52" s="29"/>
      <c r="C52" s="27"/>
      <c r="D52" s="27"/>
      <c r="E52" s="27"/>
      <c r="F52" s="27"/>
    </row>
    <row r="53" spans="1:6" ht="12.75">
      <c r="A53" s="29"/>
      <c r="B53" s="29"/>
      <c r="C53" s="27"/>
      <c r="D53" s="27"/>
      <c r="E53" s="27"/>
      <c r="F53" s="27"/>
    </row>
    <row r="54" spans="1:6" ht="12.75">
      <c r="A54" s="29"/>
      <c r="B54" s="29"/>
      <c r="C54" s="27"/>
      <c r="D54" s="27"/>
      <c r="E54" s="27"/>
      <c r="F54" s="27"/>
    </row>
    <row r="55" spans="1:6" ht="12.75">
      <c r="A55" s="29"/>
      <c r="B55" s="29"/>
      <c r="C55" s="27"/>
      <c r="D55" s="27"/>
      <c r="E55" s="27"/>
      <c r="F55" s="27"/>
    </row>
    <row r="56" spans="1:6" ht="12.75">
      <c r="A56" s="29"/>
      <c r="B56" s="29"/>
      <c r="C56" s="27"/>
      <c r="D56" s="27"/>
      <c r="E56" s="27"/>
      <c r="F56" s="27"/>
    </row>
    <row r="57" spans="1:6" ht="12.75">
      <c r="A57" s="29"/>
      <c r="B57" s="29"/>
      <c r="C57" s="27"/>
      <c r="D57" s="27"/>
      <c r="E57" s="27"/>
      <c r="F57" s="27"/>
    </row>
    <row r="58" spans="1:6" ht="12.75">
      <c r="A58" s="29"/>
      <c r="B58" s="29"/>
      <c r="C58" s="27"/>
      <c r="D58" s="27"/>
      <c r="E58" s="27"/>
      <c r="F58" s="27"/>
    </row>
    <row r="59" spans="1:6" ht="12.75">
      <c r="A59" s="29"/>
      <c r="B59" s="29"/>
      <c r="C59" s="27"/>
      <c r="D59" s="27"/>
      <c r="E59" s="27"/>
      <c r="F59" s="27"/>
    </row>
    <row r="60" spans="1:6" ht="12.75">
      <c r="A60" s="29"/>
      <c r="B60" s="29"/>
      <c r="C60" s="27"/>
      <c r="D60" s="27"/>
      <c r="E60" s="27"/>
      <c r="F60" s="27"/>
    </row>
    <row r="61" spans="1:6" ht="12.75">
      <c r="A61" s="29"/>
      <c r="B61" s="29"/>
      <c r="C61" s="27"/>
      <c r="D61" s="27"/>
      <c r="E61" s="27"/>
      <c r="F61" s="27"/>
    </row>
    <row r="62" spans="1:6" ht="12.75">
      <c r="A62" s="29"/>
      <c r="B62" s="29"/>
      <c r="C62" s="27"/>
      <c r="D62" s="27"/>
      <c r="E62" s="27"/>
      <c r="F62" s="27"/>
    </row>
    <row r="63" spans="1:6" ht="12.75">
      <c r="A63" s="29"/>
      <c r="B63" s="29"/>
      <c r="C63" s="27"/>
      <c r="D63" s="27"/>
      <c r="E63" s="27"/>
      <c r="F63" s="27"/>
    </row>
    <row r="64" spans="1:6" ht="12.75">
      <c r="A64" s="29"/>
      <c r="B64" s="29"/>
      <c r="C64" s="27"/>
      <c r="D64" s="27"/>
      <c r="E64" s="27"/>
      <c r="F64" s="27"/>
    </row>
    <row r="65" spans="1:6" ht="12.75">
      <c r="A65" s="29"/>
      <c r="B65" s="29"/>
      <c r="C65" s="27"/>
      <c r="D65" s="27"/>
      <c r="E65" s="27"/>
      <c r="F65" s="27"/>
    </row>
    <row r="66" spans="1:6" ht="12.75">
      <c r="A66" s="29"/>
      <c r="B66" s="29"/>
      <c r="C66" s="27"/>
      <c r="D66" s="27"/>
      <c r="E66" s="27"/>
      <c r="F66" s="27"/>
    </row>
    <row r="67" spans="1:6" ht="12.75">
      <c r="A67" s="29"/>
      <c r="B67" s="29"/>
      <c r="C67" s="27"/>
      <c r="D67" s="27"/>
      <c r="E67" s="27"/>
      <c r="F67" s="27"/>
    </row>
    <row r="68" spans="1:6" ht="12.75">
      <c r="A68" s="29"/>
      <c r="B68" s="29"/>
      <c r="C68" s="27"/>
      <c r="D68" s="27"/>
      <c r="E68" s="27"/>
      <c r="F68" s="27"/>
    </row>
    <row r="69" spans="1:6" ht="12.75">
      <c r="A69" s="29"/>
      <c r="B69" s="29"/>
      <c r="C69" s="27"/>
      <c r="D69" s="27"/>
      <c r="E69" s="27"/>
      <c r="F69" s="27"/>
    </row>
    <row r="70" spans="1:6" ht="12.75">
      <c r="A70" s="29"/>
      <c r="B70" s="29"/>
      <c r="C70" s="27"/>
      <c r="D70" s="27"/>
      <c r="E70" s="27"/>
      <c r="F70" s="27"/>
    </row>
    <row r="71" spans="1:6" ht="12.75">
      <c r="A71" s="29"/>
      <c r="B71" s="29"/>
      <c r="C71" s="27"/>
      <c r="D71" s="27"/>
      <c r="E71" s="27"/>
      <c r="F71" s="27"/>
    </row>
    <row r="72" spans="1:6" ht="12.75">
      <c r="A72" s="29"/>
      <c r="B72" s="29"/>
      <c r="C72" s="27"/>
      <c r="D72" s="27"/>
      <c r="E72" s="27"/>
      <c r="F72" s="27"/>
    </row>
    <row r="73" spans="1:6" ht="12.75">
      <c r="A73" s="29"/>
      <c r="B73" s="29"/>
      <c r="C73" s="27"/>
      <c r="D73" s="27"/>
      <c r="E73" s="27"/>
      <c r="F73" s="27"/>
    </row>
  </sheetData>
  <sheetProtection/>
  <mergeCells count="1">
    <mergeCell ref="A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PageLayoutView="0" workbookViewId="0" topLeftCell="A1">
      <selection activeCell="B6" sqref="B6"/>
    </sheetView>
  </sheetViews>
  <sheetFormatPr defaultColWidth="25.125" defaultRowHeight="12.75"/>
  <cols>
    <col min="1" max="1" width="3.75390625" style="378" customWidth="1"/>
    <col min="2" max="2" width="24.75390625" style="242" customWidth="1"/>
    <col min="3" max="3" width="5.75390625" style="243" customWidth="1"/>
    <col min="4" max="4" width="6.875" style="243" customWidth="1"/>
    <col min="5" max="5" width="8.125" style="243" bestFit="1" customWidth="1"/>
    <col min="6" max="6" width="7.625" style="243" customWidth="1"/>
    <col min="7" max="9" width="8.125" style="243" bestFit="1" customWidth="1"/>
    <col min="10" max="10" width="7.375" style="243" customWidth="1"/>
    <col min="11" max="11" width="9.625" style="243" bestFit="1" customWidth="1"/>
    <col min="12" max="16384" width="25.125" style="242" customWidth="1"/>
  </cols>
  <sheetData>
    <row r="1" spans="1:7" ht="13.5">
      <c r="A1" s="277"/>
      <c r="B1" s="276" t="s">
        <v>504</v>
      </c>
      <c r="C1" s="277"/>
      <c r="D1" s="277"/>
      <c r="E1" s="277"/>
      <c r="F1" s="277"/>
      <c r="G1" s="277"/>
    </row>
    <row r="2" spans="2:11" ht="28.5" customHeight="1">
      <c r="B2" s="414" t="s">
        <v>381</v>
      </c>
      <c r="C2" s="415"/>
      <c r="D2" s="415"/>
      <c r="E2" s="415"/>
      <c r="F2" s="415"/>
      <c r="G2" s="415"/>
      <c r="H2" s="415"/>
      <c r="I2" s="415"/>
      <c r="J2" s="415"/>
      <c r="K2" s="415"/>
    </row>
    <row r="3" spans="2:11" ht="13.5">
      <c r="B3" s="414" t="s">
        <v>260</v>
      </c>
      <c r="C3" s="415"/>
      <c r="D3" s="415"/>
      <c r="E3" s="415"/>
      <c r="F3" s="415"/>
      <c r="G3" s="415"/>
      <c r="H3" s="415"/>
      <c r="I3" s="415"/>
      <c r="J3" s="415"/>
      <c r="K3" s="415"/>
    </row>
    <row r="4" spans="1:11" ht="27">
      <c r="A4" s="379" t="s">
        <v>6</v>
      </c>
      <c r="B4" s="244" t="s">
        <v>382</v>
      </c>
      <c r="C4" s="380" t="s">
        <v>383</v>
      </c>
      <c r="D4" s="381" t="s">
        <v>384</v>
      </c>
      <c r="E4" s="273" t="s">
        <v>385</v>
      </c>
      <c r="F4" s="273" t="s">
        <v>386</v>
      </c>
      <c r="G4" s="273" t="s">
        <v>387</v>
      </c>
      <c r="H4" s="273" t="s">
        <v>388</v>
      </c>
      <c r="I4" s="273" t="s">
        <v>389</v>
      </c>
      <c r="J4" s="273" t="s">
        <v>421</v>
      </c>
      <c r="K4" s="273" t="s">
        <v>4</v>
      </c>
    </row>
    <row r="5" spans="1:3" ht="13.5">
      <c r="A5" s="379"/>
      <c r="B5" s="245" t="s">
        <v>390</v>
      </c>
      <c r="C5" s="247"/>
    </row>
    <row r="6" spans="1:11" ht="13.5">
      <c r="A6" s="379"/>
      <c r="B6" s="242" t="s">
        <v>391</v>
      </c>
      <c r="E6" s="243">
        <v>130610</v>
      </c>
      <c r="F6" s="243">
        <v>122545</v>
      </c>
      <c r="G6" s="243">
        <v>429344</v>
      </c>
      <c r="H6" s="243">
        <v>136612</v>
      </c>
      <c r="I6" s="243">
        <v>41683</v>
      </c>
      <c r="J6" s="243">
        <v>70194</v>
      </c>
      <c r="K6" s="243">
        <f>SUM(C6:J6)</f>
        <v>930988</v>
      </c>
    </row>
    <row r="7" spans="1:11" ht="13.5">
      <c r="A7" s="379"/>
      <c r="B7" s="242" t="s">
        <v>392</v>
      </c>
      <c r="I7" s="243">
        <v>82300</v>
      </c>
      <c r="K7" s="243">
        <f>SUM(C7:J7)</f>
        <v>82300</v>
      </c>
    </row>
    <row r="8" spans="1:11" ht="13.5">
      <c r="A8" s="379"/>
      <c r="B8" s="242" t="s">
        <v>393</v>
      </c>
      <c r="E8" s="243">
        <v>4763</v>
      </c>
      <c r="F8" s="243">
        <v>7823</v>
      </c>
      <c r="G8" s="243">
        <v>3343</v>
      </c>
      <c r="H8" s="243">
        <v>2</v>
      </c>
      <c r="I8" s="243">
        <v>4</v>
      </c>
      <c r="J8" s="243">
        <v>1</v>
      </c>
      <c r="K8" s="243">
        <f>SUM(C8:J8)</f>
        <v>15936</v>
      </c>
    </row>
    <row r="9" spans="1:11" ht="13.5">
      <c r="A9" s="379"/>
      <c r="B9" s="242" t="s">
        <v>394</v>
      </c>
      <c r="H9" s="243">
        <v>51412</v>
      </c>
      <c r="I9" s="243">
        <v>0</v>
      </c>
      <c r="J9" s="243">
        <v>0</v>
      </c>
      <c r="K9" s="243">
        <f>SUM(C9:J9)</f>
        <v>51412</v>
      </c>
    </row>
    <row r="10" spans="1:11" ht="13.5">
      <c r="A10" s="379"/>
      <c r="B10" s="242" t="s">
        <v>395</v>
      </c>
      <c r="C10" s="243">
        <f>C18-C6-C7-C8</f>
        <v>480</v>
      </c>
      <c r="D10" s="243">
        <v>18500</v>
      </c>
      <c r="E10" s="243">
        <f>16939-135373</f>
        <v>-118434</v>
      </c>
      <c r="F10" s="243">
        <v>120831</v>
      </c>
      <c r="G10" s="243">
        <f>535449-G6-G7-G8</f>
        <v>102762</v>
      </c>
      <c r="H10" s="243">
        <f>H18-H6-H7-H8-H9</f>
        <v>65521</v>
      </c>
      <c r="I10" s="243">
        <f>I18-I6-I7-I8-I9</f>
        <v>2591</v>
      </c>
      <c r="J10" s="243">
        <f>J18-J6-J7-J8-J9</f>
        <v>-7374</v>
      </c>
      <c r="K10" s="243">
        <f>SUM(C10:J10)</f>
        <v>184877</v>
      </c>
    </row>
    <row r="11" spans="1:11" ht="13.5">
      <c r="A11" s="379"/>
      <c r="B11" s="245" t="s">
        <v>4</v>
      </c>
      <c r="C11" s="247">
        <f aca="true" t="shared" si="0" ref="C11:K11">SUM(C6:C10)</f>
        <v>480</v>
      </c>
      <c r="D11" s="247">
        <f t="shared" si="0"/>
        <v>18500</v>
      </c>
      <c r="E11" s="247">
        <f t="shared" si="0"/>
        <v>16939</v>
      </c>
      <c r="F11" s="247">
        <f t="shared" si="0"/>
        <v>251199</v>
      </c>
      <c r="G11" s="247">
        <f t="shared" si="0"/>
        <v>535449</v>
      </c>
      <c r="H11" s="247">
        <f t="shared" si="0"/>
        <v>253547</v>
      </c>
      <c r="I11" s="247">
        <f t="shared" si="0"/>
        <v>126578</v>
      </c>
      <c r="J11" s="247">
        <f t="shared" si="0"/>
        <v>62821</v>
      </c>
      <c r="K11" s="247">
        <f t="shared" si="0"/>
        <v>1265513</v>
      </c>
    </row>
    <row r="12" ht="6" customHeight="1">
      <c r="A12" s="379"/>
    </row>
    <row r="13" spans="1:3" ht="13.5">
      <c r="A13" s="379"/>
      <c r="B13" s="245" t="s">
        <v>396</v>
      </c>
      <c r="C13" s="247"/>
    </row>
    <row r="14" spans="1:2" ht="13.5">
      <c r="A14" s="379"/>
      <c r="B14" s="242" t="s">
        <v>26</v>
      </c>
    </row>
    <row r="15" spans="1:11" ht="13.5">
      <c r="A15" s="379"/>
      <c r="B15" s="242" t="s">
        <v>397</v>
      </c>
      <c r="C15" s="243">
        <v>480</v>
      </c>
      <c r="D15" s="243">
        <v>18500</v>
      </c>
      <c r="E15" s="243">
        <v>16939</v>
      </c>
      <c r="F15" s="243">
        <v>251199</v>
      </c>
      <c r="G15" s="243">
        <v>535449</v>
      </c>
      <c r="H15" s="243">
        <v>198632</v>
      </c>
      <c r="I15" s="243">
        <v>82295</v>
      </c>
      <c r="J15" s="243">
        <v>52091</v>
      </c>
      <c r="K15" s="243">
        <f>SUM(C15:J15)</f>
        <v>1155585</v>
      </c>
    </row>
    <row r="16" spans="1:11" ht="13.5">
      <c r="A16" s="379"/>
      <c r="B16" s="242" t="s">
        <v>398</v>
      </c>
      <c r="H16" s="243">
        <v>51412</v>
      </c>
      <c r="K16" s="243">
        <f>SUM(C16:J16)</f>
        <v>51412</v>
      </c>
    </row>
    <row r="17" spans="1:11" ht="13.5">
      <c r="A17" s="379"/>
      <c r="B17" s="242" t="s">
        <v>399</v>
      </c>
      <c r="H17" s="243">
        <v>3503</v>
      </c>
      <c r="I17" s="243">
        <v>44283</v>
      </c>
      <c r="J17" s="243">
        <f>270+135+10325</f>
        <v>10730</v>
      </c>
      <c r="K17" s="243">
        <f>SUM(C17:J17)</f>
        <v>58516</v>
      </c>
    </row>
    <row r="18" spans="1:11" ht="13.5">
      <c r="A18" s="379"/>
      <c r="B18" s="245" t="s">
        <v>4</v>
      </c>
      <c r="C18" s="247">
        <f aca="true" t="shared" si="1" ref="C18:K18">SUM(C14:C17)</f>
        <v>480</v>
      </c>
      <c r="D18" s="247">
        <f t="shared" si="1"/>
        <v>18500</v>
      </c>
      <c r="E18" s="247">
        <f t="shared" si="1"/>
        <v>16939</v>
      </c>
      <c r="F18" s="247">
        <f t="shared" si="1"/>
        <v>251199</v>
      </c>
      <c r="G18" s="247">
        <f t="shared" si="1"/>
        <v>535449</v>
      </c>
      <c r="H18" s="247">
        <f t="shared" si="1"/>
        <v>253547</v>
      </c>
      <c r="I18" s="247">
        <f t="shared" si="1"/>
        <v>126578</v>
      </c>
      <c r="J18" s="247">
        <f t="shared" si="1"/>
        <v>62821</v>
      </c>
      <c r="K18" s="247">
        <f t="shared" si="1"/>
        <v>1265513</v>
      </c>
    </row>
    <row r="19" spans="1:2" ht="15.75" customHeight="1">
      <c r="A19" s="379"/>
      <c r="B19" s="245"/>
    </row>
    <row r="20" spans="1:11" ht="27">
      <c r="A20" s="379" t="s">
        <v>7</v>
      </c>
      <c r="B20" s="244" t="s">
        <v>400</v>
      </c>
      <c r="C20" s="380" t="s">
        <v>383</v>
      </c>
      <c r="D20" s="381" t="s">
        <v>384</v>
      </c>
      <c r="E20" s="273" t="s">
        <v>385</v>
      </c>
      <c r="F20" s="273" t="s">
        <v>386</v>
      </c>
      <c r="G20" s="273" t="s">
        <v>387</v>
      </c>
      <c r="H20" s="273" t="s">
        <v>388</v>
      </c>
      <c r="I20" s="273" t="s">
        <v>389</v>
      </c>
      <c r="J20" s="273" t="s">
        <v>421</v>
      </c>
      <c r="K20" s="273" t="s">
        <v>4</v>
      </c>
    </row>
    <row r="21" spans="2:3" ht="13.5">
      <c r="B21" s="245" t="s">
        <v>390</v>
      </c>
      <c r="C21" s="247"/>
    </row>
    <row r="22" spans="2:11" ht="13.5">
      <c r="B22" s="242" t="s">
        <v>391</v>
      </c>
      <c r="E22" s="243">
        <v>114539</v>
      </c>
      <c r="F22" s="243">
        <v>229009</v>
      </c>
      <c r="G22" s="243">
        <v>153235</v>
      </c>
      <c r="H22" s="243">
        <v>23971</v>
      </c>
      <c r="I22" s="243">
        <v>2568</v>
      </c>
      <c r="K22" s="243">
        <f>SUM(C22:J22)</f>
        <v>523322</v>
      </c>
    </row>
    <row r="23" spans="2:11" ht="13.5">
      <c r="B23" s="242" t="s">
        <v>392</v>
      </c>
      <c r="I23" s="243">
        <v>0</v>
      </c>
      <c r="J23" s="243">
        <v>0</v>
      </c>
      <c r="K23" s="243">
        <f>SUM(C23:J23)</f>
        <v>0</v>
      </c>
    </row>
    <row r="24" spans="2:11" ht="13.5">
      <c r="B24" s="242" t="s">
        <v>393</v>
      </c>
      <c r="E24" s="243">
        <v>1650</v>
      </c>
      <c r="F24" s="243">
        <v>5824</v>
      </c>
      <c r="G24" s="243">
        <v>1071</v>
      </c>
      <c r="H24" s="243">
        <v>84</v>
      </c>
      <c r="I24" s="243">
        <v>0</v>
      </c>
      <c r="J24" s="243">
        <v>0</v>
      </c>
      <c r="K24" s="243">
        <f>SUM(C24:J24)</f>
        <v>8629</v>
      </c>
    </row>
    <row r="25" spans="2:11" ht="13.5">
      <c r="B25" s="242" t="s">
        <v>395</v>
      </c>
      <c r="C25" s="243">
        <f>C32-C22-C23-C24</f>
        <v>8310</v>
      </c>
      <c r="D25" s="243">
        <v>35394</v>
      </c>
      <c r="E25" s="243">
        <f>18583-116189</f>
        <v>-97606</v>
      </c>
      <c r="F25" s="243">
        <v>133618</v>
      </c>
      <c r="G25" s="243">
        <f>G32-G22-G23-G24</f>
        <v>25578</v>
      </c>
      <c r="H25" s="243">
        <f>H32-H22-H23-H24</f>
        <v>3192</v>
      </c>
      <c r="I25" s="243">
        <f>I32-I22-I23-I24</f>
        <v>-2568</v>
      </c>
      <c r="J25" s="243">
        <f>J32-J22-J23-J24</f>
        <v>0</v>
      </c>
      <c r="K25" s="243">
        <f>SUM(C25:J25)</f>
        <v>105918</v>
      </c>
    </row>
    <row r="26" spans="2:11" ht="13.5">
      <c r="B26" s="245" t="s">
        <v>4</v>
      </c>
      <c r="C26" s="247">
        <f aca="true" t="shared" si="2" ref="C26:K26">SUM(C22:C25)</f>
        <v>8310</v>
      </c>
      <c r="D26" s="247">
        <f t="shared" si="2"/>
        <v>35394</v>
      </c>
      <c r="E26" s="247">
        <f t="shared" si="2"/>
        <v>18583</v>
      </c>
      <c r="F26" s="247">
        <f t="shared" si="2"/>
        <v>368451</v>
      </c>
      <c r="G26" s="247">
        <f t="shared" si="2"/>
        <v>179884</v>
      </c>
      <c r="H26" s="247">
        <f t="shared" si="2"/>
        <v>27247</v>
      </c>
      <c r="I26" s="247">
        <f t="shared" si="2"/>
        <v>0</v>
      </c>
      <c r="J26" s="247">
        <f t="shared" si="2"/>
        <v>0</v>
      </c>
      <c r="K26" s="247">
        <f t="shared" si="2"/>
        <v>637869</v>
      </c>
    </row>
    <row r="27" ht="3" customHeight="1"/>
    <row r="28" spans="2:3" ht="13.5">
      <c r="B28" s="245" t="s">
        <v>396</v>
      </c>
      <c r="C28" s="247"/>
    </row>
    <row r="29" ht="13.5">
      <c r="B29" s="242" t="s">
        <v>26</v>
      </c>
    </row>
    <row r="30" spans="2:11" ht="13.5">
      <c r="B30" s="242" t="s">
        <v>397</v>
      </c>
      <c r="C30" s="243">
        <v>8310</v>
      </c>
      <c r="D30" s="243">
        <v>35394</v>
      </c>
      <c r="E30" s="243">
        <v>18583</v>
      </c>
      <c r="F30" s="243">
        <v>368451</v>
      </c>
      <c r="G30" s="243">
        <v>179884</v>
      </c>
      <c r="H30" s="243">
        <v>25692</v>
      </c>
      <c r="I30" s="243">
        <v>0</v>
      </c>
      <c r="J30" s="243">
        <v>0</v>
      </c>
      <c r="K30" s="243">
        <f>SUM(C30:J30)</f>
        <v>636314</v>
      </c>
    </row>
    <row r="31" spans="2:11" ht="13.5">
      <c r="B31" s="242" t="s">
        <v>399</v>
      </c>
      <c r="H31" s="243">
        <v>1555</v>
      </c>
      <c r="I31" s="243">
        <v>0</v>
      </c>
      <c r="J31" s="243">
        <v>0</v>
      </c>
      <c r="K31" s="243">
        <f>SUM(C31:J31)</f>
        <v>1555</v>
      </c>
    </row>
    <row r="32" spans="2:11" ht="13.5">
      <c r="B32" s="245" t="s">
        <v>4</v>
      </c>
      <c r="C32" s="247">
        <f aca="true" t="shared" si="3" ref="C32:K32">SUM(C29:C31)</f>
        <v>8310</v>
      </c>
      <c r="D32" s="247">
        <f t="shared" si="3"/>
        <v>35394</v>
      </c>
      <c r="E32" s="247">
        <f t="shared" si="3"/>
        <v>18583</v>
      </c>
      <c r="F32" s="247">
        <f t="shared" si="3"/>
        <v>368451</v>
      </c>
      <c r="G32" s="247">
        <f t="shared" si="3"/>
        <v>179884</v>
      </c>
      <c r="H32" s="247">
        <f t="shared" si="3"/>
        <v>27247</v>
      </c>
      <c r="I32" s="247">
        <f t="shared" si="3"/>
        <v>0</v>
      </c>
      <c r="J32" s="247">
        <f t="shared" si="3"/>
        <v>0</v>
      </c>
      <c r="K32" s="247">
        <f t="shared" si="3"/>
        <v>637869</v>
      </c>
    </row>
    <row r="33" ht="12.75" customHeight="1"/>
    <row r="34" spans="1:11" ht="13.5">
      <c r="A34" s="378" t="s">
        <v>8</v>
      </c>
      <c r="B34" s="241" t="s">
        <v>401</v>
      </c>
      <c r="C34" s="380" t="s">
        <v>383</v>
      </c>
      <c r="D34" s="381" t="s">
        <v>384</v>
      </c>
      <c r="E34" s="273" t="s">
        <v>385</v>
      </c>
      <c r="F34" s="273" t="s">
        <v>386</v>
      </c>
      <c r="G34" s="273" t="s">
        <v>387</v>
      </c>
      <c r="H34" s="273" t="s">
        <v>388</v>
      </c>
      <c r="I34" s="273" t="s">
        <v>389</v>
      </c>
      <c r="J34" s="273" t="s">
        <v>421</v>
      </c>
      <c r="K34" s="273" t="s">
        <v>4</v>
      </c>
    </row>
    <row r="35" spans="2:5" ht="13.5">
      <c r="B35" s="245" t="s">
        <v>390</v>
      </c>
      <c r="C35" s="242"/>
      <c r="D35" s="242"/>
      <c r="E35" s="242"/>
    </row>
    <row r="36" spans="2:11" ht="13.5">
      <c r="B36" s="242" t="s">
        <v>391</v>
      </c>
      <c r="E36" s="243">
        <v>17128</v>
      </c>
      <c r="F36" s="243">
        <v>12591</v>
      </c>
      <c r="G36" s="243">
        <v>72277</v>
      </c>
      <c r="I36" s="243">
        <v>59802</v>
      </c>
      <c r="K36" s="243">
        <f>SUM(C36:J36)</f>
        <v>161798</v>
      </c>
    </row>
    <row r="37" spans="2:11" ht="13.5">
      <c r="B37" s="242" t="s">
        <v>392</v>
      </c>
      <c r="K37" s="243">
        <f>SUM(C37:J37)</f>
        <v>0</v>
      </c>
    </row>
    <row r="38" spans="2:11" ht="13.5">
      <c r="B38" s="242" t="s">
        <v>393</v>
      </c>
      <c r="E38" s="243">
        <v>4</v>
      </c>
      <c r="F38" s="243">
        <v>3378</v>
      </c>
      <c r="G38" s="243">
        <v>7</v>
      </c>
      <c r="H38" s="243">
        <v>9</v>
      </c>
      <c r="I38" s="243">
        <v>446</v>
      </c>
      <c r="K38" s="243">
        <f>SUM(C38:J38)</f>
        <v>3844</v>
      </c>
    </row>
    <row r="39" spans="2:11" ht="13.5">
      <c r="B39" s="242" t="s">
        <v>394</v>
      </c>
      <c r="G39" s="243">
        <v>29827</v>
      </c>
      <c r="K39" s="243">
        <f>SUM(C39:J39)</f>
        <v>29827</v>
      </c>
    </row>
    <row r="40" spans="2:11" ht="13.5">
      <c r="B40" s="242" t="s">
        <v>395</v>
      </c>
      <c r="D40" s="243">
        <v>7028</v>
      </c>
      <c r="E40" s="243">
        <f>11319-17132</f>
        <v>-5813</v>
      </c>
      <c r="F40" s="243">
        <v>83401</v>
      </c>
      <c r="G40" s="243">
        <f>G49-G36-G37-G38-G39</f>
        <v>-2686</v>
      </c>
      <c r="H40" s="243">
        <f>H48-H36-H37-H38-H39</f>
        <v>-9</v>
      </c>
      <c r="I40" s="243">
        <f>I49-I36-I37-I38-I39</f>
        <v>-59419</v>
      </c>
      <c r="J40" s="243">
        <f>J49-J36-J37-J38-J39</f>
        <v>0</v>
      </c>
      <c r="K40" s="243">
        <f>SUM(C40:J40)</f>
        <v>22502</v>
      </c>
    </row>
    <row r="41" spans="2:11" ht="13.5">
      <c r="B41" s="245" t="s">
        <v>4</v>
      </c>
      <c r="C41" s="247">
        <f aca="true" t="shared" si="4" ref="C41:K41">SUM(C36:C40)</f>
        <v>0</v>
      </c>
      <c r="D41" s="247">
        <f t="shared" si="4"/>
        <v>7028</v>
      </c>
      <c r="E41" s="247">
        <f t="shared" si="4"/>
        <v>11319</v>
      </c>
      <c r="F41" s="247">
        <f t="shared" si="4"/>
        <v>99370</v>
      </c>
      <c r="G41" s="247">
        <f t="shared" si="4"/>
        <v>99425</v>
      </c>
      <c r="H41" s="247">
        <f t="shared" si="4"/>
        <v>0</v>
      </c>
      <c r="I41" s="247">
        <f t="shared" si="4"/>
        <v>829</v>
      </c>
      <c r="J41" s="247">
        <f t="shared" si="4"/>
        <v>0</v>
      </c>
      <c r="K41" s="247">
        <f t="shared" si="4"/>
        <v>217971</v>
      </c>
    </row>
    <row r="42" spans="3:5" ht="8.25" customHeight="1">
      <c r="C42" s="242"/>
      <c r="D42" s="242"/>
      <c r="E42" s="242"/>
    </row>
    <row r="43" spans="2:5" ht="13.5">
      <c r="B43" s="245" t="s">
        <v>396</v>
      </c>
      <c r="C43" s="242"/>
      <c r="D43" s="242"/>
      <c r="E43" s="242"/>
    </row>
    <row r="44" ht="13.5">
      <c r="B44" s="242" t="s">
        <v>26</v>
      </c>
    </row>
    <row r="45" spans="2:11" ht="13.5">
      <c r="B45" s="242" t="s">
        <v>397</v>
      </c>
      <c r="D45" s="243">
        <v>3000</v>
      </c>
      <c r="E45" s="243">
        <v>6318</v>
      </c>
      <c r="F45" s="243">
        <v>98483</v>
      </c>
      <c r="G45" s="243">
        <v>66994</v>
      </c>
      <c r="K45" s="243">
        <f>SUM(C45:J45)</f>
        <v>174795</v>
      </c>
    </row>
    <row r="46" spans="2:11" ht="26.25">
      <c r="B46" s="382" t="s">
        <v>402</v>
      </c>
      <c r="D46" s="243">
        <v>4026</v>
      </c>
      <c r="E46" s="243">
        <v>2218</v>
      </c>
      <c r="K46" s="243">
        <f>SUM(C46:J46)</f>
        <v>6244</v>
      </c>
    </row>
    <row r="47" spans="2:11" ht="13.5">
      <c r="B47" s="382" t="s">
        <v>403</v>
      </c>
      <c r="D47" s="243">
        <v>2</v>
      </c>
      <c r="E47" s="243">
        <v>2783</v>
      </c>
      <c r="F47" s="243">
        <f>250+61+576</f>
        <v>887</v>
      </c>
      <c r="G47" s="243">
        <v>2604</v>
      </c>
      <c r="I47" s="243">
        <v>829</v>
      </c>
      <c r="K47" s="243">
        <f>SUM(C47:J47)</f>
        <v>7105</v>
      </c>
    </row>
    <row r="48" spans="2:11" ht="13.5">
      <c r="B48" s="242" t="s">
        <v>394</v>
      </c>
      <c r="G48" s="243">
        <v>29827</v>
      </c>
      <c r="H48" s="247"/>
      <c r="I48" s="247"/>
      <c r="J48" s="247"/>
      <c r="K48" s="243">
        <f>SUM(C48:J48)</f>
        <v>29827</v>
      </c>
    </row>
    <row r="49" spans="2:11" ht="13.5">
      <c r="B49" s="245" t="s">
        <v>4</v>
      </c>
      <c r="C49" s="247">
        <f aca="true" t="shared" si="5" ref="C49:K49">SUM(C44:C48)</f>
        <v>0</v>
      </c>
      <c r="D49" s="247">
        <f t="shared" si="5"/>
        <v>7028</v>
      </c>
      <c r="E49" s="247">
        <f t="shared" si="5"/>
        <v>11319</v>
      </c>
      <c r="F49" s="247">
        <f t="shared" si="5"/>
        <v>99370</v>
      </c>
      <c r="G49" s="247">
        <f t="shared" si="5"/>
        <v>99425</v>
      </c>
      <c r="H49" s="247">
        <f t="shared" si="5"/>
        <v>0</v>
      </c>
      <c r="I49" s="247">
        <f t="shared" si="5"/>
        <v>829</v>
      </c>
      <c r="J49" s="247">
        <f t="shared" si="5"/>
        <v>0</v>
      </c>
      <c r="K49" s="247">
        <f t="shared" si="5"/>
        <v>217971</v>
      </c>
    </row>
    <row r="50" spans="2:11" ht="21.75" customHeight="1">
      <c r="B50" s="245"/>
      <c r="C50" s="247"/>
      <c r="D50" s="247"/>
      <c r="E50" s="247"/>
      <c r="F50" s="247"/>
      <c r="G50" s="247"/>
      <c r="H50" s="247"/>
      <c r="I50" s="247"/>
      <c r="J50" s="247"/>
      <c r="K50" s="247"/>
    </row>
    <row r="51" spans="1:11" ht="27">
      <c r="A51" s="379" t="s">
        <v>9</v>
      </c>
      <c r="B51" s="244" t="s">
        <v>404</v>
      </c>
      <c r="C51" s="380" t="s">
        <v>383</v>
      </c>
      <c r="D51" s="273" t="s">
        <v>384</v>
      </c>
      <c r="E51" s="380" t="s">
        <v>385</v>
      </c>
      <c r="F51" s="273" t="s">
        <v>386</v>
      </c>
      <c r="G51" s="273" t="s">
        <v>387</v>
      </c>
      <c r="H51" s="273" t="s">
        <v>388</v>
      </c>
      <c r="I51" s="273" t="s">
        <v>389</v>
      </c>
      <c r="J51" s="273" t="s">
        <v>421</v>
      </c>
      <c r="K51" s="273" t="s">
        <v>4</v>
      </c>
    </row>
    <row r="52" spans="2:5" ht="13.5">
      <c r="B52" s="245" t="s">
        <v>390</v>
      </c>
      <c r="C52" s="242"/>
      <c r="D52" s="242"/>
      <c r="E52" s="242"/>
    </row>
    <row r="53" spans="2:11" ht="13.5">
      <c r="B53" s="242" t="s">
        <v>391</v>
      </c>
      <c r="H53" s="243">
        <v>14335</v>
      </c>
      <c r="I53" s="243">
        <v>7214</v>
      </c>
      <c r="J53" s="243">
        <v>4691</v>
      </c>
      <c r="K53" s="243">
        <f>SUM(C53:J53)</f>
        <v>26240</v>
      </c>
    </row>
    <row r="54" spans="2:11" ht="13.5">
      <c r="B54" s="242" t="s">
        <v>392</v>
      </c>
      <c r="K54" s="243">
        <f>SUM(C54:J54)</f>
        <v>0</v>
      </c>
    </row>
    <row r="55" spans="2:11" ht="13.5">
      <c r="B55" s="242" t="s">
        <v>393</v>
      </c>
      <c r="H55" s="243">
        <v>2</v>
      </c>
      <c r="K55" s="243">
        <f>SUM(C55:J55)</f>
        <v>2</v>
      </c>
    </row>
    <row r="56" spans="2:11" ht="13.5">
      <c r="B56" s="242" t="s">
        <v>395</v>
      </c>
      <c r="H56" s="243">
        <f>H64-H53-H54-H55</f>
        <v>-1632</v>
      </c>
      <c r="I56" s="243">
        <f>I64-I53-I54-I55</f>
        <v>10109</v>
      </c>
      <c r="J56" s="243">
        <f>J64-J53-J54-J55</f>
        <v>-3919</v>
      </c>
      <c r="K56" s="243">
        <f>SUM(C56:J56)</f>
        <v>4558</v>
      </c>
    </row>
    <row r="57" spans="2:11" ht="13.5">
      <c r="B57" s="245" t="s">
        <v>4</v>
      </c>
      <c r="C57" s="247">
        <f aca="true" t="shared" si="6" ref="C57:K57">SUM(C53:C56)</f>
        <v>0</v>
      </c>
      <c r="D57" s="247">
        <f t="shared" si="6"/>
        <v>0</v>
      </c>
      <c r="E57" s="247">
        <f t="shared" si="6"/>
        <v>0</v>
      </c>
      <c r="F57" s="247">
        <f t="shared" si="6"/>
        <v>0</v>
      </c>
      <c r="G57" s="247">
        <f t="shared" si="6"/>
        <v>0</v>
      </c>
      <c r="H57" s="247">
        <f t="shared" si="6"/>
        <v>12705</v>
      </c>
      <c r="I57" s="247">
        <f t="shared" si="6"/>
        <v>17323</v>
      </c>
      <c r="J57" s="247">
        <f t="shared" si="6"/>
        <v>772</v>
      </c>
      <c r="K57" s="247">
        <f t="shared" si="6"/>
        <v>30800</v>
      </c>
    </row>
    <row r="58" spans="3:5" ht="6" customHeight="1">
      <c r="C58" s="242"/>
      <c r="D58" s="242"/>
      <c r="E58" s="242"/>
    </row>
    <row r="59" spans="2:5" ht="13.5">
      <c r="B59" s="245" t="s">
        <v>396</v>
      </c>
      <c r="C59" s="242"/>
      <c r="D59" s="242"/>
      <c r="E59" s="242"/>
    </row>
    <row r="60" ht="13.5">
      <c r="B60" s="242" t="s">
        <v>26</v>
      </c>
    </row>
    <row r="61" spans="2:11" ht="13.5">
      <c r="B61" s="242" t="s">
        <v>397</v>
      </c>
      <c r="K61" s="243">
        <f>SUM(C61:J61)</f>
        <v>0</v>
      </c>
    </row>
    <row r="62" spans="2:11" ht="15" customHeight="1">
      <c r="B62" s="382" t="s">
        <v>402</v>
      </c>
      <c r="K62" s="243">
        <f>SUM(C62:J62)</f>
        <v>0</v>
      </c>
    </row>
    <row r="63" spans="2:11" ht="13.5">
      <c r="B63" s="382" t="s">
        <v>403</v>
      </c>
      <c r="H63" s="243">
        <v>12705</v>
      </c>
      <c r="I63" s="243">
        <v>17323</v>
      </c>
      <c r="J63" s="243">
        <f>608+164</f>
        <v>772</v>
      </c>
      <c r="K63" s="243">
        <f>SUM(C63:J63)</f>
        <v>30800</v>
      </c>
    </row>
    <row r="64" spans="2:11" ht="13.5">
      <c r="B64" s="245" t="s">
        <v>4</v>
      </c>
      <c r="C64" s="247">
        <f aca="true" t="shared" si="7" ref="C64:K64">SUM(C60:C63)</f>
        <v>0</v>
      </c>
      <c r="D64" s="247">
        <f t="shared" si="7"/>
        <v>0</v>
      </c>
      <c r="E64" s="247">
        <f t="shared" si="7"/>
        <v>0</v>
      </c>
      <c r="F64" s="247">
        <f t="shared" si="7"/>
        <v>0</v>
      </c>
      <c r="G64" s="247">
        <f t="shared" si="7"/>
        <v>0</v>
      </c>
      <c r="H64" s="247">
        <f t="shared" si="7"/>
        <v>12705</v>
      </c>
      <c r="I64" s="247">
        <f t="shared" si="7"/>
        <v>17323</v>
      </c>
      <c r="J64" s="247">
        <f t="shared" si="7"/>
        <v>772</v>
      </c>
      <c r="K64" s="247">
        <f t="shared" si="7"/>
        <v>30800</v>
      </c>
    </row>
    <row r="65" spans="2:5" ht="10.5" customHeight="1">
      <c r="B65" s="245"/>
      <c r="C65" s="242"/>
      <c r="D65" s="242"/>
      <c r="E65" s="242"/>
    </row>
    <row r="66" spans="1:11" ht="40.5">
      <c r="A66" s="379" t="s">
        <v>27</v>
      </c>
      <c r="B66" s="244" t="s">
        <v>471</v>
      </c>
      <c r="C66" s="380" t="s">
        <v>383</v>
      </c>
      <c r="D66" s="273" t="s">
        <v>384</v>
      </c>
      <c r="E66" s="380" t="s">
        <v>385</v>
      </c>
      <c r="F66" s="273" t="s">
        <v>386</v>
      </c>
      <c r="G66" s="273" t="s">
        <v>387</v>
      </c>
      <c r="H66" s="273" t="s">
        <v>388</v>
      </c>
      <c r="I66" s="273" t="s">
        <v>389</v>
      </c>
      <c r="J66" s="273" t="s">
        <v>421</v>
      </c>
      <c r="K66" s="273" t="s">
        <v>4</v>
      </c>
    </row>
    <row r="67" spans="2:5" ht="13.5">
      <c r="B67" s="245" t="s">
        <v>390</v>
      </c>
      <c r="C67" s="242"/>
      <c r="D67" s="242"/>
      <c r="E67" s="242"/>
    </row>
    <row r="68" spans="2:11" ht="13.5">
      <c r="B68" s="242" t="s">
        <v>391</v>
      </c>
      <c r="K68" s="243">
        <f>SUM(C68:J68)</f>
        <v>0</v>
      </c>
    </row>
    <row r="69" spans="2:11" ht="13.5">
      <c r="B69" s="242" t="s">
        <v>392</v>
      </c>
      <c r="I69" s="243">
        <v>12887</v>
      </c>
      <c r="J69" s="243">
        <v>9113</v>
      </c>
      <c r="K69" s="243">
        <f>SUM(C69:J69)</f>
        <v>22000</v>
      </c>
    </row>
    <row r="70" spans="2:11" ht="13.5">
      <c r="B70" s="242" t="s">
        <v>393</v>
      </c>
      <c r="H70" s="243">
        <v>5500</v>
      </c>
      <c r="I70" s="243">
        <v>-5500</v>
      </c>
      <c r="K70" s="243">
        <f>SUM(C70:J70)</f>
        <v>0</v>
      </c>
    </row>
    <row r="71" spans="2:11" ht="13.5">
      <c r="B71" s="242" t="s">
        <v>395</v>
      </c>
      <c r="H71" s="243">
        <f>H78-H68-H69-H70</f>
        <v>-5418</v>
      </c>
      <c r="I71" s="243">
        <f>I78-I68-I69-I70</f>
        <v>14496</v>
      </c>
      <c r="J71" s="243">
        <f>J78-J68-J69-J70</f>
        <v>-8972</v>
      </c>
      <c r="K71" s="243">
        <f>SUM(C71:J71)</f>
        <v>106</v>
      </c>
    </row>
    <row r="72" spans="2:11" ht="13.5">
      <c r="B72" s="245" t="s">
        <v>4</v>
      </c>
      <c r="C72" s="247">
        <f aca="true" t="shared" si="8" ref="C72:K72">SUM(C68:C71)</f>
        <v>0</v>
      </c>
      <c r="D72" s="247">
        <f t="shared" si="8"/>
        <v>0</v>
      </c>
      <c r="E72" s="247">
        <f t="shared" si="8"/>
        <v>0</v>
      </c>
      <c r="F72" s="247">
        <f t="shared" si="8"/>
        <v>0</v>
      </c>
      <c r="G72" s="247">
        <f t="shared" si="8"/>
        <v>0</v>
      </c>
      <c r="H72" s="247">
        <f t="shared" si="8"/>
        <v>82</v>
      </c>
      <c r="I72" s="247">
        <f t="shared" si="8"/>
        <v>21883</v>
      </c>
      <c r="J72" s="247">
        <f t="shared" si="8"/>
        <v>141</v>
      </c>
      <c r="K72" s="247">
        <f t="shared" si="8"/>
        <v>22106</v>
      </c>
    </row>
    <row r="73" spans="3:5" ht="4.5" customHeight="1">
      <c r="C73" s="242"/>
      <c r="D73" s="242"/>
      <c r="E73" s="242"/>
    </row>
    <row r="74" spans="2:5" ht="13.5">
      <c r="B74" s="245" t="s">
        <v>396</v>
      </c>
      <c r="C74" s="242"/>
      <c r="D74" s="242"/>
      <c r="E74" s="242"/>
    </row>
    <row r="75" spans="2:5" ht="13.5">
      <c r="B75" s="242" t="s">
        <v>26</v>
      </c>
      <c r="C75" s="242"/>
      <c r="D75" s="242"/>
      <c r="E75" s="242"/>
    </row>
    <row r="76" spans="2:11" ht="13.5">
      <c r="B76" s="242" t="s">
        <v>397</v>
      </c>
      <c r="C76" s="242"/>
      <c r="D76" s="242"/>
      <c r="E76" s="242"/>
      <c r="I76" s="243">
        <v>2223</v>
      </c>
      <c r="K76" s="243">
        <f>SUM(C76:J76)</f>
        <v>2223</v>
      </c>
    </row>
    <row r="77" spans="2:11" ht="13.5">
      <c r="B77" s="382" t="s">
        <v>403</v>
      </c>
      <c r="C77" s="242"/>
      <c r="D77" s="242"/>
      <c r="E77" s="242"/>
      <c r="H77" s="243">
        <v>82</v>
      </c>
      <c r="I77" s="243">
        <v>19660</v>
      </c>
      <c r="J77" s="243">
        <f>113+28</f>
        <v>141</v>
      </c>
      <c r="K77" s="243">
        <f>SUM(C77:J77)</f>
        <v>19883</v>
      </c>
    </row>
    <row r="78" spans="2:11" ht="13.5">
      <c r="B78" s="245" t="s">
        <v>4</v>
      </c>
      <c r="C78" s="247">
        <f aca="true" t="shared" si="9" ref="C78:K78">SUM(C75:C77)</f>
        <v>0</v>
      </c>
      <c r="D78" s="247">
        <f t="shared" si="9"/>
        <v>0</v>
      </c>
      <c r="E78" s="247">
        <f t="shared" si="9"/>
        <v>0</v>
      </c>
      <c r="F78" s="247">
        <f t="shared" si="9"/>
        <v>0</v>
      </c>
      <c r="G78" s="247">
        <f t="shared" si="9"/>
        <v>0</v>
      </c>
      <c r="H78" s="247">
        <f t="shared" si="9"/>
        <v>82</v>
      </c>
      <c r="I78" s="247">
        <f t="shared" si="9"/>
        <v>21883</v>
      </c>
      <c r="J78" s="247">
        <f t="shared" si="9"/>
        <v>141</v>
      </c>
      <c r="K78" s="247">
        <f t="shared" si="9"/>
        <v>22106</v>
      </c>
    </row>
    <row r="79" spans="2:5" ht="12.75" customHeight="1">
      <c r="B79" s="245"/>
      <c r="C79" s="242"/>
      <c r="D79" s="242"/>
      <c r="E79" s="242"/>
    </row>
    <row r="80" spans="2:5" ht="10.5" customHeight="1">
      <c r="B80" s="245"/>
      <c r="C80" s="242"/>
      <c r="D80" s="242"/>
      <c r="E80" s="242"/>
    </row>
    <row r="81" spans="1:11" ht="54">
      <c r="A81" s="379" t="s">
        <v>28</v>
      </c>
      <c r="B81" s="244" t="s">
        <v>472</v>
      </c>
      <c r="C81" s="380" t="s">
        <v>383</v>
      </c>
      <c r="D81" s="273" t="s">
        <v>384</v>
      </c>
      <c r="E81" s="380" t="s">
        <v>385</v>
      </c>
      <c r="F81" s="273" t="s">
        <v>386</v>
      </c>
      <c r="G81" s="273" t="s">
        <v>387</v>
      </c>
      <c r="H81" s="273" t="s">
        <v>388</v>
      </c>
      <c r="I81" s="273" t="s">
        <v>389</v>
      </c>
      <c r="J81" s="273" t="s">
        <v>421</v>
      </c>
      <c r="K81" s="273" t="s">
        <v>4</v>
      </c>
    </row>
    <row r="82" spans="2:5" ht="13.5">
      <c r="B82" s="245" t="s">
        <v>390</v>
      </c>
      <c r="C82" s="242"/>
      <c r="D82" s="242"/>
      <c r="E82" s="242"/>
    </row>
    <row r="83" spans="2:11" ht="13.5">
      <c r="B83" s="242" t="s">
        <v>391</v>
      </c>
      <c r="I83" s="242"/>
      <c r="J83" s="243">
        <v>13951</v>
      </c>
      <c r="K83" s="243">
        <f>SUM(C83:J83)</f>
        <v>13951</v>
      </c>
    </row>
    <row r="84" spans="2:11" ht="13.5">
      <c r="B84" s="242" t="s">
        <v>392</v>
      </c>
      <c r="I84" s="242"/>
      <c r="K84" s="243">
        <f>SUM(C84:J84)</f>
        <v>0</v>
      </c>
    </row>
    <row r="85" spans="2:11" ht="13.5">
      <c r="B85" s="242" t="s">
        <v>393</v>
      </c>
      <c r="I85" s="242"/>
      <c r="J85" s="243">
        <v>5499</v>
      </c>
      <c r="K85" s="243">
        <f>SUM(C85:J85)</f>
        <v>5499</v>
      </c>
    </row>
    <row r="86" spans="2:11" ht="13.5">
      <c r="B86" s="242" t="s">
        <v>395</v>
      </c>
      <c r="I86" s="242"/>
      <c r="J86" s="243">
        <f>J93-J83-J84-J85</f>
        <v>2424</v>
      </c>
      <c r="K86" s="243">
        <f>SUM(C86:J86)</f>
        <v>2424</v>
      </c>
    </row>
    <row r="87" spans="2:11" ht="13.5">
      <c r="B87" s="245" t="s">
        <v>4</v>
      </c>
      <c r="C87" s="247">
        <f aca="true" t="shared" si="10" ref="C87:K87">SUM(C83:C86)</f>
        <v>0</v>
      </c>
      <c r="D87" s="247">
        <f t="shared" si="10"/>
        <v>0</v>
      </c>
      <c r="E87" s="247">
        <f t="shared" si="10"/>
        <v>0</v>
      </c>
      <c r="F87" s="247">
        <f t="shared" si="10"/>
        <v>0</v>
      </c>
      <c r="G87" s="247">
        <f t="shared" si="10"/>
        <v>0</v>
      </c>
      <c r="H87" s="247">
        <f t="shared" si="10"/>
        <v>0</v>
      </c>
      <c r="I87" s="247">
        <f t="shared" si="10"/>
        <v>0</v>
      </c>
      <c r="J87" s="247">
        <f t="shared" si="10"/>
        <v>21874</v>
      </c>
      <c r="K87" s="247">
        <f t="shared" si="10"/>
        <v>21874</v>
      </c>
    </row>
    <row r="88" spans="3:8" ht="4.5" customHeight="1">
      <c r="C88" s="242"/>
      <c r="D88" s="242"/>
      <c r="E88" s="242"/>
      <c r="H88" s="242"/>
    </row>
    <row r="89" spans="2:5" ht="13.5">
      <c r="B89" s="245" t="s">
        <v>396</v>
      </c>
      <c r="C89" s="242"/>
      <c r="D89" s="242"/>
      <c r="E89" s="242"/>
    </row>
    <row r="90" spans="2:5" ht="13.5">
      <c r="B90" s="242" t="s">
        <v>26</v>
      </c>
      <c r="C90" s="242"/>
      <c r="D90" s="242"/>
      <c r="E90" s="242"/>
    </row>
    <row r="91" spans="2:11" ht="13.5">
      <c r="B91" s="242" t="s">
        <v>397</v>
      </c>
      <c r="C91" s="242"/>
      <c r="D91" s="242"/>
      <c r="E91" s="242"/>
      <c r="I91" s="242"/>
      <c r="J91" s="243">
        <v>635</v>
      </c>
      <c r="K91" s="243">
        <f>SUM(C91:J91)</f>
        <v>635</v>
      </c>
    </row>
    <row r="92" spans="2:11" ht="13.5">
      <c r="B92" s="382" t="s">
        <v>403</v>
      </c>
      <c r="C92" s="242"/>
      <c r="D92" s="242"/>
      <c r="E92" s="242"/>
      <c r="H92" s="243">
        <v>0</v>
      </c>
      <c r="I92" s="242"/>
      <c r="J92" s="243">
        <f>5382+1361+14496</f>
        <v>21239</v>
      </c>
      <c r="K92" s="243">
        <f>SUM(C92:J92)</f>
        <v>21239</v>
      </c>
    </row>
    <row r="93" spans="2:11" ht="13.5">
      <c r="B93" s="245" t="s">
        <v>4</v>
      </c>
      <c r="C93" s="247">
        <f aca="true" t="shared" si="11" ref="C93:K93">SUM(C90:C92)</f>
        <v>0</v>
      </c>
      <c r="D93" s="247">
        <f t="shared" si="11"/>
        <v>0</v>
      </c>
      <c r="E93" s="247">
        <f t="shared" si="11"/>
        <v>0</v>
      </c>
      <c r="F93" s="247">
        <f t="shared" si="11"/>
        <v>0</v>
      </c>
      <c r="G93" s="247">
        <f t="shared" si="11"/>
        <v>0</v>
      </c>
      <c r="H93" s="247">
        <f t="shared" si="11"/>
        <v>0</v>
      </c>
      <c r="I93" s="247">
        <f t="shared" si="11"/>
        <v>0</v>
      </c>
      <c r="J93" s="247">
        <f t="shared" si="11"/>
        <v>21874</v>
      </c>
      <c r="K93" s="247">
        <f t="shared" si="11"/>
        <v>21874</v>
      </c>
    </row>
    <row r="94" spans="2:5" ht="12.75" customHeight="1">
      <c r="B94" s="245"/>
      <c r="C94" s="242"/>
      <c r="D94" s="242"/>
      <c r="E94" s="242"/>
    </row>
    <row r="95" spans="1:11" ht="13.5">
      <c r="A95" s="379" t="s">
        <v>30</v>
      </c>
      <c r="B95" s="244" t="s">
        <v>487</v>
      </c>
      <c r="C95" s="380" t="s">
        <v>383</v>
      </c>
      <c r="D95" s="273" t="s">
        <v>384</v>
      </c>
      <c r="E95" s="380" t="s">
        <v>385</v>
      </c>
      <c r="F95" s="273" t="s">
        <v>386</v>
      </c>
      <c r="G95" s="273" t="s">
        <v>387</v>
      </c>
      <c r="H95" s="273" t="s">
        <v>388</v>
      </c>
      <c r="I95" s="273" t="s">
        <v>389</v>
      </c>
      <c r="J95" s="273" t="s">
        <v>421</v>
      </c>
      <c r="K95" s="273" t="s">
        <v>4</v>
      </c>
    </row>
    <row r="96" spans="2:5" ht="13.5">
      <c r="B96" s="245" t="s">
        <v>390</v>
      </c>
      <c r="C96" s="242"/>
      <c r="D96" s="242"/>
      <c r="E96" s="242"/>
    </row>
    <row r="97" spans="2:11" ht="13.5">
      <c r="B97" s="242" t="s">
        <v>391</v>
      </c>
      <c r="I97" s="242"/>
      <c r="J97" s="243">
        <v>9787</v>
      </c>
      <c r="K97" s="243">
        <f>SUM(C97:J97)</f>
        <v>9787</v>
      </c>
    </row>
    <row r="98" spans="2:11" ht="13.5">
      <c r="B98" s="242" t="s">
        <v>392</v>
      </c>
      <c r="I98" s="242"/>
      <c r="K98" s="243">
        <f>SUM(C98:J98)</f>
        <v>0</v>
      </c>
    </row>
    <row r="99" spans="2:11" ht="13.5">
      <c r="B99" s="242" t="s">
        <v>393</v>
      </c>
      <c r="I99" s="242"/>
      <c r="J99" s="243">
        <v>0</v>
      </c>
      <c r="K99" s="243">
        <f>SUM(C99:J99)</f>
        <v>0</v>
      </c>
    </row>
    <row r="100" spans="2:11" ht="13.5">
      <c r="B100" s="242" t="s">
        <v>395</v>
      </c>
      <c r="I100" s="242"/>
      <c r="J100" s="243">
        <f>J107-J97-J98-J99</f>
        <v>-4091</v>
      </c>
      <c r="K100" s="243">
        <f>SUM(C100:J100)</f>
        <v>-4091</v>
      </c>
    </row>
    <row r="101" spans="2:11" ht="13.5">
      <c r="B101" s="245" t="s">
        <v>4</v>
      </c>
      <c r="C101" s="247">
        <f aca="true" t="shared" si="12" ref="C101:K101">SUM(C97:C100)</f>
        <v>0</v>
      </c>
      <c r="D101" s="247">
        <f t="shared" si="12"/>
        <v>0</v>
      </c>
      <c r="E101" s="247">
        <f t="shared" si="12"/>
        <v>0</v>
      </c>
      <c r="F101" s="247">
        <f t="shared" si="12"/>
        <v>0</v>
      </c>
      <c r="G101" s="247">
        <f t="shared" si="12"/>
        <v>0</v>
      </c>
      <c r="H101" s="247">
        <f t="shared" si="12"/>
        <v>0</v>
      </c>
      <c r="I101" s="247">
        <f t="shared" si="12"/>
        <v>0</v>
      </c>
      <c r="J101" s="247">
        <f t="shared" si="12"/>
        <v>5696</v>
      </c>
      <c r="K101" s="247">
        <f t="shared" si="12"/>
        <v>5696</v>
      </c>
    </row>
    <row r="102" spans="3:8" ht="4.5" customHeight="1">
      <c r="C102" s="242"/>
      <c r="D102" s="242"/>
      <c r="E102" s="242"/>
      <c r="H102" s="242"/>
    </row>
    <row r="103" spans="2:5" ht="13.5">
      <c r="B103" s="245" t="s">
        <v>396</v>
      </c>
      <c r="C103" s="242"/>
      <c r="D103" s="242"/>
      <c r="E103" s="242"/>
    </row>
    <row r="104" spans="2:5" ht="13.5">
      <c r="B104" s="242" t="s">
        <v>26</v>
      </c>
      <c r="C104" s="242"/>
      <c r="D104" s="242"/>
      <c r="E104" s="242"/>
    </row>
    <row r="105" spans="2:11" ht="13.5">
      <c r="B105" s="242" t="s">
        <v>397</v>
      </c>
      <c r="C105" s="242"/>
      <c r="D105" s="242"/>
      <c r="E105" s="242"/>
      <c r="I105" s="242"/>
      <c r="K105" s="243">
        <f>SUM(C105:J105)</f>
        <v>0</v>
      </c>
    </row>
    <row r="106" spans="2:11" ht="13.5">
      <c r="B106" s="382" t="s">
        <v>403</v>
      </c>
      <c r="C106" s="242"/>
      <c r="D106" s="242"/>
      <c r="E106" s="242"/>
      <c r="H106" s="243">
        <v>0</v>
      </c>
      <c r="I106" s="242"/>
      <c r="J106" s="243">
        <v>5696</v>
      </c>
      <c r="K106" s="243">
        <f>SUM(C106:J106)</f>
        <v>5696</v>
      </c>
    </row>
    <row r="107" spans="2:11" ht="13.5">
      <c r="B107" s="245" t="s">
        <v>4</v>
      </c>
      <c r="C107" s="247">
        <f aca="true" t="shared" si="13" ref="C107:K107">SUM(C104:C106)</f>
        <v>0</v>
      </c>
      <c r="D107" s="247">
        <f t="shared" si="13"/>
        <v>0</v>
      </c>
      <c r="E107" s="247">
        <f t="shared" si="13"/>
        <v>0</v>
      </c>
      <c r="F107" s="247">
        <f t="shared" si="13"/>
        <v>0</v>
      </c>
      <c r="G107" s="247">
        <f t="shared" si="13"/>
        <v>0</v>
      </c>
      <c r="H107" s="247">
        <f t="shared" si="13"/>
        <v>0</v>
      </c>
      <c r="I107" s="247">
        <f t="shared" si="13"/>
        <v>0</v>
      </c>
      <c r="J107" s="247">
        <f t="shared" si="13"/>
        <v>5696</v>
      </c>
      <c r="K107" s="247">
        <f t="shared" si="13"/>
        <v>5696</v>
      </c>
    </row>
    <row r="108" spans="2:5" ht="10.5" customHeight="1">
      <c r="B108" s="245"/>
      <c r="C108" s="242"/>
      <c r="D108" s="242"/>
      <c r="E108" s="242"/>
    </row>
    <row r="109" spans="1:11" ht="27">
      <c r="A109" s="379" t="s">
        <v>68</v>
      </c>
      <c r="B109" s="244" t="s">
        <v>473</v>
      </c>
      <c r="C109" s="380" t="s">
        <v>383</v>
      </c>
      <c r="D109" s="273" t="s">
        <v>384</v>
      </c>
      <c r="E109" s="380" t="s">
        <v>385</v>
      </c>
      <c r="F109" s="273" t="s">
        <v>386</v>
      </c>
      <c r="G109" s="273" t="s">
        <v>387</v>
      </c>
      <c r="H109" s="273" t="s">
        <v>388</v>
      </c>
      <c r="I109" s="273" t="s">
        <v>389</v>
      </c>
      <c r="J109" s="273" t="s">
        <v>421</v>
      </c>
      <c r="K109" s="273" t="s">
        <v>4</v>
      </c>
    </row>
    <row r="110" spans="2:5" ht="13.5">
      <c r="B110" s="245" t="s">
        <v>390</v>
      </c>
      <c r="C110" s="242"/>
      <c r="D110" s="242"/>
      <c r="E110" s="242"/>
    </row>
    <row r="111" spans="2:11" ht="13.5">
      <c r="B111" s="242" t="s">
        <v>391</v>
      </c>
      <c r="I111" s="243">
        <f>154803+34300</f>
        <v>189103</v>
      </c>
      <c r="J111" s="243">
        <v>39591</v>
      </c>
      <c r="K111" s="243">
        <f>SUM(C111:J111)</f>
        <v>228694</v>
      </c>
    </row>
    <row r="112" spans="2:11" ht="13.5">
      <c r="B112" s="242" t="s">
        <v>392</v>
      </c>
      <c r="I112" s="243">
        <v>80000</v>
      </c>
      <c r="K112" s="243">
        <f>SUM(C112:J112)</f>
        <v>80000</v>
      </c>
    </row>
    <row r="113" spans="2:11" ht="13.5">
      <c r="B113" s="242" t="s">
        <v>393</v>
      </c>
      <c r="I113" s="243">
        <v>1</v>
      </c>
      <c r="J113" s="243">
        <v>244</v>
      </c>
      <c r="K113" s="243">
        <f>SUM(C113:J113)</f>
        <v>245</v>
      </c>
    </row>
    <row r="114" spans="2:11" ht="13.5">
      <c r="B114" s="242" t="s">
        <v>395</v>
      </c>
      <c r="H114" s="243">
        <f>H121-H111-H112-H113</f>
        <v>5369</v>
      </c>
      <c r="I114" s="243">
        <f>I121-I111-I112-I113</f>
        <v>45076</v>
      </c>
      <c r="J114" s="243">
        <f>J121-J111-J112-J113</f>
        <v>24626</v>
      </c>
      <c r="K114" s="243">
        <f>SUM(C114:J114)</f>
        <v>75071</v>
      </c>
    </row>
    <row r="115" spans="2:11" ht="13.5">
      <c r="B115" s="245" t="s">
        <v>4</v>
      </c>
      <c r="C115" s="247">
        <f aca="true" t="shared" si="14" ref="C115:K115">SUM(C111:C114)</f>
        <v>0</v>
      </c>
      <c r="D115" s="247">
        <f t="shared" si="14"/>
        <v>0</v>
      </c>
      <c r="E115" s="247">
        <f t="shared" si="14"/>
        <v>0</v>
      </c>
      <c r="F115" s="247">
        <f t="shared" si="14"/>
        <v>0</v>
      </c>
      <c r="G115" s="247">
        <f t="shared" si="14"/>
        <v>0</v>
      </c>
      <c r="H115" s="247">
        <f t="shared" si="14"/>
        <v>5369</v>
      </c>
      <c r="I115" s="247">
        <f t="shared" si="14"/>
        <v>314180</v>
      </c>
      <c r="J115" s="247">
        <f t="shared" si="14"/>
        <v>64461</v>
      </c>
      <c r="K115" s="247">
        <f t="shared" si="14"/>
        <v>384010</v>
      </c>
    </row>
    <row r="116" spans="3:5" ht="4.5" customHeight="1">
      <c r="C116" s="242"/>
      <c r="D116" s="242"/>
      <c r="E116" s="242"/>
    </row>
    <row r="117" spans="2:5" ht="13.5">
      <c r="B117" s="245" t="s">
        <v>396</v>
      </c>
      <c r="C117" s="242"/>
      <c r="D117" s="242"/>
      <c r="E117" s="242"/>
    </row>
    <row r="118" spans="2:5" ht="13.5">
      <c r="B118" s="242" t="s">
        <v>26</v>
      </c>
      <c r="C118" s="242"/>
      <c r="D118" s="242"/>
      <c r="E118" s="242"/>
    </row>
    <row r="119" spans="2:11" ht="13.5">
      <c r="B119" s="242" t="s">
        <v>397</v>
      </c>
      <c r="C119" s="242"/>
      <c r="D119" s="242"/>
      <c r="E119" s="242"/>
      <c r="H119" s="243">
        <v>5369</v>
      </c>
      <c r="I119" s="242">
        <v>242976</v>
      </c>
      <c r="J119" s="243">
        <v>58066</v>
      </c>
      <c r="K119" s="243">
        <f>SUM(C119:J119)</f>
        <v>306411</v>
      </c>
    </row>
    <row r="120" spans="2:11" ht="13.5">
      <c r="B120" s="382" t="s">
        <v>403</v>
      </c>
      <c r="C120" s="242"/>
      <c r="D120" s="242"/>
      <c r="E120" s="242"/>
      <c r="H120" s="243">
        <v>0</v>
      </c>
      <c r="I120" s="242">
        <v>71204</v>
      </c>
      <c r="J120" s="243">
        <f>1562+415+4418</f>
        <v>6395</v>
      </c>
      <c r="K120" s="243">
        <f>SUM(C120:J120)</f>
        <v>77599</v>
      </c>
    </row>
    <row r="121" spans="2:11" ht="13.5">
      <c r="B121" s="245" t="s">
        <v>4</v>
      </c>
      <c r="C121" s="247">
        <f aca="true" t="shared" si="15" ref="C121:K121">SUM(C118:C120)</f>
        <v>0</v>
      </c>
      <c r="D121" s="247">
        <f t="shared" si="15"/>
        <v>0</v>
      </c>
      <c r="E121" s="247">
        <f t="shared" si="15"/>
        <v>0</v>
      </c>
      <c r="F121" s="247">
        <f t="shared" si="15"/>
        <v>0</v>
      </c>
      <c r="G121" s="247">
        <f t="shared" si="15"/>
        <v>0</v>
      </c>
      <c r="H121" s="247">
        <f t="shared" si="15"/>
        <v>5369</v>
      </c>
      <c r="I121" s="247">
        <f t="shared" si="15"/>
        <v>314180</v>
      </c>
      <c r="J121" s="247">
        <f t="shared" si="15"/>
        <v>64461</v>
      </c>
      <c r="K121" s="247">
        <f t="shared" si="15"/>
        <v>384010</v>
      </c>
    </row>
    <row r="122" spans="2:5" ht="12.75" customHeight="1">
      <c r="B122" s="245"/>
      <c r="C122" s="242"/>
      <c r="D122" s="242"/>
      <c r="E122" s="242"/>
    </row>
    <row r="123" spans="1:11" ht="27.75" customHeight="1">
      <c r="A123" s="379">
        <v>10</v>
      </c>
      <c r="B123" s="244" t="s">
        <v>405</v>
      </c>
      <c r="C123" s="380" t="s">
        <v>383</v>
      </c>
      <c r="D123" s="273" t="s">
        <v>384</v>
      </c>
      <c r="E123" s="380" t="s">
        <v>385</v>
      </c>
      <c r="F123" s="273" t="s">
        <v>386</v>
      </c>
      <c r="G123" s="273" t="s">
        <v>387</v>
      </c>
      <c r="H123" s="273" t="s">
        <v>388</v>
      </c>
      <c r="I123" s="273" t="s">
        <v>389</v>
      </c>
      <c r="J123" s="273" t="s">
        <v>421</v>
      </c>
      <c r="K123" s="273" t="s">
        <v>4</v>
      </c>
    </row>
    <row r="124" spans="2:5" ht="13.5">
      <c r="B124" s="245" t="s">
        <v>390</v>
      </c>
      <c r="C124" s="242"/>
      <c r="D124" s="242"/>
      <c r="E124" s="242"/>
    </row>
    <row r="125" spans="2:11" ht="13.5">
      <c r="B125" s="242" t="s">
        <v>391</v>
      </c>
      <c r="H125" s="243">
        <v>653</v>
      </c>
      <c r="I125" s="243">
        <v>980</v>
      </c>
      <c r="J125" s="243">
        <v>332</v>
      </c>
      <c r="K125" s="243">
        <f>SUM(C125:J125)</f>
        <v>1965</v>
      </c>
    </row>
    <row r="126" spans="2:11" ht="13.5">
      <c r="B126" s="242" t="s">
        <v>392</v>
      </c>
      <c r="K126" s="243">
        <f>SUM(C126:J126)</f>
        <v>0</v>
      </c>
    </row>
    <row r="127" spans="2:11" ht="13.5">
      <c r="B127" s="242" t="s">
        <v>393</v>
      </c>
      <c r="K127" s="243">
        <f>SUM(C127:J127)</f>
        <v>0</v>
      </c>
    </row>
    <row r="128" spans="2:11" ht="13.5">
      <c r="B128" s="242" t="s">
        <v>395</v>
      </c>
      <c r="H128" s="243">
        <f>H136-H125-H126-H127</f>
        <v>-170</v>
      </c>
      <c r="I128" s="243">
        <f>I136-I125-I126-I127</f>
        <v>697</v>
      </c>
      <c r="J128" s="243">
        <f>J136-J125-J126-J127</f>
        <v>-329</v>
      </c>
      <c r="K128" s="243">
        <f>SUM(C128:J128)</f>
        <v>198</v>
      </c>
    </row>
    <row r="129" spans="2:11" ht="13.5">
      <c r="B129" s="245" t="s">
        <v>4</v>
      </c>
      <c r="C129" s="247">
        <f aca="true" t="shared" si="16" ref="C129:K129">SUM(C125:C128)</f>
        <v>0</v>
      </c>
      <c r="D129" s="247">
        <f t="shared" si="16"/>
        <v>0</v>
      </c>
      <c r="E129" s="247">
        <f t="shared" si="16"/>
        <v>0</v>
      </c>
      <c r="F129" s="247">
        <f t="shared" si="16"/>
        <v>0</v>
      </c>
      <c r="G129" s="247">
        <f t="shared" si="16"/>
        <v>0</v>
      </c>
      <c r="H129" s="247">
        <f t="shared" si="16"/>
        <v>483</v>
      </c>
      <c r="I129" s="247">
        <f t="shared" si="16"/>
        <v>1677</v>
      </c>
      <c r="J129" s="247">
        <f t="shared" si="16"/>
        <v>3</v>
      </c>
      <c r="K129" s="247">
        <f t="shared" si="16"/>
        <v>2163</v>
      </c>
    </row>
    <row r="130" spans="3:5" ht="6" customHeight="1">
      <c r="C130" s="242"/>
      <c r="D130" s="242"/>
      <c r="E130" s="242"/>
    </row>
    <row r="131" spans="2:5" ht="13.5">
      <c r="B131" s="245" t="s">
        <v>396</v>
      </c>
      <c r="C131" s="242"/>
      <c r="D131" s="242"/>
      <c r="E131" s="242"/>
    </row>
    <row r="132" ht="13.5">
      <c r="B132" s="242" t="s">
        <v>26</v>
      </c>
    </row>
    <row r="133" spans="2:11" ht="13.5">
      <c r="B133" s="242" t="s">
        <v>397</v>
      </c>
      <c r="K133" s="243">
        <f>SUM(C133:J133)</f>
        <v>0</v>
      </c>
    </row>
    <row r="134" spans="2:11" ht="15" customHeight="1">
      <c r="B134" s="382" t="s">
        <v>402</v>
      </c>
      <c r="K134" s="243">
        <f>SUM(C134:J134)</f>
        <v>0</v>
      </c>
    </row>
    <row r="135" spans="2:11" ht="13.5">
      <c r="B135" s="382" t="s">
        <v>403</v>
      </c>
      <c r="H135" s="243">
        <v>483</v>
      </c>
      <c r="I135" s="243">
        <v>1677</v>
      </c>
      <c r="J135" s="243">
        <v>3</v>
      </c>
      <c r="K135" s="243">
        <f>SUM(C135:J135)</f>
        <v>2163</v>
      </c>
    </row>
    <row r="136" spans="2:11" ht="13.5">
      <c r="B136" s="245" t="s">
        <v>4</v>
      </c>
      <c r="C136" s="247">
        <f aca="true" t="shared" si="17" ref="C136:K136">SUM(C132:C135)</f>
        <v>0</v>
      </c>
      <c r="D136" s="247">
        <f t="shared" si="17"/>
        <v>0</v>
      </c>
      <c r="E136" s="247">
        <f t="shared" si="17"/>
        <v>0</v>
      </c>
      <c r="F136" s="247">
        <f t="shared" si="17"/>
        <v>0</v>
      </c>
      <c r="G136" s="247">
        <f t="shared" si="17"/>
        <v>0</v>
      </c>
      <c r="H136" s="247">
        <f t="shared" si="17"/>
        <v>483</v>
      </c>
      <c r="I136" s="247">
        <f t="shared" si="17"/>
        <v>1677</v>
      </c>
      <c r="J136" s="247">
        <f t="shared" si="17"/>
        <v>3</v>
      </c>
      <c r="K136" s="247">
        <f t="shared" si="17"/>
        <v>2163</v>
      </c>
    </row>
    <row r="137" spans="2:5" ht="10.5" customHeight="1">
      <c r="B137" s="245"/>
      <c r="C137" s="242"/>
      <c r="D137" s="242"/>
      <c r="E137" s="242"/>
    </row>
    <row r="138" spans="1:11" ht="27">
      <c r="A138" s="379">
        <v>11</v>
      </c>
      <c r="B138" s="244" t="s">
        <v>406</v>
      </c>
      <c r="C138" s="380" t="s">
        <v>383</v>
      </c>
      <c r="D138" s="273" t="s">
        <v>384</v>
      </c>
      <c r="E138" s="380" t="s">
        <v>385</v>
      </c>
      <c r="F138" s="273" t="s">
        <v>386</v>
      </c>
      <c r="G138" s="273" t="s">
        <v>387</v>
      </c>
      <c r="H138" s="273" t="s">
        <v>388</v>
      </c>
      <c r="I138" s="273" t="s">
        <v>389</v>
      </c>
      <c r="J138" s="273" t="s">
        <v>421</v>
      </c>
      <c r="K138" s="273" t="s">
        <v>4</v>
      </c>
    </row>
    <row r="139" spans="2:5" ht="13.5">
      <c r="B139" s="245" t="s">
        <v>390</v>
      </c>
      <c r="C139" s="242"/>
      <c r="D139" s="242"/>
      <c r="E139" s="242"/>
    </row>
    <row r="140" spans="2:11" ht="13.5">
      <c r="B140" s="242" t="s">
        <v>391</v>
      </c>
      <c r="K140" s="243">
        <f>SUM(C140:J140)</f>
        <v>0</v>
      </c>
    </row>
    <row r="141" spans="2:11" ht="13.5">
      <c r="B141" s="242" t="s">
        <v>392</v>
      </c>
      <c r="H141" s="243">
        <v>6250</v>
      </c>
      <c r="I141" s="243">
        <v>17229</v>
      </c>
      <c r="J141" s="243">
        <v>89</v>
      </c>
      <c r="K141" s="243">
        <f>SUM(C141:J141)</f>
        <v>23568</v>
      </c>
    </row>
    <row r="142" spans="2:11" ht="13.5">
      <c r="B142" s="242" t="s">
        <v>393</v>
      </c>
      <c r="K142" s="243">
        <f>SUM(C142:J142)</f>
        <v>0</v>
      </c>
    </row>
    <row r="143" spans="2:11" ht="13.5">
      <c r="B143" s="242" t="s">
        <v>395</v>
      </c>
      <c r="H143" s="243">
        <f>H150-H140-H141-H142</f>
        <v>410</v>
      </c>
      <c r="I143" s="243">
        <f>I150-I140-I141-I142</f>
        <v>1704</v>
      </c>
      <c r="J143" s="243">
        <f>J150-J140-J141-J142</f>
        <v>1515</v>
      </c>
      <c r="K143" s="243">
        <f>SUM(C143:J143)</f>
        <v>3629</v>
      </c>
    </row>
    <row r="144" spans="2:11" ht="13.5">
      <c r="B144" s="245" t="s">
        <v>4</v>
      </c>
      <c r="C144" s="247">
        <f aca="true" t="shared" si="18" ref="C144:K144">SUM(C140:C143)</f>
        <v>0</v>
      </c>
      <c r="D144" s="247">
        <f t="shared" si="18"/>
        <v>0</v>
      </c>
      <c r="E144" s="247">
        <f t="shared" si="18"/>
        <v>0</v>
      </c>
      <c r="F144" s="247">
        <f t="shared" si="18"/>
        <v>0</v>
      </c>
      <c r="G144" s="247">
        <f t="shared" si="18"/>
        <v>0</v>
      </c>
      <c r="H144" s="247">
        <f t="shared" si="18"/>
        <v>6660</v>
      </c>
      <c r="I144" s="247">
        <f t="shared" si="18"/>
        <v>18933</v>
      </c>
      <c r="J144" s="247">
        <f t="shared" si="18"/>
        <v>1604</v>
      </c>
      <c r="K144" s="247">
        <f t="shared" si="18"/>
        <v>27197</v>
      </c>
    </row>
    <row r="145" spans="3:5" ht="4.5" customHeight="1">
      <c r="C145" s="242"/>
      <c r="D145" s="242"/>
      <c r="E145" s="242"/>
    </row>
    <row r="146" spans="2:5" ht="13.5">
      <c r="B146" s="245" t="s">
        <v>396</v>
      </c>
      <c r="C146" s="242"/>
      <c r="D146" s="242"/>
      <c r="E146" s="242"/>
    </row>
    <row r="147" spans="2:5" ht="13.5">
      <c r="B147" s="242" t="s">
        <v>26</v>
      </c>
      <c r="C147" s="242"/>
      <c r="D147" s="242"/>
      <c r="E147" s="242"/>
    </row>
    <row r="148" spans="2:11" ht="13.5">
      <c r="B148" s="242" t="s">
        <v>397</v>
      </c>
      <c r="C148" s="242"/>
      <c r="D148" s="242"/>
      <c r="E148" s="242"/>
      <c r="K148" s="243">
        <f>SUM(C148:J148)</f>
        <v>0</v>
      </c>
    </row>
    <row r="149" spans="2:11" ht="13.5">
      <c r="B149" s="382" t="s">
        <v>403</v>
      </c>
      <c r="C149" s="242"/>
      <c r="D149" s="242"/>
      <c r="E149" s="242"/>
      <c r="H149" s="243">
        <v>6660</v>
      </c>
      <c r="I149" s="243">
        <v>18933</v>
      </c>
      <c r="J149" s="243">
        <v>1604</v>
      </c>
      <c r="K149" s="243">
        <f>SUM(C149:J149)</f>
        <v>27197</v>
      </c>
    </row>
    <row r="150" spans="2:11" ht="13.5">
      <c r="B150" s="245" t="s">
        <v>4</v>
      </c>
      <c r="C150" s="247">
        <f aca="true" t="shared" si="19" ref="C150:K150">SUM(C147:C149)</f>
        <v>0</v>
      </c>
      <c r="D150" s="247">
        <f t="shared" si="19"/>
        <v>0</v>
      </c>
      <c r="E150" s="247">
        <f t="shared" si="19"/>
        <v>0</v>
      </c>
      <c r="F150" s="247">
        <f t="shared" si="19"/>
        <v>0</v>
      </c>
      <c r="G150" s="247">
        <f t="shared" si="19"/>
        <v>0</v>
      </c>
      <c r="H150" s="247">
        <f t="shared" si="19"/>
        <v>6660</v>
      </c>
      <c r="I150" s="247">
        <f t="shared" si="19"/>
        <v>18933</v>
      </c>
      <c r="J150" s="247">
        <f t="shared" si="19"/>
        <v>1604</v>
      </c>
      <c r="K150" s="247">
        <f t="shared" si="19"/>
        <v>27197</v>
      </c>
    </row>
    <row r="151" spans="2:5" ht="21.75" customHeight="1">
      <c r="B151" s="245"/>
      <c r="C151" s="242"/>
      <c r="D151" s="242"/>
      <c r="E151" s="242"/>
    </row>
    <row r="152" spans="2:11" ht="29.25" customHeight="1">
      <c r="B152" s="416" t="s">
        <v>407</v>
      </c>
      <c r="C152" s="417"/>
      <c r="D152" s="418"/>
      <c r="E152" s="418"/>
      <c r="F152" s="418"/>
      <c r="G152" s="418"/>
      <c r="H152" s="418"/>
      <c r="I152" s="418"/>
      <c r="J152" s="418"/>
      <c r="K152" s="418"/>
    </row>
    <row r="153" ht="12.75" customHeight="1"/>
    <row r="154" spans="1:11" ht="13.5">
      <c r="A154" s="378" t="s">
        <v>6</v>
      </c>
      <c r="B154" s="241" t="s">
        <v>408</v>
      </c>
      <c r="C154" s="380" t="s">
        <v>383</v>
      </c>
      <c r="D154" s="381" t="s">
        <v>384</v>
      </c>
      <c r="E154" s="273" t="s">
        <v>385</v>
      </c>
      <c r="F154" s="273" t="s">
        <v>386</v>
      </c>
      <c r="G154" s="273" t="s">
        <v>387</v>
      </c>
      <c r="H154" s="273" t="s">
        <v>388</v>
      </c>
      <c r="I154" s="273" t="s">
        <v>389</v>
      </c>
      <c r="J154" s="273" t="s">
        <v>421</v>
      </c>
      <c r="K154" s="273" t="s">
        <v>4</v>
      </c>
    </row>
    <row r="155" spans="2:3" ht="13.5">
      <c r="B155" s="245" t="s">
        <v>390</v>
      </c>
      <c r="C155" s="247"/>
    </row>
    <row r="156" spans="2:11" ht="13.5">
      <c r="B156" s="242" t="s">
        <v>391</v>
      </c>
      <c r="K156" s="243">
        <f>SUM(C156:J156)</f>
        <v>0</v>
      </c>
    </row>
    <row r="157" spans="2:11" ht="13.5">
      <c r="B157" s="242" t="s">
        <v>392</v>
      </c>
      <c r="K157" s="243">
        <f>SUM(C157:J157)</f>
        <v>0</v>
      </c>
    </row>
    <row r="158" spans="2:11" ht="13.5">
      <c r="B158" s="242" t="s">
        <v>409</v>
      </c>
      <c r="I158" s="243">
        <v>1513</v>
      </c>
      <c r="K158" s="243">
        <f>SUM(C158:J158)</f>
        <v>1513</v>
      </c>
    </row>
    <row r="159" spans="2:11" ht="13.5">
      <c r="B159" s="242" t="s">
        <v>395</v>
      </c>
      <c r="E159" s="243">
        <v>5000</v>
      </c>
      <c r="G159" s="243">
        <v>10000</v>
      </c>
      <c r="I159" s="243">
        <f>I167-I158-I157-I156</f>
        <v>-1513</v>
      </c>
      <c r="J159" s="243">
        <f>J167-J158-J157-J156</f>
        <v>0</v>
      </c>
      <c r="K159" s="243">
        <f>SUM(C159:J159)</f>
        <v>13487</v>
      </c>
    </row>
    <row r="160" spans="2:11" ht="13.5">
      <c r="B160" s="245" t="s">
        <v>4</v>
      </c>
      <c r="C160" s="247">
        <f aca="true" t="shared" si="20" ref="C160:J160">SUM(C156:C159)</f>
        <v>0</v>
      </c>
      <c r="D160" s="247">
        <f t="shared" si="20"/>
        <v>0</v>
      </c>
      <c r="E160" s="247">
        <f t="shared" si="20"/>
        <v>5000</v>
      </c>
      <c r="F160" s="247">
        <f t="shared" si="20"/>
        <v>0</v>
      </c>
      <c r="G160" s="247">
        <f t="shared" si="20"/>
        <v>10000</v>
      </c>
      <c r="H160" s="247">
        <f t="shared" si="20"/>
        <v>0</v>
      </c>
      <c r="I160" s="247">
        <f t="shared" si="20"/>
        <v>0</v>
      </c>
      <c r="J160" s="247">
        <f t="shared" si="20"/>
        <v>0</v>
      </c>
      <c r="K160" s="247">
        <f>SUM(C160:G160)</f>
        <v>15000</v>
      </c>
    </row>
    <row r="162" spans="2:3" ht="13.5">
      <c r="B162" s="245" t="s">
        <v>396</v>
      </c>
      <c r="C162" s="247"/>
    </row>
    <row r="163" ht="13.5">
      <c r="B163" s="242" t="s">
        <v>26</v>
      </c>
    </row>
    <row r="164" spans="2:11" ht="13.5">
      <c r="B164" s="242" t="s">
        <v>397</v>
      </c>
      <c r="K164" s="243">
        <f>SUM(C164:J164)</f>
        <v>0</v>
      </c>
    </row>
    <row r="165" spans="2:11" ht="26.25" customHeight="1">
      <c r="B165" s="382" t="s">
        <v>402</v>
      </c>
      <c r="E165" s="243">
        <v>5000</v>
      </c>
      <c r="G165" s="243">
        <v>10000</v>
      </c>
      <c r="K165" s="243">
        <f>SUM(C165:J165)</f>
        <v>15000</v>
      </c>
    </row>
    <row r="166" spans="2:11" ht="13.5">
      <c r="B166" s="242" t="s">
        <v>399</v>
      </c>
      <c r="K166" s="243">
        <f>SUM(C166:J166)</f>
        <v>0</v>
      </c>
    </row>
    <row r="167" spans="2:11" ht="13.5">
      <c r="B167" s="245" t="s">
        <v>4</v>
      </c>
      <c r="C167" s="247">
        <f aca="true" t="shared" si="21" ref="C167:J167">SUM(C163:C166)</f>
        <v>0</v>
      </c>
      <c r="D167" s="247">
        <f t="shared" si="21"/>
        <v>0</v>
      </c>
      <c r="E167" s="247">
        <f t="shared" si="21"/>
        <v>5000</v>
      </c>
      <c r="F167" s="247">
        <f t="shared" si="21"/>
        <v>0</v>
      </c>
      <c r="G167" s="247">
        <f t="shared" si="21"/>
        <v>10000</v>
      </c>
      <c r="H167" s="247">
        <f t="shared" si="21"/>
        <v>0</v>
      </c>
      <c r="I167" s="247">
        <f t="shared" si="21"/>
        <v>0</v>
      </c>
      <c r="J167" s="247">
        <f t="shared" si="21"/>
        <v>0</v>
      </c>
      <c r="K167" s="247">
        <f>SUM(C167:G167)</f>
        <v>15000</v>
      </c>
    </row>
  </sheetData>
  <sheetProtection/>
  <mergeCells count="3">
    <mergeCell ref="B2:K2"/>
    <mergeCell ref="B3:K3"/>
    <mergeCell ref="B152:K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46.625" style="11" customWidth="1"/>
    <col min="2" max="2" width="11.00390625" style="11" customWidth="1"/>
    <col min="3" max="4" width="10.75390625" style="11" customWidth="1"/>
    <col min="5" max="5" width="8.625" style="11" customWidth="1"/>
    <col min="6" max="6" width="7.875" style="11" customWidth="1"/>
    <col min="7" max="16384" width="9.125" style="11" customWidth="1"/>
  </cols>
  <sheetData>
    <row r="1" spans="1:3" ht="15.75">
      <c r="A1" s="387" t="s">
        <v>496</v>
      </c>
      <c r="B1" s="387"/>
      <c r="C1" s="387"/>
    </row>
    <row r="2" ht="15.75">
      <c r="A2" s="164"/>
    </row>
    <row r="3" spans="1:5" ht="15.75">
      <c r="A3" s="388" t="s">
        <v>34</v>
      </c>
      <c r="B3" s="388"/>
      <c r="C3" s="388"/>
      <c r="D3" s="388"/>
      <c r="E3" s="388"/>
    </row>
    <row r="4" spans="1:5" ht="15.75">
      <c r="A4" s="388" t="s">
        <v>240</v>
      </c>
      <c r="B4" s="388"/>
      <c r="C4" s="388"/>
      <c r="D4" s="388"/>
      <c r="E4" s="388"/>
    </row>
    <row r="5" spans="1:5" s="26" customFormat="1" ht="13.5" thickBot="1">
      <c r="A5" s="192" t="s">
        <v>242</v>
      </c>
      <c r="B5" s="386" t="s">
        <v>241</v>
      </c>
      <c r="C5" s="386"/>
      <c r="D5" s="386"/>
      <c r="E5" s="386"/>
    </row>
    <row r="6" spans="1:5" s="26" customFormat="1" ht="42" customHeight="1" thickBot="1">
      <c r="A6" s="124" t="s">
        <v>35</v>
      </c>
      <c r="B6" s="122" t="s">
        <v>194</v>
      </c>
      <c r="C6" s="146" t="s">
        <v>410</v>
      </c>
      <c r="D6" s="146" t="s">
        <v>229</v>
      </c>
      <c r="E6" s="146" t="s">
        <v>230</v>
      </c>
    </row>
    <row r="7" spans="1:6" s="26" customFormat="1" ht="12.75">
      <c r="A7" s="109" t="s">
        <v>208</v>
      </c>
      <c r="B7" s="123">
        <f>B8+B9</f>
        <v>928546</v>
      </c>
      <c r="C7" s="123">
        <f>C8+C9</f>
        <v>1030138</v>
      </c>
      <c r="D7" s="123">
        <f>D8+D9</f>
        <v>1019551</v>
      </c>
      <c r="E7" s="166">
        <f aca="true" t="shared" si="0" ref="E7:E18">ROUND(D7/C7*100,2)</f>
        <v>98.97</v>
      </c>
      <c r="F7" s="36"/>
    </row>
    <row r="8" spans="1:5" s="26" customFormat="1" ht="12.75">
      <c r="A8" s="143" t="s">
        <v>207</v>
      </c>
      <c r="B8" s="135">
        <v>792094</v>
      </c>
      <c r="C8" s="135">
        <v>913001</v>
      </c>
      <c r="D8" s="135">
        <v>913001</v>
      </c>
      <c r="E8" s="167">
        <f t="shared" si="0"/>
        <v>100</v>
      </c>
    </row>
    <row r="9" spans="1:5" s="26" customFormat="1" ht="12.75">
      <c r="A9" s="143" t="s">
        <v>232</v>
      </c>
      <c r="B9" s="135">
        <f>928546-792094</f>
        <v>136452</v>
      </c>
      <c r="C9" s="135">
        <v>117137</v>
      </c>
      <c r="D9" s="135">
        <v>106550</v>
      </c>
      <c r="E9" s="167">
        <f t="shared" si="0"/>
        <v>90.96</v>
      </c>
    </row>
    <row r="10" spans="1:5" s="26" customFormat="1" ht="12.75">
      <c r="A10" s="125" t="s">
        <v>144</v>
      </c>
      <c r="B10" s="38">
        <v>394911</v>
      </c>
      <c r="C10" s="38">
        <v>418441</v>
      </c>
      <c r="D10" s="38">
        <v>450642</v>
      </c>
      <c r="E10" s="168">
        <f t="shared" si="0"/>
        <v>107.7</v>
      </c>
    </row>
    <row r="11" spans="1:5" s="26" customFormat="1" ht="12.75">
      <c r="A11" s="125" t="s">
        <v>145</v>
      </c>
      <c r="B11" s="38">
        <v>143270</v>
      </c>
      <c r="C11" s="38">
        <v>166823</v>
      </c>
      <c r="D11" s="38">
        <v>172480</v>
      </c>
      <c r="E11" s="168">
        <f t="shared" si="0"/>
        <v>103.39</v>
      </c>
    </row>
    <row r="12" spans="1:5" s="26" customFormat="1" ht="13.5" thickBot="1">
      <c r="A12" s="128" t="s">
        <v>147</v>
      </c>
      <c r="B12" s="127">
        <v>11359</v>
      </c>
      <c r="C12" s="127">
        <v>22550</v>
      </c>
      <c r="D12" s="127">
        <v>22529</v>
      </c>
      <c r="E12" s="169">
        <f t="shared" si="0"/>
        <v>99.91</v>
      </c>
    </row>
    <row r="13" spans="1:5" s="28" customFormat="1" ht="13.5" thickBot="1">
      <c r="A13" s="129" t="s">
        <v>197</v>
      </c>
      <c r="B13" s="40">
        <f>B7+B10+B11+B12</f>
        <v>1478086</v>
      </c>
      <c r="C13" s="40">
        <f>C7+C10+C11+C12</f>
        <v>1637952</v>
      </c>
      <c r="D13" s="40">
        <f>D7+D10+D11+D12</f>
        <v>1665202</v>
      </c>
      <c r="E13" s="170">
        <f t="shared" si="0"/>
        <v>101.66</v>
      </c>
    </row>
    <row r="14" spans="1:5" s="26" customFormat="1" ht="12.75">
      <c r="A14" s="109" t="s">
        <v>179</v>
      </c>
      <c r="B14" s="37">
        <v>17211</v>
      </c>
      <c r="C14" s="37">
        <v>146180</v>
      </c>
      <c r="D14" s="37">
        <v>146180</v>
      </c>
      <c r="E14" s="171">
        <f t="shared" si="0"/>
        <v>100</v>
      </c>
    </row>
    <row r="15" spans="1:5" s="26" customFormat="1" ht="12.75">
      <c r="A15" s="134" t="s">
        <v>195</v>
      </c>
      <c r="B15" s="139"/>
      <c r="C15" s="139">
        <v>33850</v>
      </c>
      <c r="D15" s="139">
        <v>33850</v>
      </c>
      <c r="E15" s="172">
        <f t="shared" si="0"/>
        <v>100</v>
      </c>
    </row>
    <row r="16" spans="1:5" s="26" customFormat="1" ht="12.75">
      <c r="A16" s="125" t="s">
        <v>146</v>
      </c>
      <c r="B16" s="38">
        <v>81349</v>
      </c>
      <c r="C16" s="38">
        <v>26515</v>
      </c>
      <c r="D16" s="38">
        <v>26576</v>
      </c>
      <c r="E16" s="168">
        <f t="shared" si="0"/>
        <v>100.23</v>
      </c>
    </row>
    <row r="17" spans="1:5" s="26" customFormat="1" ht="12.75">
      <c r="A17" s="125" t="s">
        <v>97</v>
      </c>
      <c r="B17" s="38">
        <f>SUM(B18:B19)</f>
        <v>65600</v>
      </c>
      <c r="C17" s="38">
        <f>SUM(C18:C19)</f>
        <v>17350</v>
      </c>
      <c r="D17" s="38">
        <f>SUM(D18:D19)</f>
        <v>23379</v>
      </c>
      <c r="E17" s="168">
        <f t="shared" si="0"/>
        <v>134.75</v>
      </c>
    </row>
    <row r="18" spans="1:5" s="26" customFormat="1" ht="25.5" customHeight="1">
      <c r="A18" s="142" t="s">
        <v>233</v>
      </c>
      <c r="B18" s="135">
        <v>17350</v>
      </c>
      <c r="C18" s="135">
        <v>17350</v>
      </c>
      <c r="D18" s="135">
        <v>23229</v>
      </c>
      <c r="E18" s="167">
        <f t="shared" si="0"/>
        <v>133.88</v>
      </c>
    </row>
    <row r="19" spans="1:5" s="26" customFormat="1" ht="13.5" thickBot="1">
      <c r="A19" s="142" t="s">
        <v>234</v>
      </c>
      <c r="B19" s="138">
        <v>48250</v>
      </c>
      <c r="C19" s="138"/>
      <c r="D19" s="138">
        <v>150</v>
      </c>
      <c r="E19" s="173"/>
    </row>
    <row r="20" spans="1:5" s="28" customFormat="1" ht="14.25" customHeight="1" thickBot="1">
      <c r="A20" s="129" t="s">
        <v>198</v>
      </c>
      <c r="B20" s="40">
        <f>B17+B16+B14</f>
        <v>164160</v>
      </c>
      <c r="C20" s="40">
        <f>C17+C16+C14</f>
        <v>190045</v>
      </c>
      <c r="D20" s="40">
        <f>D17+D16+D14</f>
        <v>196135</v>
      </c>
      <c r="E20" s="170">
        <f>ROUND(D20/C20*100,2)</f>
        <v>103.2</v>
      </c>
    </row>
    <row r="21" spans="1:5" s="28" customFormat="1" ht="15.75" customHeight="1" thickBot="1">
      <c r="A21" s="131" t="s">
        <v>196</v>
      </c>
      <c r="B21" s="130">
        <f>B20+B13</f>
        <v>1642246</v>
      </c>
      <c r="C21" s="130">
        <f>C20+C13</f>
        <v>1827997</v>
      </c>
      <c r="D21" s="130">
        <f>D20+D13</f>
        <v>1861337</v>
      </c>
      <c r="E21" s="174">
        <f>ROUND(D21/C21*100,2)</f>
        <v>101.82</v>
      </c>
    </row>
    <row r="22" spans="1:5" s="26" customFormat="1" ht="12.75">
      <c r="A22" s="132" t="s">
        <v>140</v>
      </c>
      <c r="B22" s="123">
        <f>SUM(B23:B24)</f>
        <v>250411</v>
      </c>
      <c r="C22" s="123">
        <f>SUM(C23:C24)</f>
        <v>320487</v>
      </c>
      <c r="D22" s="123">
        <f>SUM(D23:D24)</f>
        <v>320487</v>
      </c>
      <c r="E22" s="166">
        <f>ROUND(D22/C22*100,2)</f>
        <v>100</v>
      </c>
    </row>
    <row r="23" spans="1:5" s="26" customFormat="1" ht="13.5" customHeight="1">
      <c r="A23" s="134" t="s">
        <v>199</v>
      </c>
      <c r="B23" s="135">
        <f>250411-'1. melléklet'!B24</f>
        <v>98027</v>
      </c>
      <c r="C23" s="135">
        <v>168103</v>
      </c>
      <c r="D23" s="135">
        <v>168103</v>
      </c>
      <c r="E23" s="167">
        <f>ROUND(D23/C23*100,2)</f>
        <v>100</v>
      </c>
    </row>
    <row r="24" spans="1:5" s="26" customFormat="1" ht="12.75">
      <c r="A24" s="324" t="s">
        <v>200</v>
      </c>
      <c r="B24" s="138">
        <v>152384</v>
      </c>
      <c r="C24" s="138">
        <v>152384</v>
      </c>
      <c r="D24" s="138">
        <v>152384</v>
      </c>
      <c r="E24" s="173">
        <f>ROUND(D24/C24*100,2)</f>
        <v>100</v>
      </c>
    </row>
    <row r="25" spans="1:5" s="26" customFormat="1" ht="13.5" thickBot="1">
      <c r="A25" s="137" t="s">
        <v>492</v>
      </c>
      <c r="B25" s="136">
        <v>0</v>
      </c>
      <c r="C25" s="136">
        <v>0</v>
      </c>
      <c r="D25" s="136">
        <v>29478</v>
      </c>
      <c r="E25" s="175"/>
    </row>
    <row r="26" spans="1:5" s="28" customFormat="1" ht="15.75" customHeight="1" thickBot="1">
      <c r="A26" s="129" t="s">
        <v>201</v>
      </c>
      <c r="B26" s="40">
        <f>B22+B25</f>
        <v>250411</v>
      </c>
      <c r="C26" s="40">
        <f>C22+C25</f>
        <v>320487</v>
      </c>
      <c r="D26" s="40">
        <f>D22+D25</f>
        <v>349965</v>
      </c>
      <c r="E26" s="170">
        <f>ROUND(D26/C26*100,2)</f>
        <v>109.2</v>
      </c>
    </row>
    <row r="27" spans="1:6" s="28" customFormat="1" ht="15.75" customHeight="1" thickBot="1">
      <c r="A27" s="126" t="s">
        <v>36</v>
      </c>
      <c r="B27" s="41">
        <f>B13+B20+B26</f>
        <v>1892657</v>
      </c>
      <c r="C27" s="41">
        <f>C13+C20+C26</f>
        <v>2148484</v>
      </c>
      <c r="D27" s="41">
        <f>D13+D20+D26</f>
        <v>2211302</v>
      </c>
      <c r="E27" s="176">
        <f>ROUND(D27/C27*100,2)</f>
        <v>102.92</v>
      </c>
      <c r="F27" s="325"/>
    </row>
    <row r="28" s="26" customFormat="1" ht="12.75">
      <c r="E28" s="177"/>
    </row>
    <row r="29" spans="1:5" s="26" customFormat="1" ht="13.5" thickBot="1">
      <c r="A29" s="192" t="s">
        <v>243</v>
      </c>
      <c r="B29" s="386" t="s">
        <v>241</v>
      </c>
      <c r="C29" s="386"/>
      <c r="D29" s="386"/>
      <c r="E29" s="386"/>
    </row>
    <row r="30" spans="1:5" s="26" customFormat="1" ht="39.75" customHeight="1" thickBot="1">
      <c r="A30" s="121" t="s">
        <v>35</v>
      </c>
      <c r="B30" s="146" t="s">
        <v>194</v>
      </c>
      <c r="C30" s="146" t="s">
        <v>410</v>
      </c>
      <c r="D30" s="146" t="s">
        <v>229</v>
      </c>
      <c r="E30" s="178" t="s">
        <v>230</v>
      </c>
    </row>
    <row r="31" spans="1:5" s="26" customFormat="1" ht="12.75">
      <c r="A31" s="109" t="s">
        <v>37</v>
      </c>
      <c r="B31" s="37">
        <v>283334</v>
      </c>
      <c r="C31" s="37">
        <v>302543</v>
      </c>
      <c r="D31" s="37">
        <v>287568</v>
      </c>
      <c r="E31" s="171">
        <f aca="true" t="shared" si="1" ref="E31:E38">ROUND(D31/C31*100,2)</f>
        <v>95.05</v>
      </c>
    </row>
    <row r="32" spans="1:5" s="26" customFormat="1" ht="12.75">
      <c r="A32" s="125" t="s">
        <v>38</v>
      </c>
      <c r="B32" s="38">
        <v>81535</v>
      </c>
      <c r="C32" s="38">
        <v>86761</v>
      </c>
      <c r="D32" s="38">
        <v>81963</v>
      </c>
      <c r="E32" s="168">
        <f t="shared" si="1"/>
        <v>94.47</v>
      </c>
    </row>
    <row r="33" spans="1:5" s="26" customFormat="1" ht="12.75">
      <c r="A33" s="125" t="s">
        <v>18</v>
      </c>
      <c r="B33" s="38">
        <v>563395</v>
      </c>
      <c r="C33" s="38">
        <v>626444</v>
      </c>
      <c r="D33" s="38">
        <v>599610</v>
      </c>
      <c r="E33" s="168">
        <f t="shared" si="1"/>
        <v>95.72</v>
      </c>
    </row>
    <row r="34" spans="1:5" s="26" customFormat="1" ht="12.75">
      <c r="A34" s="125" t="s">
        <v>39</v>
      </c>
      <c r="B34" s="38">
        <v>39605</v>
      </c>
      <c r="C34" s="38">
        <v>38547</v>
      </c>
      <c r="D34" s="38">
        <v>28703</v>
      </c>
      <c r="E34" s="168">
        <f t="shared" si="1"/>
        <v>74.46</v>
      </c>
    </row>
    <row r="35" spans="1:6" s="26" customFormat="1" ht="12.75">
      <c r="A35" s="125" t="s">
        <v>209</v>
      </c>
      <c r="B35" s="38">
        <f>SUM(B36:B39)</f>
        <v>608244</v>
      </c>
      <c r="C35" s="38">
        <f>SUM(C36:C39)</f>
        <v>662844</v>
      </c>
      <c r="D35" s="38">
        <f>SUM(D36:D39)</f>
        <v>662555</v>
      </c>
      <c r="E35" s="168">
        <f t="shared" si="1"/>
        <v>99.96</v>
      </c>
      <c r="F35" s="48"/>
    </row>
    <row r="36" spans="1:6" s="26" customFormat="1" ht="12.75">
      <c r="A36" s="134" t="s">
        <v>202</v>
      </c>
      <c r="B36" s="135">
        <v>113976</v>
      </c>
      <c r="C36" s="135">
        <v>122446</v>
      </c>
      <c r="D36" s="135">
        <v>122445</v>
      </c>
      <c r="E36" s="167">
        <f t="shared" si="1"/>
        <v>100</v>
      </c>
      <c r="F36" s="48"/>
    </row>
    <row r="37" spans="1:6" s="26" customFormat="1" ht="12.75">
      <c r="A37" s="134" t="s">
        <v>235</v>
      </c>
      <c r="B37" s="135">
        <v>432376</v>
      </c>
      <c r="C37" s="135">
        <v>477177</v>
      </c>
      <c r="D37" s="135">
        <v>477175</v>
      </c>
      <c r="E37" s="167">
        <f t="shared" si="1"/>
        <v>100</v>
      </c>
      <c r="F37" s="48"/>
    </row>
    <row r="38" spans="1:5" s="26" customFormat="1" ht="12.75">
      <c r="A38" s="134" t="s">
        <v>236</v>
      </c>
      <c r="B38" s="135">
        <v>29592</v>
      </c>
      <c r="C38" s="135">
        <v>63221</v>
      </c>
      <c r="D38" s="135">
        <v>62935</v>
      </c>
      <c r="E38" s="167">
        <f t="shared" si="1"/>
        <v>99.55</v>
      </c>
    </row>
    <row r="39" spans="1:5" s="26" customFormat="1" ht="13.5" thickBot="1">
      <c r="A39" s="134" t="s">
        <v>210</v>
      </c>
      <c r="B39" s="39">
        <v>32300</v>
      </c>
      <c r="C39" s="39">
        <v>0</v>
      </c>
      <c r="D39" s="39">
        <v>0</v>
      </c>
      <c r="E39" s="179"/>
    </row>
    <row r="40" spans="1:6" s="26" customFormat="1" ht="13.5" thickBot="1">
      <c r="A40" s="129" t="s">
        <v>203</v>
      </c>
      <c r="B40" s="40">
        <f>B31+B32+B33+B34+B35</f>
        <v>1576113</v>
      </c>
      <c r="C40" s="40">
        <f>C31+C32+C33+C34+C35</f>
        <v>1717139</v>
      </c>
      <c r="D40" s="40">
        <f>D31+D32+D33+D34+D35</f>
        <v>1660399</v>
      </c>
      <c r="E40" s="170">
        <f aca="true" t="shared" si="2" ref="E40:E50">ROUND(D40/C40*100,2)</f>
        <v>96.7</v>
      </c>
      <c r="F40" s="48"/>
    </row>
    <row r="41" spans="1:5" s="26" customFormat="1" ht="12.75">
      <c r="A41" s="109" t="s">
        <v>96</v>
      </c>
      <c r="B41" s="38">
        <v>247613</v>
      </c>
      <c r="C41" s="38">
        <v>185204</v>
      </c>
      <c r="D41" s="38">
        <v>153418</v>
      </c>
      <c r="E41" s="168">
        <f t="shared" si="2"/>
        <v>82.84</v>
      </c>
    </row>
    <row r="42" spans="1:5" s="26" customFormat="1" ht="12.75">
      <c r="A42" s="133" t="s">
        <v>26</v>
      </c>
      <c r="B42" s="37">
        <v>54047</v>
      </c>
      <c r="C42" s="37">
        <v>204118</v>
      </c>
      <c r="D42" s="37">
        <v>161010</v>
      </c>
      <c r="E42" s="171">
        <f t="shared" si="2"/>
        <v>78.88</v>
      </c>
    </row>
    <row r="43" spans="1:5" s="26" customFormat="1" ht="12.75">
      <c r="A43" s="125" t="s">
        <v>185</v>
      </c>
      <c r="B43" s="38">
        <f>SUM(B44:B46)</f>
        <v>14884</v>
      </c>
      <c r="C43" s="38">
        <f>SUM(C44:C46)</f>
        <v>16884</v>
      </c>
      <c r="D43" s="38">
        <f>SUM(D44:D46)</f>
        <v>15434</v>
      </c>
      <c r="E43" s="168">
        <f t="shared" si="2"/>
        <v>91.41</v>
      </c>
    </row>
    <row r="44" spans="1:5" s="26" customFormat="1" ht="25.5">
      <c r="A44" s="191" t="s">
        <v>237</v>
      </c>
      <c r="B44" s="135">
        <v>2450</v>
      </c>
      <c r="C44" s="135">
        <v>2450</v>
      </c>
      <c r="D44" s="135">
        <v>1000</v>
      </c>
      <c r="E44" s="167">
        <f t="shared" si="2"/>
        <v>40.82</v>
      </c>
    </row>
    <row r="45" spans="1:5" s="26" customFormat="1" ht="12.75">
      <c r="A45" s="134" t="s">
        <v>238</v>
      </c>
      <c r="B45" s="135">
        <v>11334</v>
      </c>
      <c r="C45" s="135">
        <v>13334</v>
      </c>
      <c r="D45" s="135">
        <v>13334</v>
      </c>
      <c r="E45" s="167">
        <f t="shared" si="2"/>
        <v>100</v>
      </c>
    </row>
    <row r="46" spans="1:5" s="26" customFormat="1" ht="13.5" thickBot="1">
      <c r="A46" s="134" t="s">
        <v>239</v>
      </c>
      <c r="B46" s="136">
        <v>1100</v>
      </c>
      <c r="C46" s="136">
        <v>1100</v>
      </c>
      <c r="D46" s="136">
        <v>1100</v>
      </c>
      <c r="E46" s="175">
        <f t="shared" si="2"/>
        <v>100</v>
      </c>
    </row>
    <row r="47" spans="1:5" s="26" customFormat="1" ht="13.5" thickBot="1">
      <c r="A47" s="129" t="s">
        <v>204</v>
      </c>
      <c r="B47" s="40">
        <f>B41+B42+B43</f>
        <v>316544</v>
      </c>
      <c r="C47" s="40">
        <f>C41+C42+C43</f>
        <v>406206</v>
      </c>
      <c r="D47" s="40">
        <f>D41+D42+D43</f>
        <v>329862</v>
      </c>
      <c r="E47" s="170">
        <f t="shared" si="2"/>
        <v>81.21</v>
      </c>
    </row>
    <row r="48" spans="1:5" s="28" customFormat="1" ht="15.75" customHeight="1" thickBot="1">
      <c r="A48" s="131" t="s">
        <v>205</v>
      </c>
      <c r="B48" s="130">
        <f>B47+B40</f>
        <v>1892657</v>
      </c>
      <c r="C48" s="130">
        <f>C47+C40</f>
        <v>2123345</v>
      </c>
      <c r="D48" s="130">
        <f>D47+D40</f>
        <v>1990261</v>
      </c>
      <c r="E48" s="174">
        <f t="shared" si="2"/>
        <v>93.73</v>
      </c>
    </row>
    <row r="49" spans="1:5" s="26" customFormat="1" ht="15.75" customHeight="1" thickBot="1">
      <c r="A49" s="141" t="s">
        <v>206</v>
      </c>
      <c r="B49" s="140">
        <v>0</v>
      </c>
      <c r="C49" s="140">
        <v>25139</v>
      </c>
      <c r="D49" s="140">
        <v>25139</v>
      </c>
      <c r="E49" s="180">
        <f t="shared" si="2"/>
        <v>100</v>
      </c>
    </row>
    <row r="50" spans="1:5" s="28" customFormat="1" ht="15.75" customHeight="1" thickBot="1">
      <c r="A50" s="126" t="s">
        <v>40</v>
      </c>
      <c r="B50" s="41">
        <f>B49+B48</f>
        <v>1892657</v>
      </c>
      <c r="C50" s="41">
        <f>C49+C48</f>
        <v>2148484</v>
      </c>
      <c r="D50" s="41">
        <f>D49+D48</f>
        <v>2015400</v>
      </c>
      <c r="E50" s="176">
        <f t="shared" si="2"/>
        <v>93.81</v>
      </c>
    </row>
    <row r="51" ht="15.75">
      <c r="D51" s="12"/>
    </row>
    <row r="53" spans="1:5" ht="15.75">
      <c r="A53" s="12"/>
      <c r="B53" s="12"/>
      <c r="C53" s="12"/>
      <c r="D53" s="12"/>
      <c r="E53" s="12"/>
    </row>
  </sheetData>
  <sheetProtection/>
  <mergeCells count="5">
    <mergeCell ref="B29:E29"/>
    <mergeCell ref="A1:C1"/>
    <mergeCell ref="A3:E3"/>
    <mergeCell ref="A4:E4"/>
    <mergeCell ref="B5:E5"/>
  </mergeCells>
  <printOptions/>
  <pageMargins left="0.75" right="0.75" top="0.66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2.875" style="79" customWidth="1"/>
    <col min="2" max="2" width="82.375" style="79" customWidth="1"/>
    <col min="3" max="3" width="13.625" style="78" customWidth="1"/>
    <col min="4" max="4" width="13.875" style="78" customWidth="1"/>
    <col min="5" max="5" width="12.125" style="78" customWidth="1"/>
    <col min="6" max="6" width="8.625" style="79" customWidth="1"/>
    <col min="7" max="16384" width="9.125" style="79" customWidth="1"/>
  </cols>
  <sheetData>
    <row r="1" spans="1:5" s="76" customFormat="1" ht="15" customHeight="1">
      <c r="A1" s="77"/>
      <c r="B1" s="276" t="s">
        <v>497</v>
      </c>
      <c r="C1" s="276"/>
      <c r="D1" s="276"/>
      <c r="E1" s="75"/>
    </row>
    <row r="2" spans="1:5" s="76" customFormat="1" ht="10.5" customHeight="1">
      <c r="A2" s="77"/>
      <c r="B2" s="164"/>
      <c r="C2" s="164"/>
      <c r="D2" s="75"/>
      <c r="E2" s="75"/>
    </row>
    <row r="3" spans="1:6" ht="12.75">
      <c r="A3" s="390" t="s">
        <v>138</v>
      </c>
      <c r="B3" s="390"/>
      <c r="C3" s="390"/>
      <c r="D3" s="390"/>
      <c r="E3" s="390"/>
      <c r="F3" s="390"/>
    </row>
    <row r="4" spans="2:6" s="80" customFormat="1" ht="45.75">
      <c r="B4" s="80" t="s">
        <v>0</v>
      </c>
      <c r="C4" s="81" t="s">
        <v>211</v>
      </c>
      <c r="D4" s="81" t="s">
        <v>411</v>
      </c>
      <c r="E4" s="165" t="s">
        <v>229</v>
      </c>
      <c r="F4" s="165" t="s">
        <v>230</v>
      </c>
    </row>
    <row r="5" spans="1:6" s="83" customFormat="1" ht="12.75">
      <c r="A5" s="103" t="s">
        <v>163</v>
      </c>
      <c r="B5" s="103"/>
      <c r="C5" s="103"/>
      <c r="D5" s="103"/>
      <c r="E5" s="103"/>
      <c r="F5" s="103"/>
    </row>
    <row r="6" spans="2:6" s="85" customFormat="1" ht="12.75" customHeight="1">
      <c r="B6" s="86" t="s">
        <v>61</v>
      </c>
      <c r="C6" s="87">
        <f>C7+C8+C13+C16+C14+C15+C17</f>
        <v>272043541</v>
      </c>
      <c r="D6" s="87">
        <f>D7+D8+D13+D16+D14+D15+D17</f>
        <v>272991850</v>
      </c>
      <c r="E6" s="87">
        <f>E7+E8+E13+E16+E14+E15+E17</f>
        <v>272991850</v>
      </c>
      <c r="F6" s="181">
        <f aca="true" t="shared" si="0" ref="F6:F36">ROUND(E6/D6*100,2)</f>
        <v>100</v>
      </c>
    </row>
    <row r="7" spans="2:6" ht="12.75" customHeight="1">
      <c r="B7" s="88" t="s">
        <v>51</v>
      </c>
      <c r="C7" s="78">
        <v>161032800</v>
      </c>
      <c r="D7" s="78">
        <v>161032800</v>
      </c>
      <c r="E7" s="78">
        <v>161032800</v>
      </c>
      <c r="F7" s="182">
        <f t="shared" si="0"/>
        <v>100</v>
      </c>
    </row>
    <row r="8" spans="2:6" ht="12.75" customHeight="1">
      <c r="B8" s="89" t="s">
        <v>52</v>
      </c>
      <c r="C8" s="78">
        <f>C9+C10+C11+C12</f>
        <v>83003600</v>
      </c>
      <c r="D8" s="78">
        <f>D9+D10+D11+D12</f>
        <v>83003600</v>
      </c>
      <c r="E8" s="78">
        <f>E9+E10+E11+E12</f>
        <v>83003600</v>
      </c>
      <c r="F8" s="182">
        <f t="shared" si="0"/>
        <v>100</v>
      </c>
    </row>
    <row r="9" spans="2:6" ht="12.75" customHeight="1">
      <c r="B9" s="90" t="s">
        <v>94</v>
      </c>
      <c r="C9" s="78">
        <v>13488588</v>
      </c>
      <c r="D9" s="78">
        <v>13488588</v>
      </c>
      <c r="E9" s="78">
        <v>13488588</v>
      </c>
      <c r="F9" s="182">
        <f t="shared" si="0"/>
        <v>100</v>
      </c>
    </row>
    <row r="10" spans="2:6" ht="12.75" customHeight="1">
      <c r="B10" s="91" t="s">
        <v>93</v>
      </c>
      <c r="C10" s="78">
        <v>45200000</v>
      </c>
      <c r="D10" s="78">
        <v>45200000</v>
      </c>
      <c r="E10" s="78">
        <v>45200000</v>
      </c>
      <c r="F10" s="182">
        <f t="shared" si="0"/>
        <v>100</v>
      </c>
    </row>
    <row r="11" spans="2:6" ht="12.75" customHeight="1">
      <c r="B11" s="91" t="s">
        <v>92</v>
      </c>
      <c r="C11" s="78">
        <v>3588312</v>
      </c>
      <c r="D11" s="78">
        <v>3588312</v>
      </c>
      <c r="E11" s="78">
        <v>3588312</v>
      </c>
      <c r="F11" s="182">
        <f t="shared" si="0"/>
        <v>100</v>
      </c>
    </row>
    <row r="12" spans="2:6" ht="12.75" customHeight="1">
      <c r="B12" s="91" t="s">
        <v>165</v>
      </c>
      <c r="C12" s="78">
        <v>20726700</v>
      </c>
      <c r="D12" s="78">
        <v>20726700</v>
      </c>
      <c r="E12" s="78">
        <v>20726700</v>
      </c>
      <c r="F12" s="182">
        <f t="shared" si="0"/>
        <v>100</v>
      </c>
    </row>
    <row r="13" spans="2:6" ht="12.75" customHeight="1">
      <c r="B13" s="88" t="s">
        <v>166</v>
      </c>
      <c r="C13" s="78">
        <v>11785641</v>
      </c>
      <c r="D13" s="78">
        <v>11785641</v>
      </c>
      <c r="E13" s="78">
        <v>11785641</v>
      </c>
      <c r="F13" s="182">
        <f t="shared" si="0"/>
        <v>100</v>
      </c>
    </row>
    <row r="14" spans="2:6" ht="12.75" customHeight="1">
      <c r="B14" s="88" t="s">
        <v>167</v>
      </c>
      <c r="C14" s="78">
        <v>328950</v>
      </c>
      <c r="D14" s="78">
        <v>328950</v>
      </c>
      <c r="E14" s="78">
        <v>328950</v>
      </c>
      <c r="F14" s="182">
        <f t="shared" si="0"/>
        <v>100</v>
      </c>
    </row>
    <row r="15" spans="2:6" ht="12.75" customHeight="1">
      <c r="B15" s="88" t="s">
        <v>168</v>
      </c>
      <c r="C15" s="78">
        <v>15842550</v>
      </c>
      <c r="D15" s="78">
        <v>15842550</v>
      </c>
      <c r="E15" s="78">
        <v>15842550</v>
      </c>
      <c r="F15" s="182">
        <f t="shared" si="0"/>
        <v>100</v>
      </c>
    </row>
    <row r="16" spans="2:6" ht="12.75" customHeight="1">
      <c r="B16" s="88" t="s">
        <v>87</v>
      </c>
      <c r="C16" s="78">
        <v>50000</v>
      </c>
      <c r="D16" s="78">
        <v>50000</v>
      </c>
      <c r="E16" s="78">
        <v>50000</v>
      </c>
      <c r="F16" s="182">
        <f t="shared" si="0"/>
        <v>100</v>
      </c>
    </row>
    <row r="17" spans="2:6" ht="12.75" customHeight="1">
      <c r="B17" s="88" t="s">
        <v>212</v>
      </c>
      <c r="D17" s="78">
        <v>948309</v>
      </c>
      <c r="E17" s="78">
        <v>948309</v>
      </c>
      <c r="F17" s="182">
        <f t="shared" si="0"/>
        <v>100</v>
      </c>
    </row>
    <row r="18" spans="2:6" ht="12.75" customHeight="1">
      <c r="B18" s="92" t="s">
        <v>62</v>
      </c>
      <c r="C18" s="93">
        <f>C19+C20+C21+C22</f>
        <v>222209300</v>
      </c>
      <c r="D18" s="93">
        <f>D19+D20+D21+D22</f>
        <v>237888533</v>
      </c>
      <c r="E18" s="93">
        <f>E19+E20+E21+E22</f>
        <v>237888533</v>
      </c>
      <c r="F18" s="183">
        <f t="shared" si="0"/>
        <v>100</v>
      </c>
    </row>
    <row r="19" spans="2:6" ht="12.75" customHeight="1">
      <c r="B19" s="94" t="s">
        <v>169</v>
      </c>
      <c r="C19" s="78">
        <f>97710400+48578400+1228500+30000000+15000000</f>
        <v>192517300</v>
      </c>
      <c r="D19" s="78">
        <v>196192700</v>
      </c>
      <c r="E19" s="78">
        <v>196192700</v>
      </c>
      <c r="F19" s="182">
        <f t="shared" si="0"/>
        <v>100</v>
      </c>
    </row>
    <row r="20" spans="2:6" ht="12.75" customHeight="1">
      <c r="B20" s="95" t="s">
        <v>85</v>
      </c>
      <c r="C20" s="78">
        <f>18386667+9193333</f>
        <v>27580000</v>
      </c>
      <c r="D20" s="78">
        <v>28163333</v>
      </c>
      <c r="E20" s="78">
        <v>28163333</v>
      </c>
      <c r="F20" s="182">
        <f t="shared" si="0"/>
        <v>100</v>
      </c>
    </row>
    <row r="21" spans="2:6" ht="12.75" customHeight="1">
      <c r="B21" s="88" t="s">
        <v>170</v>
      </c>
      <c r="C21" s="78">
        <v>0</v>
      </c>
      <c r="D21" s="78">
        <v>11420500</v>
      </c>
      <c r="E21" s="78">
        <v>11420500</v>
      </c>
      <c r="F21" s="182">
        <f t="shared" si="0"/>
        <v>100</v>
      </c>
    </row>
    <row r="22" spans="2:6" ht="12.75" customHeight="1">
      <c r="B22" s="88" t="s">
        <v>171</v>
      </c>
      <c r="C22" s="78">
        <v>2112000</v>
      </c>
      <c r="D22" s="78">
        <v>2112000</v>
      </c>
      <c r="E22" s="78">
        <v>2112000</v>
      </c>
      <c r="F22" s="182">
        <f t="shared" si="0"/>
        <v>100</v>
      </c>
    </row>
    <row r="23" spans="2:6" ht="12.75" customHeight="1">
      <c r="B23" s="92" t="s">
        <v>63</v>
      </c>
      <c r="C23" s="93">
        <f>C24+C25+C26+C27+C28+C29+C30</f>
        <v>248031424</v>
      </c>
      <c r="D23" s="93">
        <f>D24+D25+D26+D27+D28+D29+D30</f>
        <v>285247651</v>
      </c>
      <c r="E23" s="93">
        <f>E24+E25+E26+E27+E28+E29+E30</f>
        <v>285247651</v>
      </c>
      <c r="F23" s="183">
        <f t="shared" si="0"/>
        <v>100</v>
      </c>
    </row>
    <row r="24" spans="2:6" ht="12.75" customHeight="1">
      <c r="B24" s="88" t="s">
        <v>172</v>
      </c>
      <c r="C24" s="78">
        <v>9878000</v>
      </c>
      <c r="D24" s="78">
        <v>11474164</v>
      </c>
      <c r="E24" s="78">
        <v>11474164</v>
      </c>
      <c r="F24" s="182">
        <f t="shared" si="0"/>
        <v>100</v>
      </c>
    </row>
    <row r="25" spans="2:6" ht="12.75" customHeight="1">
      <c r="B25" s="88" t="s">
        <v>173</v>
      </c>
      <c r="C25" s="78">
        <v>38632170</v>
      </c>
      <c r="D25" s="78">
        <v>38632170</v>
      </c>
      <c r="E25" s="78">
        <v>38632170</v>
      </c>
      <c r="F25" s="182">
        <f t="shared" si="0"/>
        <v>100</v>
      </c>
    </row>
    <row r="26" spans="2:6" ht="12.75" customHeight="1">
      <c r="B26" s="88" t="s">
        <v>174</v>
      </c>
      <c r="C26" s="78">
        <f>9387900+100315797-C27</f>
        <v>84350377</v>
      </c>
      <c r="D26" s="78">
        <v>82629513</v>
      </c>
      <c r="E26" s="78">
        <v>82629513</v>
      </c>
      <c r="F26" s="182">
        <f t="shared" si="0"/>
        <v>100</v>
      </c>
    </row>
    <row r="27" spans="2:6" ht="25.5" customHeight="1">
      <c r="B27" s="88" t="s">
        <v>175</v>
      </c>
      <c r="C27" s="78">
        <f>20848320+4505000</f>
        <v>25353320</v>
      </c>
      <c r="D27" s="78">
        <f>20848320+4505000</f>
        <v>25353320</v>
      </c>
      <c r="E27" s="78">
        <v>25353320</v>
      </c>
      <c r="F27" s="182">
        <f t="shared" si="0"/>
        <v>100</v>
      </c>
    </row>
    <row r="28" spans="2:6" ht="12.75" customHeight="1">
      <c r="B28" s="88" t="s">
        <v>89</v>
      </c>
      <c r="C28" s="78">
        <v>53431680</v>
      </c>
      <c r="D28" s="78">
        <v>53431680</v>
      </c>
      <c r="E28" s="78">
        <v>53431680</v>
      </c>
      <c r="F28" s="182">
        <f t="shared" si="0"/>
        <v>100</v>
      </c>
    </row>
    <row r="29" spans="2:6" ht="12.75" customHeight="1">
      <c r="B29" s="88" t="s">
        <v>88</v>
      </c>
      <c r="C29" s="78">
        <v>36385877</v>
      </c>
      <c r="D29" s="78">
        <f>36385877+31234344</f>
        <v>67620221</v>
      </c>
      <c r="E29" s="78">
        <f>36385877+31234344</f>
        <v>67620221</v>
      </c>
      <c r="F29" s="182">
        <f t="shared" si="0"/>
        <v>100</v>
      </c>
    </row>
    <row r="30" spans="2:6" ht="12.75" customHeight="1">
      <c r="B30" s="88" t="s">
        <v>213</v>
      </c>
      <c r="D30" s="78">
        <v>6106583</v>
      </c>
      <c r="E30" s="78">
        <v>6106583</v>
      </c>
      <c r="F30" s="182">
        <f t="shared" si="0"/>
        <v>100</v>
      </c>
    </row>
    <row r="31" spans="2:6" ht="12.75" customHeight="1">
      <c r="B31" s="92" t="s">
        <v>90</v>
      </c>
      <c r="C31" s="93">
        <f>SUM(C32:C34)</f>
        <v>40849400</v>
      </c>
      <c r="D31" s="93">
        <f>SUM(D32:D34)</f>
        <v>41944102</v>
      </c>
      <c r="E31" s="93">
        <f>SUM(E32:E34)</f>
        <v>41944102</v>
      </c>
      <c r="F31" s="183">
        <f t="shared" si="0"/>
        <v>100</v>
      </c>
    </row>
    <row r="32" spans="2:6" ht="12.75" customHeight="1">
      <c r="B32" s="88" t="s">
        <v>95</v>
      </c>
      <c r="C32" s="78">
        <f>6560700*2</f>
        <v>13121400</v>
      </c>
      <c r="D32" s="78">
        <f>6560700*2</f>
        <v>13121400</v>
      </c>
      <c r="E32" s="78">
        <v>13121400</v>
      </c>
      <c r="F32" s="182">
        <f t="shared" si="0"/>
        <v>100</v>
      </c>
    </row>
    <row r="33" spans="2:6" ht="12.75" customHeight="1">
      <c r="B33" s="88" t="s">
        <v>64</v>
      </c>
      <c r="C33" s="78">
        <v>27728000</v>
      </c>
      <c r="D33" s="78">
        <v>27728000</v>
      </c>
      <c r="E33" s="78">
        <v>27728000</v>
      </c>
      <c r="F33" s="182">
        <f t="shared" si="0"/>
        <v>100</v>
      </c>
    </row>
    <row r="34" spans="2:6" ht="12.75" customHeight="1">
      <c r="B34" s="88" t="s">
        <v>214</v>
      </c>
      <c r="D34" s="78">
        <v>1094702</v>
      </c>
      <c r="E34" s="78">
        <v>1094702</v>
      </c>
      <c r="F34" s="182">
        <f t="shared" si="0"/>
        <v>100</v>
      </c>
    </row>
    <row r="35" spans="2:6" ht="15" customHeight="1">
      <c r="B35" s="92" t="s">
        <v>86</v>
      </c>
      <c r="C35" s="93">
        <v>-19291359</v>
      </c>
      <c r="D35" s="93">
        <v>-19291359</v>
      </c>
      <c r="E35" s="93"/>
      <c r="F35" s="183">
        <f t="shared" si="0"/>
        <v>0</v>
      </c>
    </row>
    <row r="36" spans="2:6" s="101" customFormat="1" ht="27.75" customHeight="1">
      <c r="B36" s="105" t="s">
        <v>53</v>
      </c>
      <c r="C36" s="104">
        <f>C6+C18+C23+C31</f>
        <v>783133665</v>
      </c>
      <c r="D36" s="104">
        <f>D6+D18+D23+D31</f>
        <v>838072136</v>
      </c>
      <c r="E36" s="104">
        <f>E6+E18+E23+E31</f>
        <v>838072136</v>
      </c>
      <c r="F36" s="184">
        <f t="shared" si="0"/>
        <v>100</v>
      </c>
    </row>
    <row r="37" ht="17.25" customHeight="1">
      <c r="B37" s="96"/>
    </row>
    <row r="38" spans="1:6" ht="17.25" customHeight="1">
      <c r="A38" s="389" t="s">
        <v>215</v>
      </c>
      <c r="B38" s="389"/>
      <c r="C38" s="389"/>
      <c r="D38" s="389"/>
      <c r="E38" s="389"/>
      <c r="F38" s="389"/>
    </row>
    <row r="39" spans="1:6" ht="12.75">
      <c r="A39" s="111"/>
      <c r="B39" s="92" t="s">
        <v>217</v>
      </c>
      <c r="C39" s="93">
        <f>SUM(C40:C42)</f>
        <v>0</v>
      </c>
      <c r="D39" s="93">
        <f>SUM(D40:D42)</f>
        <v>14927821</v>
      </c>
      <c r="E39" s="93">
        <f>SUM(E40:E42)</f>
        <v>14927821</v>
      </c>
      <c r="F39" s="185">
        <f aca="true" t="shared" si="1" ref="F39:F49">ROUND(E39/D39*100,2)</f>
        <v>100</v>
      </c>
    </row>
    <row r="40" spans="1:6" ht="12.75">
      <c r="A40" s="111"/>
      <c r="B40" s="88" t="s">
        <v>221</v>
      </c>
      <c r="C40" s="111"/>
      <c r="D40" s="163">
        <v>10162159</v>
      </c>
      <c r="E40" s="78">
        <f>D40-C40</f>
        <v>10162159</v>
      </c>
      <c r="F40" s="188">
        <f t="shared" si="1"/>
        <v>100</v>
      </c>
    </row>
    <row r="41" spans="1:6" ht="12.75">
      <c r="A41" s="111"/>
      <c r="B41" s="88" t="s">
        <v>222</v>
      </c>
      <c r="C41" s="111"/>
      <c r="D41" s="163">
        <v>1203312</v>
      </c>
      <c r="E41" s="78">
        <f>D41-C41</f>
        <v>1203312</v>
      </c>
      <c r="F41" s="188">
        <f t="shared" si="1"/>
        <v>100</v>
      </c>
    </row>
    <row r="42" spans="1:6" ht="12.75">
      <c r="A42" s="111"/>
      <c r="B42" s="88" t="s">
        <v>248</v>
      </c>
      <c r="C42" s="111"/>
      <c r="D42" s="163">
        <v>3562350</v>
      </c>
      <c r="E42" s="78">
        <v>3562350</v>
      </c>
      <c r="F42" s="188">
        <f t="shared" si="1"/>
        <v>100</v>
      </c>
    </row>
    <row r="43" spans="1:6" ht="12.75">
      <c r="A43" s="111"/>
      <c r="B43" s="92" t="s">
        <v>218</v>
      </c>
      <c r="C43" s="93">
        <f>SUM(C44:C46)</f>
        <v>0</v>
      </c>
      <c r="D43" s="93">
        <f>SUM(D44:D47)</f>
        <v>33280000</v>
      </c>
      <c r="E43" s="93">
        <f>SUM(E44:E47)</f>
        <v>33280000</v>
      </c>
      <c r="F43" s="210">
        <f t="shared" si="1"/>
        <v>100</v>
      </c>
    </row>
    <row r="44" spans="1:6" ht="12.75">
      <c r="A44" s="111"/>
      <c r="B44" s="197" t="s">
        <v>249</v>
      </c>
      <c r="D44" s="78">
        <v>30000000</v>
      </c>
      <c r="E44" s="78">
        <v>30000000</v>
      </c>
      <c r="F44" s="188">
        <f t="shared" si="1"/>
        <v>100</v>
      </c>
    </row>
    <row r="45" spans="1:6" ht="12.75">
      <c r="A45" s="111"/>
      <c r="B45" s="162" t="s">
        <v>426</v>
      </c>
      <c r="C45" s="111"/>
      <c r="D45" s="163">
        <v>280000</v>
      </c>
      <c r="E45" s="78">
        <v>280000</v>
      </c>
      <c r="F45" s="188">
        <f t="shared" si="1"/>
        <v>100</v>
      </c>
    </row>
    <row r="46" spans="1:6" ht="12.75">
      <c r="A46" s="111"/>
      <c r="B46" s="162" t="s">
        <v>422</v>
      </c>
      <c r="C46" s="111"/>
      <c r="D46" s="163">
        <v>1000000</v>
      </c>
      <c r="E46" s="78">
        <v>1000000</v>
      </c>
      <c r="F46" s="188">
        <f t="shared" si="1"/>
        <v>100</v>
      </c>
    </row>
    <row r="47" spans="1:7" ht="12.75">
      <c r="A47" s="162"/>
      <c r="B47" s="88" t="s">
        <v>425</v>
      </c>
      <c r="C47" s="163">
        <v>0</v>
      </c>
      <c r="D47" s="163">
        <v>2000000</v>
      </c>
      <c r="E47" s="78">
        <v>2000000</v>
      </c>
      <c r="F47" s="188">
        <f t="shared" si="1"/>
        <v>100</v>
      </c>
      <c r="G47" s="188"/>
    </row>
    <row r="48" spans="1:6" ht="12.75">
      <c r="A48" s="111"/>
      <c r="B48" s="92" t="s">
        <v>219</v>
      </c>
      <c r="C48" s="93">
        <f>SUM(C49:C50)</f>
        <v>86130335</v>
      </c>
      <c r="D48" s="93">
        <f>SUM(D49:D50)</f>
        <v>60000000</v>
      </c>
      <c r="E48" s="93">
        <f>SUM(E49:E50)</f>
        <v>60000000</v>
      </c>
      <c r="F48" s="210">
        <f t="shared" si="1"/>
        <v>100</v>
      </c>
    </row>
    <row r="49" spans="1:6" ht="12.75">
      <c r="A49" s="162"/>
      <c r="B49" s="88" t="s">
        <v>220</v>
      </c>
      <c r="C49" s="163">
        <f>77170335+8960000</f>
        <v>86130335</v>
      </c>
      <c r="D49" s="163">
        <v>60000000</v>
      </c>
      <c r="E49" s="78">
        <v>60000000</v>
      </c>
      <c r="F49" s="188">
        <f t="shared" si="1"/>
        <v>100</v>
      </c>
    </row>
    <row r="50" spans="1:7" ht="12.75">
      <c r="A50" s="162"/>
      <c r="B50" s="88"/>
      <c r="C50" s="163"/>
      <c r="D50" s="163"/>
      <c r="F50" s="188"/>
      <c r="G50" s="188"/>
    </row>
    <row r="51" spans="1:6" ht="12.75">
      <c r="A51" s="162"/>
      <c r="B51" s="92" t="s">
        <v>423</v>
      </c>
      <c r="C51" s="93">
        <f>SUM(C52:C53)</f>
        <v>0</v>
      </c>
      <c r="D51" s="93">
        <f>SUM(D52:D53)</f>
        <v>570000</v>
      </c>
      <c r="E51" s="93">
        <f>SUM(E52:E53)</f>
        <v>570000</v>
      </c>
      <c r="F51" s="210">
        <f>ROUND(E51/D51*100,2)</f>
        <v>100</v>
      </c>
    </row>
    <row r="52" spans="1:6" ht="12.75">
      <c r="A52" s="162"/>
      <c r="B52" s="94" t="s">
        <v>424</v>
      </c>
      <c r="C52" s="78">
        <v>0</v>
      </c>
      <c r="D52" s="78">
        <v>570000</v>
      </c>
      <c r="E52" s="78">
        <v>570000</v>
      </c>
      <c r="F52" s="188">
        <f>ROUND(E52/D52*100,2)</f>
        <v>100</v>
      </c>
    </row>
    <row r="53" spans="1:6" ht="17.25" customHeight="1">
      <c r="A53" s="111"/>
      <c r="B53" s="111"/>
      <c r="C53" s="111"/>
      <c r="D53" s="111"/>
      <c r="F53" s="186"/>
    </row>
    <row r="54" spans="1:6" s="102" customFormat="1" ht="17.25" customHeight="1">
      <c r="A54" s="97"/>
      <c r="B54" s="105" t="s">
        <v>216</v>
      </c>
      <c r="C54" s="106">
        <f>C43+C39+C48+C51</f>
        <v>86130335</v>
      </c>
      <c r="D54" s="106">
        <f>D43+D39+D48+D51</f>
        <v>108777821</v>
      </c>
      <c r="E54" s="106">
        <f>E43+E39+E48+E51</f>
        <v>108777821</v>
      </c>
      <c r="F54" s="189">
        <f>ROUND(E54/D54*100,2)</f>
        <v>100</v>
      </c>
    </row>
    <row r="55" spans="1:6" ht="17.25" customHeight="1">
      <c r="A55" s="97"/>
      <c r="B55" s="97"/>
      <c r="C55" s="97"/>
      <c r="D55" s="97"/>
      <c r="E55" s="97"/>
      <c r="F55" s="187"/>
    </row>
    <row r="56" spans="1:6" s="82" customFormat="1" ht="18" customHeight="1">
      <c r="A56" s="107"/>
      <c r="B56" s="107" t="s">
        <v>164</v>
      </c>
      <c r="C56" s="108">
        <f>C54+C36</f>
        <v>869264000</v>
      </c>
      <c r="D56" s="108">
        <f>D54+D36</f>
        <v>946849957</v>
      </c>
      <c r="E56" s="108">
        <f>E54+E36</f>
        <v>946849957</v>
      </c>
      <c r="F56" s="190">
        <f>ROUND(E56/D56*100,2)</f>
        <v>100</v>
      </c>
    </row>
    <row r="57" ht="12.75" customHeight="1"/>
    <row r="58" ht="12.75" customHeight="1">
      <c r="B58" s="98"/>
    </row>
    <row r="59" spans="2:5" s="83" customFormat="1" ht="12.75" customHeight="1">
      <c r="B59" s="99"/>
      <c r="C59" s="84"/>
      <c r="D59" s="84"/>
      <c r="E59" s="84"/>
    </row>
    <row r="60" spans="2:5" s="83" customFormat="1" ht="12.75" customHeight="1">
      <c r="B60" s="100"/>
      <c r="C60" s="84"/>
      <c r="D60" s="84"/>
      <c r="E60" s="84"/>
    </row>
    <row r="61" spans="2:5" s="83" customFormat="1" ht="12.75" customHeight="1">
      <c r="B61" s="99"/>
      <c r="C61" s="84"/>
      <c r="D61" s="84"/>
      <c r="E61" s="84"/>
    </row>
    <row r="62" ht="12.75" customHeight="1"/>
  </sheetData>
  <sheetProtection/>
  <mergeCells count="2">
    <mergeCell ref="A38:F38"/>
    <mergeCell ref="A3:F3"/>
  </mergeCells>
  <printOptions/>
  <pageMargins left="0.984251968503937" right="0.3937007874015748" top="0.52" bottom="0.49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V23"/>
  <sheetViews>
    <sheetView tabSelected="1" zoomScale="92" zoomScaleNormal="92" zoomScaleSheetLayoutView="100" zoomScalePageLayoutView="0"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00390625" defaultRowHeight="12.75"/>
  <cols>
    <col min="1" max="1" width="30.875" style="13" customWidth="1"/>
    <col min="2" max="2" width="9.625" style="13" customWidth="1"/>
    <col min="3" max="3" width="9.75390625" style="13" customWidth="1"/>
    <col min="4" max="4" width="8.875" style="13" bestFit="1" customWidth="1"/>
    <col min="5" max="5" width="8.375" style="13" customWidth="1"/>
    <col min="6" max="6" width="7.875" style="13" customWidth="1"/>
    <col min="7" max="7" width="9.625" style="13" customWidth="1"/>
    <col min="8" max="8" width="8.375" style="13" customWidth="1"/>
    <col min="9" max="9" width="8.00390625" style="13" customWidth="1"/>
    <col min="10" max="10" width="8.75390625" style="13" bestFit="1" customWidth="1"/>
    <col min="11" max="11" width="10.25390625" style="13" customWidth="1"/>
    <col min="12" max="13" width="8.375" style="13" customWidth="1"/>
    <col min="14" max="14" width="8.75390625" style="13" bestFit="1" customWidth="1"/>
    <col min="15" max="15" width="9.75390625" style="13" customWidth="1"/>
    <col min="16" max="16" width="7.75390625" style="13" customWidth="1"/>
    <col min="17" max="17" width="8.625" style="13" customWidth="1"/>
    <col min="18" max="18" width="8.75390625" style="13" bestFit="1" customWidth="1"/>
    <col min="19" max="19" width="9.25390625" style="13" customWidth="1"/>
    <col min="20" max="20" width="8.375" style="13" customWidth="1"/>
    <col min="21" max="21" width="8.25390625" style="13" customWidth="1"/>
    <col min="22" max="22" width="8.75390625" style="13" bestFit="1" customWidth="1"/>
    <col min="23" max="23" width="9.00390625" style="13" customWidth="1"/>
    <col min="24" max="25" width="8.375" style="13" customWidth="1"/>
    <col min="26" max="26" width="8.75390625" style="13" bestFit="1" customWidth="1"/>
    <col min="27" max="27" width="9.625" style="13" customWidth="1"/>
    <col min="28" max="28" width="7.875" style="13" customWidth="1"/>
    <col min="29" max="29" width="8.125" style="13" customWidth="1"/>
    <col min="30" max="30" width="9.75390625" style="13" customWidth="1"/>
    <col min="31" max="31" width="10.00390625" style="13" customWidth="1"/>
    <col min="32" max="32" width="8.875" style="13" bestFit="1" customWidth="1"/>
    <col min="33" max="33" width="8.125" style="13" customWidth="1"/>
    <col min="34" max="34" width="8.75390625" style="13" bestFit="1" customWidth="1"/>
    <col min="35" max="35" width="9.75390625" style="13" customWidth="1"/>
    <col min="36" max="36" width="8.375" style="13" customWidth="1"/>
    <col min="37" max="37" width="8.125" style="13" customWidth="1"/>
    <col min="38" max="38" width="8.75390625" style="13" bestFit="1" customWidth="1"/>
    <col min="39" max="39" width="9.75390625" style="13" customWidth="1"/>
    <col min="40" max="40" width="8.375" style="13" customWidth="1"/>
    <col min="41" max="41" width="8.625" style="13" customWidth="1"/>
    <col min="42" max="42" width="8.75390625" style="13" bestFit="1" customWidth="1"/>
    <col min="43" max="43" width="9.375" style="13" customWidth="1"/>
    <col min="44" max="44" width="8.375" style="13" customWidth="1"/>
    <col min="45" max="45" width="7.625" style="13" customWidth="1"/>
    <col min="46" max="46" width="8.875" style="13" bestFit="1" customWidth="1"/>
    <col min="47" max="47" width="9.25390625" style="13" customWidth="1"/>
    <col min="48" max="48" width="8.875" style="13" bestFit="1" customWidth="1"/>
    <col min="49" max="49" width="8.25390625" style="13" customWidth="1"/>
    <col min="50" max="50" width="8.75390625" style="13" customWidth="1"/>
    <col min="51" max="51" width="9.375" style="13" customWidth="1"/>
    <col min="52" max="52" width="8.375" style="13" customWidth="1"/>
    <col min="53" max="53" width="8.00390625" style="13" bestFit="1" customWidth="1"/>
    <col min="54" max="54" width="9.125" style="13" customWidth="1"/>
    <col min="55" max="55" width="8.625" style="13" customWidth="1"/>
    <col min="56" max="56" width="8.375" style="13" customWidth="1"/>
    <col min="57" max="57" width="8.00390625" style="13" bestFit="1" customWidth="1"/>
    <col min="58" max="58" width="9.125" style="13" customWidth="1"/>
    <col min="59" max="59" width="9.25390625" style="13" customWidth="1"/>
    <col min="60" max="60" width="8.375" style="13" customWidth="1"/>
    <col min="61" max="61" width="8.00390625" style="13" bestFit="1" customWidth="1"/>
    <col min="62" max="62" width="9.125" style="13" customWidth="1"/>
    <col min="63" max="63" width="8.75390625" style="13" customWidth="1"/>
    <col min="64" max="64" width="8.375" style="13" customWidth="1"/>
    <col min="65" max="65" width="7.625" style="13" customWidth="1"/>
    <col min="66" max="66" width="9.125" style="13" customWidth="1"/>
    <col min="67" max="67" width="8.25390625" style="13" customWidth="1"/>
    <col min="68" max="68" width="8.375" style="13" customWidth="1"/>
    <col min="69" max="69" width="8.00390625" style="13" customWidth="1"/>
    <col min="70" max="70" width="9.125" style="13" customWidth="1"/>
    <col min="71" max="71" width="9.375" style="13" customWidth="1"/>
    <col min="72" max="72" width="8.375" style="13" customWidth="1"/>
    <col min="73" max="73" width="9.25390625" style="13" customWidth="1"/>
    <col min="74" max="74" width="9.125" style="13" customWidth="1"/>
    <col min="75" max="75" width="9.375" style="13" customWidth="1"/>
    <col min="76" max="77" width="8.375" style="13" customWidth="1"/>
    <col min="78" max="78" width="8.75390625" style="13" customWidth="1"/>
    <col min="79" max="79" width="9.625" style="13" customWidth="1"/>
    <col min="80" max="81" width="8.375" style="13" customWidth="1"/>
    <col min="82" max="82" width="9.125" style="13" customWidth="1"/>
    <col min="83" max="83" width="8.75390625" style="13" customWidth="1"/>
    <col min="84" max="84" width="8.375" style="13" customWidth="1"/>
    <col min="85" max="85" width="8.875" style="13" customWidth="1"/>
    <col min="86" max="86" width="9.125" style="13" customWidth="1"/>
    <col min="87" max="87" width="9.375" style="13" customWidth="1"/>
    <col min="88" max="88" width="8.375" style="13" customWidth="1"/>
    <col min="89" max="89" width="8.875" style="13" customWidth="1"/>
    <col min="90" max="90" width="9.125" style="13" customWidth="1"/>
    <col min="91" max="93" width="8.375" style="13" customWidth="1"/>
    <col min="94" max="94" width="10.625" style="13" customWidth="1"/>
    <col min="95" max="95" width="8.875" style="13" customWidth="1"/>
    <col min="96" max="96" width="7.875" style="13" customWidth="1"/>
    <col min="97" max="97" width="8.75390625" style="13" customWidth="1"/>
    <col min="98" max="98" width="8.625" style="13" customWidth="1"/>
    <col min="99" max="99" width="8.875" style="13" customWidth="1"/>
    <col min="100" max="100" width="8.375" style="13" customWidth="1"/>
    <col min="101" max="101" width="8.125" style="13" customWidth="1"/>
    <col min="102" max="102" width="10.375" style="22" customWidth="1"/>
    <col min="103" max="103" width="8.875" style="13" customWidth="1"/>
    <col min="104" max="104" width="9.625" style="13" customWidth="1"/>
    <col min="105" max="105" width="8.00390625" style="13" bestFit="1" customWidth="1"/>
    <col min="106" max="106" width="8.875" style="13" customWidth="1"/>
    <col min="107" max="107" width="8.125" style="13" customWidth="1"/>
    <col min="108" max="108" width="8.25390625" style="13" customWidth="1"/>
    <col min="109" max="109" width="7.875" style="13" customWidth="1"/>
    <col min="110" max="110" width="2.625" style="13" customWidth="1"/>
    <col min="111" max="16384" width="9.125" style="13" customWidth="1"/>
  </cols>
  <sheetData>
    <row r="1" spans="1:3" ht="29.25" customHeight="1">
      <c r="A1" s="274" t="s">
        <v>498</v>
      </c>
      <c r="B1" s="274"/>
      <c r="C1" s="274"/>
    </row>
    <row r="2" ht="13.5">
      <c r="A2" s="147"/>
    </row>
    <row r="3" spans="1:109" ht="15.75">
      <c r="A3" s="74"/>
      <c r="B3" s="394" t="s">
        <v>98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 t="s">
        <v>98</v>
      </c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 t="s">
        <v>98</v>
      </c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 t="s">
        <v>98</v>
      </c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 t="s">
        <v>99</v>
      </c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394" t="s">
        <v>99</v>
      </c>
      <c r="BK3" s="394"/>
      <c r="BL3" s="394"/>
      <c r="BM3" s="394"/>
      <c r="BN3" s="394"/>
      <c r="BO3" s="394"/>
      <c r="BP3" s="394"/>
      <c r="BQ3" s="394"/>
      <c r="BR3" s="394"/>
      <c r="BS3" s="394"/>
      <c r="BT3" s="394"/>
      <c r="BU3" s="394"/>
      <c r="BV3" s="394" t="s">
        <v>99</v>
      </c>
      <c r="BW3" s="394"/>
      <c r="BX3" s="394"/>
      <c r="BY3" s="394"/>
      <c r="BZ3" s="394"/>
      <c r="CA3" s="394"/>
      <c r="CB3" s="394"/>
      <c r="CC3" s="394"/>
      <c r="CD3" s="394"/>
      <c r="CE3" s="394"/>
      <c r="CF3" s="394"/>
      <c r="CG3" s="394"/>
      <c r="CH3" s="394" t="s">
        <v>99</v>
      </c>
      <c r="CI3" s="394"/>
      <c r="CJ3" s="394"/>
      <c r="CK3" s="394"/>
      <c r="CL3" s="394"/>
      <c r="CM3" s="394"/>
      <c r="CN3" s="394"/>
      <c r="CO3" s="394"/>
      <c r="CP3" s="394"/>
      <c r="CQ3" s="394"/>
      <c r="CR3" s="394"/>
      <c r="CS3" s="394"/>
      <c r="CT3" s="394" t="s">
        <v>99</v>
      </c>
      <c r="CU3" s="394"/>
      <c r="CV3" s="394"/>
      <c r="CW3" s="394"/>
      <c r="CX3" s="394"/>
      <c r="CY3" s="394"/>
      <c r="CZ3" s="394"/>
      <c r="DA3" s="394"/>
      <c r="DB3" s="394"/>
      <c r="DC3" s="394"/>
      <c r="DD3" s="394"/>
      <c r="DE3" s="394"/>
    </row>
    <row r="4" spans="1:109" s="19" customFormat="1" ht="39" customHeight="1">
      <c r="A4" s="338" t="s">
        <v>3</v>
      </c>
      <c r="B4" s="391" t="s">
        <v>143</v>
      </c>
      <c r="C4" s="392"/>
      <c r="D4" s="392"/>
      <c r="E4" s="393"/>
      <c r="F4" s="391" t="s">
        <v>144</v>
      </c>
      <c r="G4" s="392"/>
      <c r="H4" s="392"/>
      <c r="I4" s="393"/>
      <c r="J4" s="391" t="s">
        <v>145</v>
      </c>
      <c r="K4" s="392"/>
      <c r="L4" s="392"/>
      <c r="M4" s="393"/>
      <c r="N4" s="391" t="s">
        <v>147</v>
      </c>
      <c r="O4" s="392"/>
      <c r="P4" s="392"/>
      <c r="Q4" s="393"/>
      <c r="R4" s="391" t="s">
        <v>149</v>
      </c>
      <c r="S4" s="392"/>
      <c r="T4" s="392"/>
      <c r="U4" s="393"/>
      <c r="V4" s="391" t="s">
        <v>146</v>
      </c>
      <c r="W4" s="392"/>
      <c r="X4" s="392"/>
      <c r="Y4" s="393"/>
      <c r="Z4" s="391" t="s">
        <v>245</v>
      </c>
      <c r="AA4" s="392"/>
      <c r="AB4" s="392"/>
      <c r="AC4" s="393"/>
      <c r="AD4" s="391" t="s">
        <v>142</v>
      </c>
      <c r="AE4" s="392"/>
      <c r="AF4" s="392"/>
      <c r="AG4" s="393"/>
      <c r="AH4" s="392" t="s">
        <v>140</v>
      </c>
      <c r="AI4" s="392"/>
      <c r="AJ4" s="392"/>
      <c r="AK4" s="393"/>
      <c r="AL4" s="391" t="s">
        <v>493</v>
      </c>
      <c r="AM4" s="392"/>
      <c r="AN4" s="392"/>
      <c r="AO4" s="393"/>
      <c r="AP4" s="391" t="s">
        <v>141</v>
      </c>
      <c r="AQ4" s="392"/>
      <c r="AR4" s="392"/>
      <c r="AS4" s="393"/>
      <c r="AT4" s="391" t="s">
        <v>148</v>
      </c>
      <c r="AU4" s="392"/>
      <c r="AV4" s="392"/>
      <c r="AW4" s="393"/>
      <c r="AX4" s="391" t="s">
        <v>37</v>
      </c>
      <c r="AY4" s="392"/>
      <c r="AZ4" s="392"/>
      <c r="BA4" s="392"/>
      <c r="BB4" s="391" t="s">
        <v>38</v>
      </c>
      <c r="BC4" s="392"/>
      <c r="BD4" s="392"/>
      <c r="BE4" s="393"/>
      <c r="BF4" s="391" t="s">
        <v>18</v>
      </c>
      <c r="BG4" s="392"/>
      <c r="BH4" s="392"/>
      <c r="BI4" s="393"/>
      <c r="BJ4" s="391" t="s">
        <v>39</v>
      </c>
      <c r="BK4" s="392"/>
      <c r="BL4" s="392"/>
      <c r="BM4" s="393"/>
      <c r="BN4" s="395" t="s">
        <v>160</v>
      </c>
      <c r="BO4" s="396"/>
      <c r="BP4" s="396"/>
      <c r="BQ4" s="397"/>
      <c r="BR4" s="395" t="s">
        <v>157</v>
      </c>
      <c r="BS4" s="396"/>
      <c r="BT4" s="396"/>
      <c r="BU4" s="397"/>
      <c r="BV4" s="391" t="s">
        <v>156</v>
      </c>
      <c r="BW4" s="392"/>
      <c r="BX4" s="392"/>
      <c r="BY4" s="393"/>
      <c r="BZ4" s="391" t="s">
        <v>150</v>
      </c>
      <c r="CA4" s="392"/>
      <c r="CB4" s="392"/>
      <c r="CC4" s="392"/>
      <c r="CD4" s="391" t="s">
        <v>151</v>
      </c>
      <c r="CE4" s="392"/>
      <c r="CF4" s="392"/>
      <c r="CG4" s="393"/>
      <c r="CH4" s="395" t="s">
        <v>162</v>
      </c>
      <c r="CI4" s="396"/>
      <c r="CJ4" s="396"/>
      <c r="CK4" s="397"/>
      <c r="CL4" s="395" t="s">
        <v>158</v>
      </c>
      <c r="CM4" s="396"/>
      <c r="CN4" s="396"/>
      <c r="CO4" s="397"/>
      <c r="CP4" s="391" t="s">
        <v>152</v>
      </c>
      <c r="CQ4" s="392"/>
      <c r="CR4" s="392"/>
      <c r="CS4" s="393"/>
      <c r="CT4" s="391" t="s">
        <v>153</v>
      </c>
      <c r="CU4" s="392"/>
      <c r="CV4" s="392"/>
      <c r="CW4" s="393"/>
      <c r="CX4" s="391" t="s">
        <v>154</v>
      </c>
      <c r="CY4" s="392"/>
      <c r="CZ4" s="392"/>
      <c r="DA4" s="393"/>
      <c r="DB4" s="391" t="s">
        <v>155</v>
      </c>
      <c r="DC4" s="392"/>
      <c r="DD4" s="392"/>
      <c r="DE4" s="393"/>
    </row>
    <row r="5" spans="1:109" s="20" customFormat="1" ht="24" customHeight="1">
      <c r="A5" s="353"/>
      <c r="B5" s="354" t="s">
        <v>19</v>
      </c>
      <c r="C5" s="355" t="s">
        <v>412</v>
      </c>
      <c r="D5" s="355" t="s">
        <v>229</v>
      </c>
      <c r="E5" s="356" t="s">
        <v>231</v>
      </c>
      <c r="F5" s="354" t="s">
        <v>19</v>
      </c>
      <c r="G5" s="355" t="s">
        <v>412</v>
      </c>
      <c r="H5" s="355" t="s">
        <v>229</v>
      </c>
      <c r="I5" s="356" t="s">
        <v>231</v>
      </c>
      <c r="J5" s="354" t="s">
        <v>19</v>
      </c>
      <c r="K5" s="355" t="s">
        <v>412</v>
      </c>
      <c r="L5" s="355" t="s">
        <v>229</v>
      </c>
      <c r="M5" s="356" t="s">
        <v>231</v>
      </c>
      <c r="N5" s="354" t="s">
        <v>19</v>
      </c>
      <c r="O5" s="355" t="s">
        <v>412</v>
      </c>
      <c r="P5" s="355" t="s">
        <v>229</v>
      </c>
      <c r="Q5" s="356" t="s">
        <v>231</v>
      </c>
      <c r="R5" s="354" t="s">
        <v>19</v>
      </c>
      <c r="S5" s="355" t="s">
        <v>412</v>
      </c>
      <c r="T5" s="355" t="s">
        <v>229</v>
      </c>
      <c r="U5" s="356" t="s">
        <v>231</v>
      </c>
      <c r="V5" s="354" t="s">
        <v>19</v>
      </c>
      <c r="W5" s="355" t="s">
        <v>412</v>
      </c>
      <c r="X5" s="355" t="s">
        <v>229</v>
      </c>
      <c r="Y5" s="356" t="s">
        <v>231</v>
      </c>
      <c r="Z5" s="354" t="s">
        <v>19</v>
      </c>
      <c r="AA5" s="355" t="s">
        <v>412</v>
      </c>
      <c r="AB5" s="355" t="s">
        <v>229</v>
      </c>
      <c r="AC5" s="356" t="s">
        <v>231</v>
      </c>
      <c r="AD5" s="354" t="s">
        <v>19</v>
      </c>
      <c r="AE5" s="355" t="s">
        <v>412</v>
      </c>
      <c r="AF5" s="355" t="s">
        <v>229</v>
      </c>
      <c r="AG5" s="356" t="s">
        <v>231</v>
      </c>
      <c r="AH5" s="355" t="s">
        <v>19</v>
      </c>
      <c r="AI5" s="355" t="s">
        <v>412</v>
      </c>
      <c r="AJ5" s="355" t="s">
        <v>229</v>
      </c>
      <c r="AK5" s="356" t="s">
        <v>231</v>
      </c>
      <c r="AL5" s="354" t="s">
        <v>19</v>
      </c>
      <c r="AM5" s="355" t="s">
        <v>412</v>
      </c>
      <c r="AN5" s="355" t="s">
        <v>229</v>
      </c>
      <c r="AO5" s="356" t="s">
        <v>231</v>
      </c>
      <c r="AP5" s="354" t="s">
        <v>19</v>
      </c>
      <c r="AQ5" s="355" t="s">
        <v>412</v>
      </c>
      <c r="AR5" s="355" t="s">
        <v>229</v>
      </c>
      <c r="AS5" s="356" t="s">
        <v>231</v>
      </c>
      <c r="AT5" s="354" t="s">
        <v>19</v>
      </c>
      <c r="AU5" s="355" t="s">
        <v>412</v>
      </c>
      <c r="AV5" s="355" t="s">
        <v>229</v>
      </c>
      <c r="AW5" s="356" t="s">
        <v>231</v>
      </c>
      <c r="AX5" s="354" t="s">
        <v>20</v>
      </c>
      <c r="AY5" s="355" t="s">
        <v>412</v>
      </c>
      <c r="AZ5" s="355" t="s">
        <v>229</v>
      </c>
      <c r="BA5" s="355" t="s">
        <v>231</v>
      </c>
      <c r="BB5" s="354" t="s">
        <v>20</v>
      </c>
      <c r="BC5" s="355" t="s">
        <v>412</v>
      </c>
      <c r="BD5" s="355" t="s">
        <v>229</v>
      </c>
      <c r="BE5" s="356" t="s">
        <v>231</v>
      </c>
      <c r="BF5" s="354" t="s">
        <v>20</v>
      </c>
      <c r="BG5" s="355" t="s">
        <v>412</v>
      </c>
      <c r="BH5" s="355" t="s">
        <v>229</v>
      </c>
      <c r="BI5" s="356" t="s">
        <v>231</v>
      </c>
      <c r="BJ5" s="354" t="s">
        <v>20</v>
      </c>
      <c r="BK5" s="355" t="s">
        <v>412</v>
      </c>
      <c r="BL5" s="355" t="s">
        <v>229</v>
      </c>
      <c r="BM5" s="356" t="s">
        <v>231</v>
      </c>
      <c r="BN5" s="354" t="s">
        <v>20</v>
      </c>
      <c r="BO5" s="355" t="s">
        <v>412</v>
      </c>
      <c r="BP5" s="355" t="s">
        <v>229</v>
      </c>
      <c r="BQ5" s="356" t="s">
        <v>231</v>
      </c>
      <c r="BR5" s="354" t="s">
        <v>20</v>
      </c>
      <c r="BS5" s="355" t="s">
        <v>412</v>
      </c>
      <c r="BT5" s="355" t="s">
        <v>229</v>
      </c>
      <c r="BU5" s="356" t="s">
        <v>231</v>
      </c>
      <c r="BV5" s="354" t="s">
        <v>20</v>
      </c>
      <c r="BW5" s="355" t="s">
        <v>412</v>
      </c>
      <c r="BX5" s="355" t="s">
        <v>229</v>
      </c>
      <c r="BY5" s="356" t="s">
        <v>231</v>
      </c>
      <c r="BZ5" s="354" t="s">
        <v>20</v>
      </c>
      <c r="CA5" s="355" t="s">
        <v>412</v>
      </c>
      <c r="CB5" s="355" t="s">
        <v>229</v>
      </c>
      <c r="CC5" s="355" t="s">
        <v>231</v>
      </c>
      <c r="CD5" s="354" t="s">
        <v>20</v>
      </c>
      <c r="CE5" s="355" t="s">
        <v>412</v>
      </c>
      <c r="CF5" s="355" t="s">
        <v>229</v>
      </c>
      <c r="CG5" s="356" t="s">
        <v>231</v>
      </c>
      <c r="CH5" s="354" t="s">
        <v>20</v>
      </c>
      <c r="CI5" s="355" t="s">
        <v>412</v>
      </c>
      <c r="CJ5" s="355" t="s">
        <v>229</v>
      </c>
      <c r="CK5" s="356" t="s">
        <v>231</v>
      </c>
      <c r="CL5" s="354" t="s">
        <v>20</v>
      </c>
      <c r="CM5" s="355" t="s">
        <v>412</v>
      </c>
      <c r="CN5" s="355" t="s">
        <v>229</v>
      </c>
      <c r="CO5" s="356" t="s">
        <v>231</v>
      </c>
      <c r="CP5" s="354" t="s">
        <v>20</v>
      </c>
      <c r="CQ5" s="355" t="s">
        <v>412</v>
      </c>
      <c r="CR5" s="355" t="s">
        <v>229</v>
      </c>
      <c r="CS5" s="356" t="s">
        <v>231</v>
      </c>
      <c r="CT5" s="354" t="s">
        <v>20</v>
      </c>
      <c r="CU5" s="355" t="s">
        <v>412</v>
      </c>
      <c r="CV5" s="355" t="s">
        <v>229</v>
      </c>
      <c r="CW5" s="356" t="s">
        <v>231</v>
      </c>
      <c r="CX5" s="354" t="s">
        <v>20</v>
      </c>
      <c r="CY5" s="355" t="s">
        <v>412</v>
      </c>
      <c r="CZ5" s="355" t="s">
        <v>229</v>
      </c>
      <c r="DA5" s="356" t="s">
        <v>231</v>
      </c>
      <c r="DB5" s="357" t="s">
        <v>21</v>
      </c>
      <c r="DC5" s="358" t="s">
        <v>22</v>
      </c>
      <c r="DD5" s="358" t="s">
        <v>48</v>
      </c>
      <c r="DE5" s="359" t="s">
        <v>23</v>
      </c>
    </row>
    <row r="6" spans="1:109" s="22" customFormat="1" ht="27" customHeight="1">
      <c r="A6" s="360" t="s">
        <v>54</v>
      </c>
      <c r="B6" s="361">
        <v>529</v>
      </c>
      <c r="C6" s="362">
        <v>983</v>
      </c>
      <c r="D6" s="362">
        <v>787</v>
      </c>
      <c r="E6" s="363">
        <f>ROUND(D6/C6*100,2)</f>
        <v>80.06</v>
      </c>
      <c r="F6" s="361"/>
      <c r="G6" s="362"/>
      <c r="H6" s="362"/>
      <c r="I6" s="363"/>
      <c r="J6" s="361">
        <v>1900</v>
      </c>
      <c r="K6" s="362">
        <v>1900</v>
      </c>
      <c r="L6" s="362">
        <v>1894</v>
      </c>
      <c r="M6" s="363">
        <f aca="true" t="shared" si="0" ref="M6:M15">ROUND(L6/K6*100,2)</f>
        <v>99.68</v>
      </c>
      <c r="N6" s="361"/>
      <c r="O6" s="362"/>
      <c r="P6" s="362"/>
      <c r="Q6" s="363"/>
      <c r="R6" s="361"/>
      <c r="S6" s="362"/>
      <c r="T6" s="362"/>
      <c r="U6" s="363"/>
      <c r="V6" s="361"/>
      <c r="W6" s="362"/>
      <c r="X6" s="362"/>
      <c r="Y6" s="363"/>
      <c r="Z6" s="361"/>
      <c r="AA6" s="362"/>
      <c r="AB6" s="362"/>
      <c r="AC6" s="363"/>
      <c r="AD6" s="364">
        <f aca="true" t="shared" si="1" ref="AD6:AF8">B6+F6+J6+N6+R6+V6+Z6</f>
        <v>2429</v>
      </c>
      <c r="AE6" s="365">
        <f t="shared" si="1"/>
        <v>2883</v>
      </c>
      <c r="AF6" s="365">
        <f t="shared" si="1"/>
        <v>2681</v>
      </c>
      <c r="AG6" s="363">
        <f aca="true" t="shared" si="2" ref="AG6:AG15">ROUND(AF6/AE6*100,2)</f>
        <v>92.99</v>
      </c>
      <c r="AH6" s="362"/>
      <c r="AI6" s="362">
        <v>2415</v>
      </c>
      <c r="AJ6" s="362">
        <v>2415</v>
      </c>
      <c r="AK6" s="363">
        <f>ROUND(AJ6/AI6*100,2)</f>
        <v>100</v>
      </c>
      <c r="AL6" s="361">
        <f>CX6-AD6-AH6</f>
        <v>30595</v>
      </c>
      <c r="AM6" s="362">
        <v>32474</v>
      </c>
      <c r="AN6" s="362">
        <v>32474</v>
      </c>
      <c r="AO6" s="363">
        <f aca="true" t="shared" si="3" ref="AO6:AO12">ROUND(AN6/AM6*100,2)</f>
        <v>100</v>
      </c>
      <c r="AP6" s="364">
        <f aca="true" t="shared" si="4" ref="AP6:AR8">AH6+AL6</f>
        <v>30595</v>
      </c>
      <c r="AQ6" s="365">
        <f t="shared" si="4"/>
        <v>34889</v>
      </c>
      <c r="AR6" s="365">
        <f t="shared" si="4"/>
        <v>34889</v>
      </c>
      <c r="AS6" s="363">
        <f aca="true" t="shared" si="5" ref="AS6:AS15">ROUND(AR6/AQ6*100,2)</f>
        <v>100</v>
      </c>
      <c r="AT6" s="364">
        <f aca="true" t="shared" si="6" ref="AT6:AT15">AD6+AP6</f>
        <v>33024</v>
      </c>
      <c r="AU6" s="365">
        <f aca="true" t="shared" si="7" ref="AU6:AU15">AE6+AQ6</f>
        <v>37772</v>
      </c>
      <c r="AV6" s="365">
        <f aca="true" t="shared" si="8" ref="AV6:AV15">AF6+AR6</f>
        <v>37570</v>
      </c>
      <c r="AW6" s="363">
        <f aca="true" t="shared" si="9" ref="AW6:AW15">ROUND(AV6/AU6*100,2)</f>
        <v>99.47</v>
      </c>
      <c r="AX6" s="361">
        <v>15802</v>
      </c>
      <c r="AY6" s="362">
        <v>16813</v>
      </c>
      <c r="AZ6" s="362">
        <v>15984</v>
      </c>
      <c r="BA6" s="366">
        <f aca="true" t="shared" si="10" ref="BA6:BA15">ROUND(AZ6/AY6*100,2)</f>
        <v>95.07</v>
      </c>
      <c r="BB6" s="361">
        <v>4289</v>
      </c>
      <c r="BC6" s="362">
        <v>4516</v>
      </c>
      <c r="BD6" s="362">
        <v>4441</v>
      </c>
      <c r="BE6" s="363">
        <f aca="true" t="shared" si="11" ref="BE6:BE15">ROUND(BD6/BC6*100,2)</f>
        <v>98.34</v>
      </c>
      <c r="BF6" s="361">
        <f>9433+3350</f>
        <v>12783</v>
      </c>
      <c r="BG6" s="362">
        <v>14729</v>
      </c>
      <c r="BH6" s="362">
        <v>14458</v>
      </c>
      <c r="BI6" s="363">
        <f aca="true" t="shared" si="12" ref="BI6:BI15">ROUND(BH6/BG6*100,2)</f>
        <v>98.16</v>
      </c>
      <c r="BJ6" s="361"/>
      <c r="BK6" s="362"/>
      <c r="BL6" s="362"/>
      <c r="BM6" s="363"/>
      <c r="BN6" s="361"/>
      <c r="BO6" s="362"/>
      <c r="BP6" s="362"/>
      <c r="BQ6" s="363"/>
      <c r="BR6" s="361"/>
      <c r="BS6" s="362"/>
      <c r="BT6" s="362"/>
      <c r="BU6" s="363"/>
      <c r="BV6" s="361">
        <f aca="true" t="shared" si="13" ref="BV6:BX8">BN6+BR6</f>
        <v>0</v>
      </c>
      <c r="BW6" s="362">
        <f t="shared" si="13"/>
        <v>0</v>
      </c>
      <c r="BX6" s="362">
        <f t="shared" si="13"/>
        <v>0</v>
      </c>
      <c r="BY6" s="363"/>
      <c r="BZ6" s="361">
        <v>150</v>
      </c>
      <c r="CA6" s="362">
        <v>1714</v>
      </c>
      <c r="CB6" s="362">
        <v>1379</v>
      </c>
      <c r="CC6" s="366">
        <f aca="true" t="shared" si="14" ref="CC6:CC15">ROUND(CB6/CA6*100,2)</f>
        <v>80.46</v>
      </c>
      <c r="CD6" s="361"/>
      <c r="CE6" s="362"/>
      <c r="CF6" s="362"/>
      <c r="CG6" s="363"/>
      <c r="CH6" s="361"/>
      <c r="CI6" s="362"/>
      <c r="CJ6" s="362"/>
      <c r="CK6" s="363"/>
      <c r="CL6" s="361"/>
      <c r="CM6" s="362"/>
      <c r="CN6" s="362"/>
      <c r="CO6" s="363"/>
      <c r="CP6" s="361">
        <f aca="true" t="shared" si="15" ref="CP6:CR8">CH6+CL6</f>
        <v>0</v>
      </c>
      <c r="CQ6" s="362">
        <f t="shared" si="15"/>
        <v>0</v>
      </c>
      <c r="CR6" s="362">
        <f t="shared" si="15"/>
        <v>0</v>
      </c>
      <c r="CS6" s="363"/>
      <c r="CT6" s="361"/>
      <c r="CU6" s="362"/>
      <c r="CV6" s="362"/>
      <c r="CW6" s="363"/>
      <c r="CX6" s="364">
        <f aca="true" t="shared" si="16" ref="CX6:CX15">AX6+BB6+BF6+BJ6+BV6+BZ6+CD6+CP6+CT6</f>
        <v>33024</v>
      </c>
      <c r="CY6" s="365">
        <f aca="true" t="shared" si="17" ref="CY6:CY15">AY6+BC6+BG6+BK6+BW6+CA6+CE6+CQ6+CU6</f>
        <v>37772</v>
      </c>
      <c r="CZ6" s="365">
        <f aca="true" t="shared" si="18" ref="CZ6:CZ15">AZ6+BD6+BH6+BL6+BX6+CB6+CF6+CR6+CV6</f>
        <v>36262</v>
      </c>
      <c r="DA6" s="363">
        <f aca="true" t="shared" si="19" ref="DA6:DA15">ROUND(CZ6/CY6*100,2)</f>
        <v>96</v>
      </c>
      <c r="DB6" s="375">
        <v>7</v>
      </c>
      <c r="DC6" s="366">
        <v>0.75</v>
      </c>
      <c r="DD6" s="366">
        <v>1</v>
      </c>
      <c r="DE6" s="348">
        <f>SUM(DB6:DD6)</f>
        <v>8.75</v>
      </c>
    </row>
    <row r="7" spans="1:109" ht="27" customHeight="1">
      <c r="A7" s="339" t="s">
        <v>55</v>
      </c>
      <c r="B7" s="326">
        <v>2844</v>
      </c>
      <c r="C7" s="23">
        <v>24632</v>
      </c>
      <c r="D7" s="23">
        <v>23224</v>
      </c>
      <c r="E7" s="327">
        <f>ROUND(D7/C7*100,2)</f>
        <v>94.28</v>
      </c>
      <c r="F7" s="326"/>
      <c r="G7" s="23"/>
      <c r="H7" s="23"/>
      <c r="I7" s="327"/>
      <c r="J7" s="326">
        <v>66266</v>
      </c>
      <c r="K7" s="23">
        <v>66266</v>
      </c>
      <c r="L7" s="23">
        <v>66362</v>
      </c>
      <c r="M7" s="327">
        <f t="shared" si="0"/>
        <v>100.14</v>
      </c>
      <c r="N7" s="326">
        <v>1039</v>
      </c>
      <c r="O7" s="23">
        <v>11930</v>
      </c>
      <c r="P7" s="23">
        <v>11773</v>
      </c>
      <c r="Q7" s="327">
        <f>ROUND(P7/O7*100,2)</f>
        <v>98.68</v>
      </c>
      <c r="R7" s="326"/>
      <c r="S7" s="23"/>
      <c r="T7" s="23"/>
      <c r="U7" s="327"/>
      <c r="V7" s="326"/>
      <c r="W7" s="23"/>
      <c r="X7" s="23"/>
      <c r="Y7" s="327"/>
      <c r="Z7" s="326"/>
      <c r="AA7" s="23"/>
      <c r="AB7" s="23"/>
      <c r="AC7" s="327"/>
      <c r="AD7" s="328">
        <f t="shared" si="1"/>
        <v>70149</v>
      </c>
      <c r="AE7" s="21">
        <f t="shared" si="1"/>
        <v>102828</v>
      </c>
      <c r="AF7" s="21">
        <f t="shared" si="1"/>
        <v>101359</v>
      </c>
      <c r="AG7" s="327">
        <f t="shared" si="2"/>
        <v>98.57</v>
      </c>
      <c r="AH7" s="23"/>
      <c r="AI7" s="23">
        <v>387</v>
      </c>
      <c r="AJ7" s="23">
        <v>387</v>
      </c>
      <c r="AK7" s="327">
        <f>ROUND(AJ7/AI7*100,2)</f>
        <v>100</v>
      </c>
      <c r="AL7" s="326">
        <f>CX7-AD7-AH7</f>
        <v>30638</v>
      </c>
      <c r="AM7" s="23">
        <v>33716</v>
      </c>
      <c r="AN7" s="23">
        <v>33716</v>
      </c>
      <c r="AO7" s="327">
        <f t="shared" si="3"/>
        <v>100</v>
      </c>
      <c r="AP7" s="328">
        <f t="shared" si="4"/>
        <v>30638</v>
      </c>
      <c r="AQ7" s="21">
        <f t="shared" si="4"/>
        <v>34103</v>
      </c>
      <c r="AR7" s="21">
        <f t="shared" si="4"/>
        <v>34103</v>
      </c>
      <c r="AS7" s="327">
        <f t="shared" si="5"/>
        <v>100</v>
      </c>
      <c r="AT7" s="328">
        <f t="shared" si="6"/>
        <v>100787</v>
      </c>
      <c r="AU7" s="21">
        <f t="shared" si="7"/>
        <v>136931</v>
      </c>
      <c r="AV7" s="21">
        <f t="shared" si="8"/>
        <v>135462</v>
      </c>
      <c r="AW7" s="327">
        <f t="shared" si="9"/>
        <v>98.93</v>
      </c>
      <c r="AX7" s="326">
        <v>30941</v>
      </c>
      <c r="AY7" s="23">
        <v>32863</v>
      </c>
      <c r="AZ7" s="23">
        <v>32213</v>
      </c>
      <c r="BA7" s="44">
        <f t="shared" si="10"/>
        <v>98.02</v>
      </c>
      <c r="BB7" s="326">
        <v>8576</v>
      </c>
      <c r="BC7" s="23">
        <v>9039</v>
      </c>
      <c r="BD7" s="23">
        <v>8664</v>
      </c>
      <c r="BE7" s="327">
        <f t="shared" si="11"/>
        <v>95.85</v>
      </c>
      <c r="BF7" s="326">
        <v>60270</v>
      </c>
      <c r="BG7" s="23">
        <v>91493</v>
      </c>
      <c r="BH7" s="23">
        <v>90917</v>
      </c>
      <c r="BI7" s="327">
        <f t="shared" si="12"/>
        <v>99.37</v>
      </c>
      <c r="BJ7" s="326"/>
      <c r="BK7" s="23"/>
      <c r="BL7" s="23"/>
      <c r="BM7" s="327"/>
      <c r="BN7" s="326"/>
      <c r="BO7" s="23">
        <v>500</v>
      </c>
      <c r="BP7" s="23">
        <v>500</v>
      </c>
      <c r="BQ7" s="327">
        <f>ROUND(BP7/BO7*100,2)</f>
        <v>100</v>
      </c>
      <c r="BR7" s="326"/>
      <c r="BS7" s="23"/>
      <c r="BT7" s="23"/>
      <c r="BU7" s="327"/>
      <c r="BV7" s="326">
        <f t="shared" si="13"/>
        <v>0</v>
      </c>
      <c r="BW7" s="23">
        <f t="shared" si="13"/>
        <v>500</v>
      </c>
      <c r="BX7" s="23">
        <f t="shared" si="13"/>
        <v>500</v>
      </c>
      <c r="BY7" s="327">
        <f>ROUND(BX7/BW7*100,2)</f>
        <v>100</v>
      </c>
      <c r="BZ7" s="326">
        <v>1000</v>
      </c>
      <c r="CA7" s="23">
        <v>3036</v>
      </c>
      <c r="CB7" s="23">
        <v>2949</v>
      </c>
      <c r="CC7" s="44">
        <f t="shared" si="14"/>
        <v>97.13</v>
      </c>
      <c r="CD7" s="326"/>
      <c r="CE7" s="23"/>
      <c r="CF7" s="23"/>
      <c r="CG7" s="327"/>
      <c r="CH7" s="326"/>
      <c r="CI7" s="23"/>
      <c r="CJ7" s="23"/>
      <c r="CK7" s="327"/>
      <c r="CL7" s="326"/>
      <c r="CM7" s="23"/>
      <c r="CN7" s="23"/>
      <c r="CO7" s="327"/>
      <c r="CP7" s="326">
        <f t="shared" si="15"/>
        <v>0</v>
      </c>
      <c r="CQ7" s="23">
        <f t="shared" si="15"/>
        <v>0</v>
      </c>
      <c r="CR7" s="23">
        <f t="shared" si="15"/>
        <v>0</v>
      </c>
      <c r="CS7" s="327"/>
      <c r="CT7" s="326"/>
      <c r="CU7" s="23"/>
      <c r="CV7" s="23"/>
      <c r="CW7" s="327"/>
      <c r="CX7" s="328">
        <f t="shared" si="16"/>
        <v>100787</v>
      </c>
      <c r="CY7" s="21">
        <f t="shared" si="17"/>
        <v>136931</v>
      </c>
      <c r="CZ7" s="21">
        <f t="shared" si="18"/>
        <v>135243</v>
      </c>
      <c r="DA7" s="327">
        <f t="shared" si="19"/>
        <v>98.77</v>
      </c>
      <c r="DB7" s="376">
        <v>5</v>
      </c>
      <c r="DC7" s="44">
        <v>9</v>
      </c>
      <c r="DD7" s="44">
        <v>3</v>
      </c>
      <c r="DE7" s="327">
        <f>SUM(DB7:DD7)</f>
        <v>17</v>
      </c>
    </row>
    <row r="8" spans="1:109" ht="27" customHeight="1">
      <c r="A8" s="340" t="s">
        <v>159</v>
      </c>
      <c r="B8" s="326"/>
      <c r="C8" s="23">
        <v>2386</v>
      </c>
      <c r="D8" s="23">
        <v>2386</v>
      </c>
      <c r="E8" s="327"/>
      <c r="F8" s="326"/>
      <c r="G8" s="23"/>
      <c r="H8" s="23"/>
      <c r="I8" s="327"/>
      <c r="J8" s="326">
        <v>3000</v>
      </c>
      <c r="K8" s="23">
        <v>3201</v>
      </c>
      <c r="L8" s="23">
        <v>3166</v>
      </c>
      <c r="M8" s="327">
        <f t="shared" si="0"/>
        <v>98.91</v>
      </c>
      <c r="N8" s="326"/>
      <c r="O8" s="23"/>
      <c r="P8" s="23"/>
      <c r="Q8" s="327"/>
      <c r="R8" s="326"/>
      <c r="S8" s="23"/>
      <c r="T8" s="23"/>
      <c r="U8" s="327"/>
      <c r="V8" s="326"/>
      <c r="W8" s="23"/>
      <c r="X8" s="23"/>
      <c r="Y8" s="327"/>
      <c r="Z8" s="326"/>
      <c r="AA8" s="23"/>
      <c r="AB8" s="23"/>
      <c r="AC8" s="327"/>
      <c r="AD8" s="328">
        <f t="shared" si="1"/>
        <v>3000</v>
      </c>
      <c r="AE8" s="21">
        <f t="shared" si="1"/>
        <v>5587</v>
      </c>
      <c r="AF8" s="21">
        <f t="shared" si="1"/>
        <v>5552</v>
      </c>
      <c r="AG8" s="327">
        <f t="shared" si="2"/>
        <v>99.37</v>
      </c>
      <c r="AH8" s="23"/>
      <c r="AI8" s="23"/>
      <c r="AJ8" s="23"/>
      <c r="AK8" s="327"/>
      <c r="AL8" s="326">
        <f>CX8-AD8-AH8</f>
        <v>36295</v>
      </c>
      <c r="AM8" s="23">
        <v>37985</v>
      </c>
      <c r="AN8" s="23">
        <v>37985</v>
      </c>
      <c r="AO8" s="327">
        <f t="shared" si="3"/>
        <v>100</v>
      </c>
      <c r="AP8" s="328">
        <f t="shared" si="4"/>
        <v>36295</v>
      </c>
      <c r="AQ8" s="21">
        <f t="shared" si="4"/>
        <v>37985</v>
      </c>
      <c r="AR8" s="21">
        <f t="shared" si="4"/>
        <v>37985</v>
      </c>
      <c r="AS8" s="327">
        <f t="shared" si="5"/>
        <v>100</v>
      </c>
      <c r="AT8" s="328">
        <f t="shared" si="6"/>
        <v>39295</v>
      </c>
      <c r="AU8" s="21">
        <f t="shared" si="7"/>
        <v>43572</v>
      </c>
      <c r="AV8" s="21">
        <f t="shared" si="8"/>
        <v>43537</v>
      </c>
      <c r="AW8" s="327">
        <f t="shared" si="9"/>
        <v>99.92</v>
      </c>
      <c r="AX8" s="326">
        <v>22408</v>
      </c>
      <c r="AY8" s="23">
        <v>23426</v>
      </c>
      <c r="AZ8" s="23">
        <v>19143</v>
      </c>
      <c r="BA8" s="44">
        <f t="shared" si="10"/>
        <v>81.72</v>
      </c>
      <c r="BB8" s="326">
        <v>5934</v>
      </c>
      <c r="BC8" s="23">
        <v>6159</v>
      </c>
      <c r="BD8" s="23">
        <v>5105</v>
      </c>
      <c r="BE8" s="327">
        <f t="shared" si="11"/>
        <v>82.89</v>
      </c>
      <c r="BF8" s="326">
        <v>10573</v>
      </c>
      <c r="BG8" s="23">
        <v>11123</v>
      </c>
      <c r="BH8" s="23">
        <v>8201</v>
      </c>
      <c r="BI8" s="327">
        <f t="shared" si="12"/>
        <v>73.73</v>
      </c>
      <c r="BJ8" s="326"/>
      <c r="BK8" s="23"/>
      <c r="BL8" s="23"/>
      <c r="BM8" s="327"/>
      <c r="BN8" s="326"/>
      <c r="BO8" s="23"/>
      <c r="BP8" s="23"/>
      <c r="BQ8" s="327"/>
      <c r="BR8" s="326"/>
      <c r="BS8" s="23"/>
      <c r="BT8" s="23"/>
      <c r="BU8" s="327"/>
      <c r="BV8" s="326">
        <f t="shared" si="13"/>
        <v>0</v>
      </c>
      <c r="BW8" s="23">
        <f t="shared" si="13"/>
        <v>0</v>
      </c>
      <c r="BX8" s="23">
        <f t="shared" si="13"/>
        <v>0</v>
      </c>
      <c r="BY8" s="327"/>
      <c r="BZ8" s="326">
        <v>380</v>
      </c>
      <c r="CA8" s="23">
        <v>2864</v>
      </c>
      <c r="CB8" s="23">
        <v>2861</v>
      </c>
      <c r="CC8" s="44">
        <f t="shared" si="14"/>
        <v>99.9</v>
      </c>
      <c r="CD8" s="326"/>
      <c r="CE8" s="23"/>
      <c r="CF8" s="23"/>
      <c r="CG8" s="327"/>
      <c r="CH8" s="326"/>
      <c r="CI8" s="23"/>
      <c r="CJ8" s="23"/>
      <c r="CK8" s="327"/>
      <c r="CL8" s="326"/>
      <c r="CM8" s="23"/>
      <c r="CN8" s="23"/>
      <c r="CO8" s="327"/>
      <c r="CP8" s="326">
        <f t="shared" si="15"/>
        <v>0</v>
      </c>
      <c r="CQ8" s="23">
        <f t="shared" si="15"/>
        <v>0</v>
      </c>
      <c r="CR8" s="23">
        <f t="shared" si="15"/>
        <v>0</v>
      </c>
      <c r="CS8" s="327"/>
      <c r="CT8" s="326"/>
      <c r="CU8" s="23"/>
      <c r="CV8" s="23"/>
      <c r="CW8" s="327"/>
      <c r="CX8" s="328">
        <f t="shared" si="16"/>
        <v>39295</v>
      </c>
      <c r="CY8" s="21">
        <f t="shared" si="17"/>
        <v>43572</v>
      </c>
      <c r="CZ8" s="21">
        <f t="shared" si="18"/>
        <v>35310</v>
      </c>
      <c r="DA8" s="327">
        <f t="shared" si="19"/>
        <v>81.04</v>
      </c>
      <c r="DB8" s="376">
        <v>4</v>
      </c>
      <c r="DC8" s="44">
        <v>8</v>
      </c>
      <c r="DD8" s="44">
        <v>2</v>
      </c>
      <c r="DE8" s="327">
        <f>SUM(DB8:DD8)</f>
        <v>14</v>
      </c>
    </row>
    <row r="9" spans="1:109" s="22" customFormat="1" ht="27" customHeight="1">
      <c r="A9" s="341" t="s">
        <v>24</v>
      </c>
      <c r="B9" s="328">
        <f>SUM(B6:B8)</f>
        <v>3373</v>
      </c>
      <c r="C9" s="21">
        <f>SUM(C6:C8)</f>
        <v>28001</v>
      </c>
      <c r="D9" s="21">
        <f>SUM(D6:D8)</f>
        <v>26397</v>
      </c>
      <c r="E9" s="329">
        <f aca="true" t="shared" si="20" ref="E9:E15">ROUND(D9/C9*100,2)</f>
        <v>94.27</v>
      </c>
      <c r="F9" s="328">
        <f>SUM(F6:F8)</f>
        <v>0</v>
      </c>
      <c r="G9" s="21">
        <f>SUM(G6:G8)</f>
        <v>0</v>
      </c>
      <c r="H9" s="21">
        <f>SUM(H6:H8)</f>
        <v>0</v>
      </c>
      <c r="I9" s="329"/>
      <c r="J9" s="328">
        <f>SUM(J6:J8)</f>
        <v>71166</v>
      </c>
      <c r="K9" s="21">
        <f>SUM(K6:K8)</f>
        <v>71367</v>
      </c>
      <c r="L9" s="21">
        <f>SUM(L6:L8)</f>
        <v>71422</v>
      </c>
      <c r="M9" s="329">
        <f t="shared" si="0"/>
        <v>100.08</v>
      </c>
      <c r="N9" s="328">
        <f>SUM(N6:N8)</f>
        <v>1039</v>
      </c>
      <c r="O9" s="21">
        <f>SUM(O6:O8)</f>
        <v>11930</v>
      </c>
      <c r="P9" s="21">
        <f>SUM(P6:P8)</f>
        <v>11773</v>
      </c>
      <c r="Q9" s="329">
        <f>ROUND(P9/O9*100,2)</f>
        <v>98.68</v>
      </c>
      <c r="R9" s="328">
        <f>SUM(R6:R8)</f>
        <v>0</v>
      </c>
      <c r="S9" s="21">
        <f>SUM(S6:S8)</f>
        <v>0</v>
      </c>
      <c r="T9" s="21">
        <f>SUM(T6:T8)</f>
        <v>0</v>
      </c>
      <c r="U9" s="329"/>
      <c r="V9" s="328">
        <f>SUM(V6:V8)</f>
        <v>0</v>
      </c>
      <c r="W9" s="21">
        <f>SUM(W6:W8)</f>
        <v>0</v>
      </c>
      <c r="X9" s="21">
        <f>SUM(X6:X8)</f>
        <v>0</v>
      </c>
      <c r="Y9" s="329"/>
      <c r="Z9" s="328">
        <f>SUM(Z6:Z8)</f>
        <v>0</v>
      </c>
      <c r="AA9" s="21">
        <f>SUM(AA6:AA8)</f>
        <v>0</v>
      </c>
      <c r="AB9" s="21">
        <f>SUM(AB6:AB8)</f>
        <v>0</v>
      </c>
      <c r="AC9" s="329"/>
      <c r="AD9" s="328">
        <f>SUM(AD6:AD8)</f>
        <v>75578</v>
      </c>
      <c r="AE9" s="21">
        <f>SUM(AE6:AE8)</f>
        <v>111298</v>
      </c>
      <c r="AF9" s="21">
        <f>SUM(AF6:AF8)</f>
        <v>109592</v>
      </c>
      <c r="AG9" s="329">
        <f t="shared" si="2"/>
        <v>98.47</v>
      </c>
      <c r="AH9" s="21">
        <f>SUM(AH6:AH8)</f>
        <v>0</v>
      </c>
      <c r="AI9" s="21">
        <f>SUM(AI6:AI8)</f>
        <v>2802</v>
      </c>
      <c r="AJ9" s="21">
        <f>SUM(AJ6:AJ8)</f>
        <v>2802</v>
      </c>
      <c r="AK9" s="329">
        <f aca="true" t="shared" si="21" ref="AK9:AK15">ROUND(AJ9/AI9*100,2)</f>
        <v>100</v>
      </c>
      <c r="AL9" s="328">
        <f>SUM(AL6:AL8)</f>
        <v>97528</v>
      </c>
      <c r="AM9" s="21">
        <f>SUM(AM6:AM8)</f>
        <v>104175</v>
      </c>
      <c r="AN9" s="21">
        <f>SUM(AN6:AN8)</f>
        <v>104175</v>
      </c>
      <c r="AO9" s="329">
        <f t="shared" si="3"/>
        <v>100</v>
      </c>
      <c r="AP9" s="328">
        <f>SUM(AP6:AP8)</f>
        <v>97528</v>
      </c>
      <c r="AQ9" s="21">
        <f>SUM(AQ6:AQ8)</f>
        <v>106977</v>
      </c>
      <c r="AR9" s="21">
        <f>SUM(AR6:AR8)</f>
        <v>106977</v>
      </c>
      <c r="AS9" s="329">
        <f t="shared" si="5"/>
        <v>100</v>
      </c>
      <c r="AT9" s="328">
        <f t="shared" si="6"/>
        <v>173106</v>
      </c>
      <c r="AU9" s="21">
        <f t="shared" si="7"/>
        <v>218275</v>
      </c>
      <c r="AV9" s="21">
        <f t="shared" si="8"/>
        <v>216569</v>
      </c>
      <c r="AW9" s="329">
        <f t="shared" si="9"/>
        <v>99.22</v>
      </c>
      <c r="AX9" s="328">
        <f>SUM(AX6:AX8)</f>
        <v>69151</v>
      </c>
      <c r="AY9" s="21">
        <f>SUM(AY6:AY8)</f>
        <v>73102</v>
      </c>
      <c r="AZ9" s="21">
        <f>SUM(AZ6:AZ8)</f>
        <v>67340</v>
      </c>
      <c r="BA9" s="43">
        <f t="shared" si="10"/>
        <v>92.12</v>
      </c>
      <c r="BB9" s="328">
        <f>SUM(BB6:BB8)</f>
        <v>18799</v>
      </c>
      <c r="BC9" s="21">
        <f>SUM(BC6:BC8)</f>
        <v>19714</v>
      </c>
      <c r="BD9" s="21">
        <f>SUM(BD6:BD8)</f>
        <v>18210</v>
      </c>
      <c r="BE9" s="329">
        <f t="shared" si="11"/>
        <v>92.37</v>
      </c>
      <c r="BF9" s="328">
        <f>SUM(BF6:BF8)</f>
        <v>83626</v>
      </c>
      <c r="BG9" s="21">
        <f>SUM(BG6:BG8)</f>
        <v>117345</v>
      </c>
      <c r="BH9" s="21">
        <f>SUM(BH6:BH8)</f>
        <v>113576</v>
      </c>
      <c r="BI9" s="329">
        <f t="shared" si="12"/>
        <v>96.79</v>
      </c>
      <c r="BJ9" s="328">
        <f>SUM(BJ6:BJ8)</f>
        <v>0</v>
      </c>
      <c r="BK9" s="21">
        <f>SUM(BK6:BK8)</f>
        <v>0</v>
      </c>
      <c r="BL9" s="21">
        <f>SUM(BL6:BL8)</f>
        <v>0</v>
      </c>
      <c r="BM9" s="329"/>
      <c r="BN9" s="328">
        <f>SUM(BN6:BN8)</f>
        <v>0</v>
      </c>
      <c r="BO9" s="21">
        <f>SUM(BO6:BO8)</f>
        <v>500</v>
      </c>
      <c r="BP9" s="21">
        <f>SUM(BP6:BP8)</f>
        <v>500</v>
      </c>
      <c r="BQ9" s="329"/>
      <c r="BR9" s="328">
        <f>SUM(BR6:BR8)</f>
        <v>0</v>
      </c>
      <c r="BS9" s="21">
        <f>SUM(BS6:BS8)</f>
        <v>0</v>
      </c>
      <c r="BT9" s="21">
        <f>SUM(BT6:BT8)</f>
        <v>0</v>
      </c>
      <c r="BU9" s="329"/>
      <c r="BV9" s="328">
        <f>SUM(BV6:BV8)</f>
        <v>0</v>
      </c>
      <c r="BW9" s="21">
        <f>SUM(BW6:BW8)</f>
        <v>500</v>
      </c>
      <c r="BX9" s="21">
        <f>SUM(BX6:BX8)</f>
        <v>500</v>
      </c>
      <c r="BY9" s="327">
        <f aca="true" t="shared" si="22" ref="BY9:BY15">ROUND(BX9/BW9*100,2)</f>
        <v>100</v>
      </c>
      <c r="BZ9" s="328">
        <f>SUM(BZ6:BZ8)</f>
        <v>1530</v>
      </c>
      <c r="CA9" s="21">
        <f>SUM(CA6:CA8)</f>
        <v>7614</v>
      </c>
      <c r="CB9" s="21">
        <f>SUM(CB6:CB8)</f>
        <v>7189</v>
      </c>
      <c r="CC9" s="43">
        <f t="shared" si="14"/>
        <v>94.42</v>
      </c>
      <c r="CD9" s="328">
        <f>SUM(CD6:CD8)</f>
        <v>0</v>
      </c>
      <c r="CE9" s="21">
        <f>SUM(CE6:CE8)</f>
        <v>0</v>
      </c>
      <c r="CF9" s="21">
        <f>SUM(CF6:CF8)</f>
        <v>0</v>
      </c>
      <c r="CG9" s="329"/>
      <c r="CH9" s="328">
        <f>SUM(CH6:CH8)</f>
        <v>0</v>
      </c>
      <c r="CI9" s="21">
        <f>SUM(CI6:CI8)</f>
        <v>0</v>
      </c>
      <c r="CJ9" s="21">
        <f>SUM(CJ6:CJ8)</f>
        <v>0</v>
      </c>
      <c r="CK9" s="329"/>
      <c r="CL9" s="328">
        <f>SUM(CL6:CL8)</f>
        <v>0</v>
      </c>
      <c r="CM9" s="21">
        <f>SUM(CM6:CM8)</f>
        <v>0</v>
      </c>
      <c r="CN9" s="21">
        <f>SUM(CN6:CN8)</f>
        <v>0</v>
      </c>
      <c r="CO9" s="329"/>
      <c r="CP9" s="328">
        <f>SUM(CP6:CP8)</f>
        <v>0</v>
      </c>
      <c r="CQ9" s="21">
        <f>SUM(CQ6:CQ8)</f>
        <v>0</v>
      </c>
      <c r="CR9" s="21">
        <f>SUM(CR6:CR8)</f>
        <v>0</v>
      </c>
      <c r="CS9" s="329"/>
      <c r="CT9" s="328">
        <f>SUM(CT6:CT8)</f>
        <v>0</v>
      </c>
      <c r="CU9" s="21">
        <f>SUM(CU6:CU8)</f>
        <v>0</v>
      </c>
      <c r="CV9" s="21">
        <f>SUM(CV6:CV8)</f>
        <v>0</v>
      </c>
      <c r="CW9" s="329"/>
      <c r="CX9" s="328">
        <f t="shared" si="16"/>
        <v>173106</v>
      </c>
      <c r="CY9" s="21">
        <f t="shared" si="17"/>
        <v>218275</v>
      </c>
      <c r="CZ9" s="21">
        <f t="shared" si="18"/>
        <v>206815</v>
      </c>
      <c r="DA9" s="329">
        <f t="shared" si="19"/>
        <v>94.75</v>
      </c>
      <c r="DB9" s="368">
        <f>SUM(DB6:DB8)</f>
        <v>16</v>
      </c>
      <c r="DC9" s="43">
        <f>SUM(DC6:DC8)</f>
        <v>17.75</v>
      </c>
      <c r="DD9" s="43">
        <f>SUM(DD6:DD8)</f>
        <v>6</v>
      </c>
      <c r="DE9" s="329">
        <f>SUM(DE6:DE8)</f>
        <v>39.75</v>
      </c>
    </row>
    <row r="10" spans="1:109" s="22" customFormat="1" ht="27" customHeight="1">
      <c r="A10" s="339" t="s">
        <v>56</v>
      </c>
      <c r="B10" s="326">
        <v>20645</v>
      </c>
      <c r="C10" s="23">
        <v>24590</v>
      </c>
      <c r="D10" s="23">
        <v>24865</v>
      </c>
      <c r="E10" s="327">
        <f t="shared" si="20"/>
        <v>101.12</v>
      </c>
      <c r="F10" s="326"/>
      <c r="G10" s="23"/>
      <c r="H10" s="23">
        <v>40</v>
      </c>
      <c r="I10" s="327"/>
      <c r="J10" s="326">
        <v>1100</v>
      </c>
      <c r="K10" s="23">
        <v>1100</v>
      </c>
      <c r="L10" s="23">
        <v>2481</v>
      </c>
      <c r="M10" s="327">
        <f t="shared" si="0"/>
        <v>225.55</v>
      </c>
      <c r="N10" s="326"/>
      <c r="O10" s="23"/>
      <c r="P10" s="23"/>
      <c r="Q10" s="327"/>
      <c r="R10" s="326"/>
      <c r="S10" s="23"/>
      <c r="T10" s="23"/>
      <c r="U10" s="327"/>
      <c r="V10" s="326"/>
      <c r="W10" s="23">
        <v>0</v>
      </c>
      <c r="X10" s="23">
        <v>32</v>
      </c>
      <c r="Y10" s="327"/>
      <c r="Z10" s="326"/>
      <c r="AA10" s="23"/>
      <c r="AB10" s="23"/>
      <c r="AC10" s="327"/>
      <c r="AD10" s="328">
        <f aca="true" t="shared" si="23" ref="AD10:AF11">B10+F10+J10+N10+R10+V10+Z10</f>
        <v>21745</v>
      </c>
      <c r="AE10" s="21">
        <f t="shared" si="23"/>
        <v>25690</v>
      </c>
      <c r="AF10" s="21">
        <f t="shared" si="23"/>
        <v>27418</v>
      </c>
      <c r="AG10" s="327">
        <f t="shared" si="2"/>
        <v>106.73</v>
      </c>
      <c r="AH10" s="23"/>
      <c r="AI10" s="23">
        <v>10173</v>
      </c>
      <c r="AJ10" s="23">
        <v>10173</v>
      </c>
      <c r="AK10" s="327">
        <f t="shared" si="21"/>
        <v>100</v>
      </c>
      <c r="AL10" s="326">
        <f>CX10-AD10-AH10</f>
        <v>279550</v>
      </c>
      <c r="AM10" s="23">
        <v>275353</v>
      </c>
      <c r="AN10" s="23">
        <v>275353</v>
      </c>
      <c r="AO10" s="327">
        <f t="shared" si="3"/>
        <v>100</v>
      </c>
      <c r="AP10" s="326">
        <f aca="true" t="shared" si="24" ref="AP10:AR11">AH10+AL10</f>
        <v>279550</v>
      </c>
      <c r="AQ10" s="23">
        <f t="shared" si="24"/>
        <v>285526</v>
      </c>
      <c r="AR10" s="23">
        <f t="shared" si="24"/>
        <v>285526</v>
      </c>
      <c r="AS10" s="327">
        <f t="shared" si="5"/>
        <v>100</v>
      </c>
      <c r="AT10" s="328">
        <f t="shared" si="6"/>
        <v>301295</v>
      </c>
      <c r="AU10" s="21">
        <f t="shared" si="7"/>
        <v>311216</v>
      </c>
      <c r="AV10" s="21">
        <f t="shared" si="8"/>
        <v>312944</v>
      </c>
      <c r="AW10" s="327">
        <f t="shared" si="9"/>
        <v>100.56</v>
      </c>
      <c r="AX10" s="326">
        <v>179600</v>
      </c>
      <c r="AY10" s="23">
        <v>184806</v>
      </c>
      <c r="AZ10" s="23">
        <v>177582</v>
      </c>
      <c r="BA10" s="44">
        <f t="shared" si="10"/>
        <v>96.09</v>
      </c>
      <c r="BB10" s="326">
        <v>53200</v>
      </c>
      <c r="BC10" s="23">
        <v>54442</v>
      </c>
      <c r="BD10" s="23">
        <v>51294</v>
      </c>
      <c r="BE10" s="327">
        <f t="shared" si="11"/>
        <v>94.22</v>
      </c>
      <c r="BF10" s="326">
        <v>66970</v>
      </c>
      <c r="BG10" s="23">
        <v>65763</v>
      </c>
      <c r="BH10" s="23">
        <v>63839</v>
      </c>
      <c r="BI10" s="327">
        <f t="shared" si="12"/>
        <v>97.07</v>
      </c>
      <c r="BJ10" s="326"/>
      <c r="BK10" s="23"/>
      <c r="BL10" s="23"/>
      <c r="BM10" s="327"/>
      <c r="BN10" s="326"/>
      <c r="BO10" s="23">
        <v>540</v>
      </c>
      <c r="BP10" s="23">
        <v>540</v>
      </c>
      <c r="BQ10" s="327">
        <f aca="true" t="shared" si="25" ref="BQ10:BQ15">ROUND(BP10/BO10*100,2)</f>
        <v>100</v>
      </c>
      <c r="BR10" s="326"/>
      <c r="BS10" s="23"/>
      <c r="BT10" s="23"/>
      <c r="BU10" s="327"/>
      <c r="BV10" s="326">
        <f aca="true" t="shared" si="26" ref="BV10:BX11">BN10+BR10</f>
        <v>0</v>
      </c>
      <c r="BW10" s="23">
        <f t="shared" si="26"/>
        <v>540</v>
      </c>
      <c r="BX10" s="23">
        <f t="shared" si="26"/>
        <v>540</v>
      </c>
      <c r="BY10" s="327">
        <f t="shared" si="22"/>
        <v>100</v>
      </c>
      <c r="BZ10" s="326">
        <v>1525</v>
      </c>
      <c r="CA10" s="23">
        <v>5665</v>
      </c>
      <c r="CB10" s="23">
        <v>5664</v>
      </c>
      <c r="CC10" s="44">
        <f t="shared" si="14"/>
        <v>99.98</v>
      </c>
      <c r="CD10" s="326"/>
      <c r="CE10" s="23"/>
      <c r="CF10" s="23"/>
      <c r="CG10" s="327"/>
      <c r="CH10" s="326"/>
      <c r="CI10" s="23"/>
      <c r="CJ10" s="23"/>
      <c r="CK10" s="327"/>
      <c r="CL10" s="326"/>
      <c r="CM10" s="23"/>
      <c r="CN10" s="23"/>
      <c r="CO10" s="327"/>
      <c r="CP10" s="326">
        <f aca="true" t="shared" si="27" ref="CP10:CR11">CH10+CL10</f>
        <v>0</v>
      </c>
      <c r="CQ10" s="23">
        <f t="shared" si="27"/>
        <v>0</v>
      </c>
      <c r="CR10" s="23">
        <f t="shared" si="27"/>
        <v>0</v>
      </c>
      <c r="CS10" s="327"/>
      <c r="CT10" s="326"/>
      <c r="CU10" s="23"/>
      <c r="CV10" s="23"/>
      <c r="CW10" s="327"/>
      <c r="CX10" s="328">
        <f t="shared" si="16"/>
        <v>301295</v>
      </c>
      <c r="CY10" s="21">
        <f t="shared" si="17"/>
        <v>311216</v>
      </c>
      <c r="CZ10" s="21">
        <f t="shared" si="18"/>
        <v>298919</v>
      </c>
      <c r="DA10" s="327">
        <f t="shared" si="19"/>
        <v>96.05</v>
      </c>
      <c r="DB10" s="376">
        <v>48</v>
      </c>
      <c r="DC10" s="44">
        <v>2</v>
      </c>
      <c r="DD10" s="44">
        <v>1</v>
      </c>
      <c r="DE10" s="329">
        <f>SUM(DB10:DD10)</f>
        <v>51</v>
      </c>
    </row>
    <row r="11" spans="1:109" s="22" customFormat="1" ht="27" customHeight="1" hidden="1">
      <c r="A11" s="342" t="s">
        <v>65</v>
      </c>
      <c r="B11" s="326">
        <v>13561</v>
      </c>
      <c r="C11" s="23">
        <v>13561</v>
      </c>
      <c r="D11" s="23"/>
      <c r="E11" s="327">
        <f t="shared" si="20"/>
        <v>0</v>
      </c>
      <c r="F11" s="326"/>
      <c r="G11" s="23"/>
      <c r="H11" s="23"/>
      <c r="I11" s="327"/>
      <c r="J11" s="326"/>
      <c r="K11" s="23"/>
      <c r="L11" s="23"/>
      <c r="M11" s="327" t="e">
        <f t="shared" si="0"/>
        <v>#DIV/0!</v>
      </c>
      <c r="N11" s="326"/>
      <c r="O11" s="23"/>
      <c r="P11" s="23"/>
      <c r="Q11" s="327" t="e">
        <f>ROUND(P11/O11*100,2)</f>
        <v>#DIV/0!</v>
      </c>
      <c r="R11" s="326"/>
      <c r="S11" s="23"/>
      <c r="T11" s="23"/>
      <c r="U11" s="327"/>
      <c r="V11" s="326"/>
      <c r="W11" s="23"/>
      <c r="X11" s="23"/>
      <c r="Y11" s="327"/>
      <c r="Z11" s="326"/>
      <c r="AA11" s="23"/>
      <c r="AB11" s="23"/>
      <c r="AC11" s="327"/>
      <c r="AD11" s="328">
        <f t="shared" si="23"/>
        <v>13561</v>
      </c>
      <c r="AE11" s="21">
        <f t="shared" si="23"/>
        <v>13561</v>
      </c>
      <c r="AF11" s="21">
        <f t="shared" si="23"/>
        <v>0</v>
      </c>
      <c r="AG11" s="327">
        <f t="shared" si="2"/>
        <v>0</v>
      </c>
      <c r="AH11" s="23"/>
      <c r="AI11" s="23"/>
      <c r="AJ11" s="23"/>
      <c r="AK11" s="327" t="e">
        <f t="shared" si="21"/>
        <v>#DIV/0!</v>
      </c>
      <c r="AL11" s="326">
        <f>CX11-AD11-AH11</f>
        <v>0</v>
      </c>
      <c r="AM11" s="23"/>
      <c r="AN11" s="23"/>
      <c r="AO11" s="327" t="e">
        <f t="shared" si="3"/>
        <v>#DIV/0!</v>
      </c>
      <c r="AP11" s="326">
        <f t="shared" si="24"/>
        <v>0</v>
      </c>
      <c r="AQ11" s="23">
        <f t="shared" si="24"/>
        <v>0</v>
      </c>
      <c r="AR11" s="23">
        <f t="shared" si="24"/>
        <v>0</v>
      </c>
      <c r="AS11" s="327" t="e">
        <f t="shared" si="5"/>
        <v>#DIV/0!</v>
      </c>
      <c r="AT11" s="328">
        <f t="shared" si="6"/>
        <v>13561</v>
      </c>
      <c r="AU11" s="23">
        <f t="shared" si="7"/>
        <v>13561</v>
      </c>
      <c r="AV11" s="23">
        <f t="shared" si="8"/>
        <v>0</v>
      </c>
      <c r="AW11" s="327">
        <f t="shared" si="9"/>
        <v>0</v>
      </c>
      <c r="AX11" s="326">
        <v>10460</v>
      </c>
      <c r="AY11" s="23">
        <v>10460</v>
      </c>
      <c r="AZ11" s="23"/>
      <c r="BA11" s="44">
        <f t="shared" si="10"/>
        <v>0</v>
      </c>
      <c r="BB11" s="326">
        <v>2601</v>
      </c>
      <c r="BC11" s="23">
        <v>2601</v>
      </c>
      <c r="BD11" s="23"/>
      <c r="BE11" s="327">
        <f t="shared" si="11"/>
        <v>0</v>
      </c>
      <c r="BF11" s="326">
        <v>500</v>
      </c>
      <c r="BG11" s="23">
        <v>500</v>
      </c>
      <c r="BH11" s="23"/>
      <c r="BI11" s="327">
        <f t="shared" si="12"/>
        <v>0</v>
      </c>
      <c r="BJ11" s="326"/>
      <c r="BK11" s="23"/>
      <c r="BL11" s="23"/>
      <c r="BM11" s="327"/>
      <c r="BN11" s="326"/>
      <c r="BO11" s="23"/>
      <c r="BP11" s="23"/>
      <c r="BQ11" s="327" t="e">
        <f t="shared" si="25"/>
        <v>#DIV/0!</v>
      </c>
      <c r="BR11" s="326"/>
      <c r="BS11" s="23"/>
      <c r="BT11" s="23"/>
      <c r="BU11" s="327"/>
      <c r="BV11" s="326">
        <f t="shared" si="26"/>
        <v>0</v>
      </c>
      <c r="BW11" s="23">
        <f t="shared" si="26"/>
        <v>0</v>
      </c>
      <c r="BX11" s="23">
        <f t="shared" si="26"/>
        <v>0</v>
      </c>
      <c r="BY11" s="327" t="e">
        <f t="shared" si="22"/>
        <v>#DIV/0!</v>
      </c>
      <c r="BZ11" s="326"/>
      <c r="CA11" s="23"/>
      <c r="CB11" s="23"/>
      <c r="CC11" s="44" t="e">
        <f t="shared" si="14"/>
        <v>#DIV/0!</v>
      </c>
      <c r="CD11" s="326"/>
      <c r="CE11" s="23"/>
      <c r="CF11" s="23"/>
      <c r="CG11" s="327"/>
      <c r="CH11" s="326"/>
      <c r="CI11" s="23"/>
      <c r="CJ11" s="23"/>
      <c r="CK11" s="327"/>
      <c r="CL11" s="326"/>
      <c r="CM11" s="23"/>
      <c r="CN11" s="23"/>
      <c r="CO11" s="327"/>
      <c r="CP11" s="326">
        <f t="shared" si="27"/>
        <v>0</v>
      </c>
      <c r="CQ11" s="23">
        <f t="shared" si="27"/>
        <v>0</v>
      </c>
      <c r="CR11" s="23">
        <f t="shared" si="27"/>
        <v>0</v>
      </c>
      <c r="CS11" s="327"/>
      <c r="CT11" s="326"/>
      <c r="CU11" s="23"/>
      <c r="CV11" s="23"/>
      <c r="CW11" s="327"/>
      <c r="CX11" s="328">
        <f t="shared" si="16"/>
        <v>13561</v>
      </c>
      <c r="CY11" s="21">
        <f t="shared" si="17"/>
        <v>13561</v>
      </c>
      <c r="CZ11" s="21">
        <f t="shared" si="18"/>
        <v>0</v>
      </c>
      <c r="DA11" s="327">
        <f t="shared" si="19"/>
        <v>0</v>
      </c>
      <c r="DB11" s="376">
        <v>3.5</v>
      </c>
      <c r="DC11" s="44"/>
      <c r="DD11" s="44"/>
      <c r="DE11" s="327">
        <f>SUM(DB11:DD11)</f>
        <v>3.5</v>
      </c>
    </row>
    <row r="12" spans="1:109" s="22" customFormat="1" ht="27" customHeight="1">
      <c r="A12" s="341" t="s">
        <v>25</v>
      </c>
      <c r="B12" s="328">
        <f>B10+B9</f>
        <v>24018</v>
      </c>
      <c r="C12" s="21">
        <f>C10+C9</f>
        <v>52591</v>
      </c>
      <c r="D12" s="21">
        <f>D10+D9</f>
        <v>51262</v>
      </c>
      <c r="E12" s="329">
        <f t="shared" si="20"/>
        <v>97.47</v>
      </c>
      <c r="F12" s="328">
        <f>F10+F9</f>
        <v>0</v>
      </c>
      <c r="G12" s="21">
        <f>G10+G9</f>
        <v>0</v>
      </c>
      <c r="H12" s="21">
        <f>H10+H9</f>
        <v>40</v>
      </c>
      <c r="I12" s="329"/>
      <c r="J12" s="328">
        <f>J10+J9</f>
        <v>72266</v>
      </c>
      <c r="K12" s="21">
        <f>K10+K9</f>
        <v>72467</v>
      </c>
      <c r="L12" s="21">
        <f>L10+L9</f>
        <v>73903</v>
      </c>
      <c r="M12" s="329">
        <f t="shared" si="0"/>
        <v>101.98</v>
      </c>
      <c r="N12" s="328">
        <f>N10+N9</f>
        <v>1039</v>
      </c>
      <c r="O12" s="21">
        <f>O10+O9</f>
        <v>11930</v>
      </c>
      <c r="P12" s="21">
        <f>P10+P9</f>
        <v>11773</v>
      </c>
      <c r="Q12" s="329">
        <f>ROUND(P12/O12*100,2)</f>
        <v>98.68</v>
      </c>
      <c r="R12" s="328">
        <f>R10+R9</f>
        <v>0</v>
      </c>
      <c r="S12" s="21">
        <f>S10+S9</f>
        <v>0</v>
      </c>
      <c r="T12" s="21">
        <f>T10+T9</f>
        <v>0</v>
      </c>
      <c r="U12" s="329"/>
      <c r="V12" s="328">
        <f>V10+V9</f>
        <v>0</v>
      </c>
      <c r="W12" s="21">
        <f>W10+W9</f>
        <v>0</v>
      </c>
      <c r="X12" s="21">
        <f>X10+X9</f>
        <v>32</v>
      </c>
      <c r="Y12" s="329"/>
      <c r="Z12" s="328">
        <f>Z10+Z9</f>
        <v>0</v>
      </c>
      <c r="AA12" s="21">
        <f>AA10+AA9</f>
        <v>0</v>
      </c>
      <c r="AB12" s="21">
        <f>AB10+AB9</f>
        <v>0</v>
      </c>
      <c r="AC12" s="329"/>
      <c r="AD12" s="328">
        <f>AD10+AD9</f>
        <v>97323</v>
      </c>
      <c r="AE12" s="21">
        <f>AE10+AE9</f>
        <v>136988</v>
      </c>
      <c r="AF12" s="21">
        <f>AF10+AF9</f>
        <v>137010</v>
      </c>
      <c r="AG12" s="329">
        <f t="shared" si="2"/>
        <v>100.02</v>
      </c>
      <c r="AH12" s="21">
        <f>AH10+AH9</f>
        <v>0</v>
      </c>
      <c r="AI12" s="21">
        <f>AI10+AI9</f>
        <v>12975</v>
      </c>
      <c r="AJ12" s="21">
        <f>AJ10+AJ9</f>
        <v>12975</v>
      </c>
      <c r="AK12" s="329">
        <f t="shared" si="21"/>
        <v>100</v>
      </c>
      <c r="AL12" s="328">
        <f>AL10+AL9</f>
        <v>377078</v>
      </c>
      <c r="AM12" s="21">
        <f>AM10+AM9</f>
        <v>379528</v>
      </c>
      <c r="AN12" s="21">
        <f>AN10+AN9</f>
        <v>379528</v>
      </c>
      <c r="AO12" s="329">
        <f t="shared" si="3"/>
        <v>100</v>
      </c>
      <c r="AP12" s="328">
        <f>AP9+AP10</f>
        <v>377078</v>
      </c>
      <c r="AQ12" s="21">
        <f>AI12+AM12</f>
        <v>392503</v>
      </c>
      <c r="AR12" s="21">
        <f>AJ12+AN12</f>
        <v>392503</v>
      </c>
      <c r="AS12" s="329">
        <f t="shared" si="5"/>
        <v>100</v>
      </c>
      <c r="AT12" s="328">
        <f t="shared" si="6"/>
        <v>474401</v>
      </c>
      <c r="AU12" s="21">
        <f t="shared" si="7"/>
        <v>529491</v>
      </c>
      <c r="AV12" s="21">
        <f t="shared" si="8"/>
        <v>529513</v>
      </c>
      <c r="AW12" s="329">
        <f t="shared" si="9"/>
        <v>100</v>
      </c>
      <c r="AX12" s="328">
        <f>AX10+AX9</f>
        <v>248751</v>
      </c>
      <c r="AY12" s="21">
        <f>AY10+AY9</f>
        <v>257908</v>
      </c>
      <c r="AZ12" s="21">
        <f>AZ10+AZ9</f>
        <v>244922</v>
      </c>
      <c r="BA12" s="43">
        <f t="shared" si="10"/>
        <v>94.96</v>
      </c>
      <c r="BB12" s="328">
        <f>BB10+BB9</f>
        <v>71999</v>
      </c>
      <c r="BC12" s="21">
        <f>BC10+BC9</f>
        <v>74156</v>
      </c>
      <c r="BD12" s="21">
        <f>BD10+BD9</f>
        <v>69504</v>
      </c>
      <c r="BE12" s="329">
        <f t="shared" si="11"/>
        <v>93.73</v>
      </c>
      <c r="BF12" s="328">
        <f>BF10+BF9</f>
        <v>150596</v>
      </c>
      <c r="BG12" s="21">
        <f>BG10+BG9</f>
        <v>183108</v>
      </c>
      <c r="BH12" s="21">
        <f>BH10+BH9</f>
        <v>177415</v>
      </c>
      <c r="BI12" s="329">
        <f t="shared" si="12"/>
        <v>96.89</v>
      </c>
      <c r="BJ12" s="328">
        <f>BJ10+BJ9</f>
        <v>0</v>
      </c>
      <c r="BK12" s="21">
        <f>BK10+BK9</f>
        <v>0</v>
      </c>
      <c r="BL12" s="21">
        <f>BL10+BL9</f>
        <v>0</v>
      </c>
      <c r="BM12" s="329"/>
      <c r="BN12" s="328">
        <f>BN10+BN9</f>
        <v>0</v>
      </c>
      <c r="BO12" s="21">
        <f>BO10+BO9</f>
        <v>1040</v>
      </c>
      <c r="BP12" s="21">
        <f>BP10+BP9</f>
        <v>1040</v>
      </c>
      <c r="BQ12" s="329">
        <f t="shared" si="25"/>
        <v>100</v>
      </c>
      <c r="BR12" s="328">
        <f>BR10+BR9</f>
        <v>0</v>
      </c>
      <c r="BS12" s="21">
        <f>BS10+BS9</f>
        <v>0</v>
      </c>
      <c r="BT12" s="21">
        <f>BT10+BT9</f>
        <v>0</v>
      </c>
      <c r="BU12" s="329"/>
      <c r="BV12" s="328">
        <f>BV10+BV9</f>
        <v>0</v>
      </c>
      <c r="BW12" s="21">
        <f>BW10+BW9</f>
        <v>1040</v>
      </c>
      <c r="BX12" s="21">
        <f>BX10+BX9</f>
        <v>1040</v>
      </c>
      <c r="BY12" s="329">
        <f t="shared" si="22"/>
        <v>100</v>
      </c>
      <c r="BZ12" s="328">
        <f>BZ10+BZ9</f>
        <v>3055</v>
      </c>
      <c r="CA12" s="21">
        <f>CA10+CA9</f>
        <v>13279</v>
      </c>
      <c r="CB12" s="21">
        <f>CB10+CB9</f>
        <v>12853</v>
      </c>
      <c r="CC12" s="43">
        <f t="shared" si="14"/>
        <v>96.79</v>
      </c>
      <c r="CD12" s="328">
        <f>CD10+CD9</f>
        <v>0</v>
      </c>
      <c r="CE12" s="21">
        <f>CE10+CE9</f>
        <v>0</v>
      </c>
      <c r="CF12" s="21">
        <f>CF10+CF9</f>
        <v>0</v>
      </c>
      <c r="CG12" s="329"/>
      <c r="CH12" s="328">
        <f>CH10+CH9</f>
        <v>0</v>
      </c>
      <c r="CI12" s="21">
        <f>CI10+CI9</f>
        <v>0</v>
      </c>
      <c r="CJ12" s="21">
        <f>CJ10+CJ9</f>
        <v>0</v>
      </c>
      <c r="CK12" s="329"/>
      <c r="CL12" s="328">
        <f>CL10+CL9</f>
        <v>0</v>
      </c>
      <c r="CM12" s="21">
        <f>CM10+CM9</f>
        <v>0</v>
      </c>
      <c r="CN12" s="21">
        <f>CN10+CN9</f>
        <v>0</v>
      </c>
      <c r="CO12" s="329"/>
      <c r="CP12" s="328">
        <f>CP10+CP9</f>
        <v>0</v>
      </c>
      <c r="CQ12" s="21">
        <f>CQ10+CQ9</f>
        <v>0</v>
      </c>
      <c r="CR12" s="21">
        <f>CR10+CR9</f>
        <v>0</v>
      </c>
      <c r="CS12" s="329"/>
      <c r="CT12" s="328">
        <f>CT10+CT9</f>
        <v>0</v>
      </c>
      <c r="CU12" s="21">
        <f>CU10+CU9</f>
        <v>0</v>
      </c>
      <c r="CV12" s="21">
        <f>CV10+CV9</f>
        <v>0</v>
      </c>
      <c r="CW12" s="329"/>
      <c r="CX12" s="328">
        <f t="shared" si="16"/>
        <v>474401</v>
      </c>
      <c r="CY12" s="21">
        <f t="shared" si="17"/>
        <v>529491</v>
      </c>
      <c r="CZ12" s="21">
        <f t="shared" si="18"/>
        <v>505734</v>
      </c>
      <c r="DA12" s="329">
        <f t="shared" si="19"/>
        <v>95.51</v>
      </c>
      <c r="DB12" s="368">
        <f>DB10+DB9</f>
        <v>64</v>
      </c>
      <c r="DC12" s="43">
        <f>DC10+DC9</f>
        <v>19.75</v>
      </c>
      <c r="DD12" s="43">
        <f>DD10+DD9</f>
        <v>7</v>
      </c>
      <c r="DE12" s="329">
        <f>DE10+DE9</f>
        <v>90.75</v>
      </c>
    </row>
    <row r="13" spans="1:109" ht="21.75" customHeight="1">
      <c r="A13" s="360" t="s">
        <v>49</v>
      </c>
      <c r="B13" s="361">
        <f>926525+2021-24018</f>
        <v>904528</v>
      </c>
      <c r="C13" s="362">
        <v>977547</v>
      </c>
      <c r="D13" s="362">
        <v>968289</v>
      </c>
      <c r="E13" s="363">
        <f t="shared" si="20"/>
        <v>99.05</v>
      </c>
      <c r="F13" s="361">
        <v>394911</v>
      </c>
      <c r="G13" s="362">
        <v>418441</v>
      </c>
      <c r="H13" s="362">
        <v>450602</v>
      </c>
      <c r="I13" s="363">
        <f>ROUND(H13/G13*100,2)</f>
        <v>107.69</v>
      </c>
      <c r="J13" s="361">
        <v>71004</v>
      </c>
      <c r="K13" s="362">
        <v>94356</v>
      </c>
      <c r="L13" s="362">
        <v>98577</v>
      </c>
      <c r="M13" s="363">
        <f t="shared" si="0"/>
        <v>104.47</v>
      </c>
      <c r="N13" s="361">
        <v>10320</v>
      </c>
      <c r="O13" s="362">
        <v>10620</v>
      </c>
      <c r="P13" s="362">
        <v>10756</v>
      </c>
      <c r="Q13" s="363">
        <f>ROUND(P13/O13*100,2)</f>
        <v>101.28</v>
      </c>
      <c r="R13" s="361">
        <f>2177+12434+2600</f>
        <v>17211</v>
      </c>
      <c r="S13" s="362">
        <v>146180</v>
      </c>
      <c r="T13" s="362">
        <v>146180</v>
      </c>
      <c r="U13" s="363">
        <f>ROUND(T13/S13*100,2)</f>
        <v>100</v>
      </c>
      <c r="V13" s="361">
        <v>81349</v>
      </c>
      <c r="W13" s="362">
        <v>26515</v>
      </c>
      <c r="X13" s="362">
        <v>26544</v>
      </c>
      <c r="Y13" s="363">
        <f>ROUND(X13/W13*100,2)</f>
        <v>100.11</v>
      </c>
      <c r="Z13" s="361">
        <v>65600</v>
      </c>
      <c r="AA13" s="362">
        <v>17350</v>
      </c>
      <c r="AB13" s="362">
        <v>23379</v>
      </c>
      <c r="AC13" s="363">
        <f>ROUND(AB13/AA13*100,2)</f>
        <v>134.75</v>
      </c>
      <c r="AD13" s="364">
        <f>B13+F13+J13+N13+R13+V13+Z13</f>
        <v>1544923</v>
      </c>
      <c r="AE13" s="365">
        <f>C13+G13+K13+O13+S13+W13+AA13</f>
        <v>1691009</v>
      </c>
      <c r="AF13" s="365">
        <f>D13+H13+L13+P13+T13+X13+AB13</f>
        <v>1724327</v>
      </c>
      <c r="AG13" s="363">
        <f t="shared" si="2"/>
        <v>101.97</v>
      </c>
      <c r="AH13" s="362">
        <f>152384+98027</f>
        <v>250411</v>
      </c>
      <c r="AI13" s="362">
        <v>307512</v>
      </c>
      <c r="AJ13" s="362">
        <v>307512</v>
      </c>
      <c r="AK13" s="363">
        <f t="shared" si="21"/>
        <v>100</v>
      </c>
      <c r="AL13" s="361"/>
      <c r="AM13" s="362"/>
      <c r="AN13" s="362">
        <v>29478</v>
      </c>
      <c r="AO13" s="363"/>
      <c r="AP13" s="364">
        <f>AH13+AL13</f>
        <v>250411</v>
      </c>
      <c r="AQ13" s="365">
        <f>AI13+AM13</f>
        <v>307512</v>
      </c>
      <c r="AR13" s="365">
        <f>AJ13+AN13</f>
        <v>336990</v>
      </c>
      <c r="AS13" s="363">
        <f t="shared" si="5"/>
        <v>109.59</v>
      </c>
      <c r="AT13" s="364">
        <f t="shared" si="6"/>
        <v>1795334</v>
      </c>
      <c r="AU13" s="365">
        <f t="shared" si="7"/>
        <v>1998521</v>
      </c>
      <c r="AV13" s="365">
        <f t="shared" si="8"/>
        <v>2061317</v>
      </c>
      <c r="AW13" s="363">
        <f t="shared" si="9"/>
        <v>103.14</v>
      </c>
      <c r="AX13" s="361">
        <f>19837+14746</f>
        <v>34583</v>
      </c>
      <c r="AY13" s="362">
        <v>44635</v>
      </c>
      <c r="AZ13" s="362">
        <v>42646</v>
      </c>
      <c r="BA13" s="366">
        <f t="shared" si="10"/>
        <v>95.54</v>
      </c>
      <c r="BB13" s="361">
        <f>5360+4176</f>
        <v>9536</v>
      </c>
      <c r="BC13" s="362">
        <v>12605</v>
      </c>
      <c r="BD13" s="362">
        <v>12459</v>
      </c>
      <c r="BE13" s="363">
        <f t="shared" si="11"/>
        <v>98.84</v>
      </c>
      <c r="BF13" s="361">
        <f>373081+39718</f>
        <v>412799</v>
      </c>
      <c r="BG13" s="362">
        <v>443336</v>
      </c>
      <c r="BH13" s="362">
        <v>422195</v>
      </c>
      <c r="BI13" s="363">
        <f t="shared" si="12"/>
        <v>95.23</v>
      </c>
      <c r="BJ13" s="361">
        <v>39605</v>
      </c>
      <c r="BK13" s="362">
        <v>38547</v>
      </c>
      <c r="BL13" s="362">
        <v>28703</v>
      </c>
      <c r="BM13" s="363">
        <f>ROUND(BL13/BK13*100,2)</f>
        <v>74.46</v>
      </c>
      <c r="BN13" s="361">
        <f>421035+27881+113976+13052</f>
        <v>575944</v>
      </c>
      <c r="BO13" s="362">
        <v>661804</v>
      </c>
      <c r="BP13" s="362">
        <v>661515</v>
      </c>
      <c r="BQ13" s="363">
        <f t="shared" si="25"/>
        <v>99.96</v>
      </c>
      <c r="BR13" s="361">
        <v>32300</v>
      </c>
      <c r="BS13" s="362">
        <v>0</v>
      </c>
      <c r="BT13" s="362">
        <v>0</v>
      </c>
      <c r="BU13" s="363"/>
      <c r="BV13" s="361">
        <f>BN13+BR13</f>
        <v>608244</v>
      </c>
      <c r="BW13" s="362">
        <f>BO13+BS13</f>
        <v>661804</v>
      </c>
      <c r="BX13" s="362">
        <f>BP13+BT13</f>
        <v>661515</v>
      </c>
      <c r="BY13" s="363">
        <f t="shared" si="22"/>
        <v>99.96</v>
      </c>
      <c r="BZ13" s="361">
        <f>247613-3055</f>
        <v>244558</v>
      </c>
      <c r="CA13" s="362">
        <v>171925</v>
      </c>
      <c r="CB13" s="362">
        <v>140565</v>
      </c>
      <c r="CC13" s="366">
        <f t="shared" si="14"/>
        <v>81.76</v>
      </c>
      <c r="CD13" s="361">
        <v>54047</v>
      </c>
      <c r="CE13" s="362">
        <v>204118</v>
      </c>
      <c r="CF13" s="362">
        <v>161010</v>
      </c>
      <c r="CG13" s="363">
        <f>ROUND(CF13/CE13*100,2)</f>
        <v>78.88</v>
      </c>
      <c r="CH13" s="361">
        <f>14884</f>
        <v>14884</v>
      </c>
      <c r="CI13" s="362">
        <v>16884</v>
      </c>
      <c r="CJ13" s="362">
        <v>15434</v>
      </c>
      <c r="CK13" s="363">
        <f>ROUND(CJ13/CI13*100,2)</f>
        <v>91.41</v>
      </c>
      <c r="CL13" s="361">
        <v>0</v>
      </c>
      <c r="CM13" s="362"/>
      <c r="CN13" s="362"/>
      <c r="CO13" s="363"/>
      <c r="CP13" s="361">
        <f>CH13+CL13</f>
        <v>14884</v>
      </c>
      <c r="CQ13" s="362">
        <f>CI13+CM13</f>
        <v>16884</v>
      </c>
      <c r="CR13" s="362">
        <f>CJ13+CN13</f>
        <v>15434</v>
      </c>
      <c r="CS13" s="363">
        <f>ROUND(CR13/CQ13*100,2)</f>
        <v>91.41</v>
      </c>
      <c r="CT13" s="361">
        <f>AL12</f>
        <v>377078</v>
      </c>
      <c r="CU13" s="362">
        <v>404667</v>
      </c>
      <c r="CV13" s="362">
        <v>404667</v>
      </c>
      <c r="CW13" s="363">
        <f>ROUND(CV13/CU13*100,2)</f>
        <v>100</v>
      </c>
      <c r="CX13" s="364">
        <f t="shared" si="16"/>
        <v>1795334</v>
      </c>
      <c r="CY13" s="365">
        <f t="shared" si="17"/>
        <v>1998521</v>
      </c>
      <c r="CZ13" s="365">
        <f t="shared" si="18"/>
        <v>1889194</v>
      </c>
      <c r="DA13" s="363">
        <f t="shared" si="19"/>
        <v>94.53</v>
      </c>
      <c r="DB13" s="375">
        <v>2.5</v>
      </c>
      <c r="DC13" s="366">
        <v>1.7</v>
      </c>
      <c r="DD13" s="366"/>
      <c r="DE13" s="363">
        <f>SUM(DB13:DD13)</f>
        <v>4.2</v>
      </c>
    </row>
    <row r="14" spans="1:109" s="22" customFormat="1" ht="27" customHeight="1">
      <c r="A14" s="367" t="s">
        <v>50</v>
      </c>
      <c r="B14" s="334">
        <f>B12+B13</f>
        <v>928546</v>
      </c>
      <c r="C14" s="335">
        <f>C12+C13</f>
        <v>1030138</v>
      </c>
      <c r="D14" s="335">
        <f>D12+D13</f>
        <v>1019551</v>
      </c>
      <c r="E14" s="337">
        <f t="shared" si="20"/>
        <v>98.97</v>
      </c>
      <c r="F14" s="334">
        <f>F12+F13</f>
        <v>394911</v>
      </c>
      <c r="G14" s="335">
        <f>G12+G13</f>
        <v>418441</v>
      </c>
      <c r="H14" s="335">
        <f>H12+H13</f>
        <v>450642</v>
      </c>
      <c r="I14" s="337">
        <f>ROUND(H14/G14*100,2)</f>
        <v>107.7</v>
      </c>
      <c r="J14" s="334">
        <f>J12+J13</f>
        <v>143270</v>
      </c>
      <c r="K14" s="335">
        <f>K12+K13</f>
        <v>166823</v>
      </c>
      <c r="L14" s="335">
        <f>L12+L13</f>
        <v>172480</v>
      </c>
      <c r="M14" s="337">
        <f t="shared" si="0"/>
        <v>103.39</v>
      </c>
      <c r="N14" s="334">
        <f>N12+N13</f>
        <v>11359</v>
      </c>
      <c r="O14" s="335">
        <f>O12+O13</f>
        <v>22550</v>
      </c>
      <c r="P14" s="335">
        <f>P12+P13</f>
        <v>22529</v>
      </c>
      <c r="Q14" s="337">
        <f>ROUND(P14/O14*100,2)</f>
        <v>99.91</v>
      </c>
      <c r="R14" s="334">
        <f>R12+R13</f>
        <v>17211</v>
      </c>
      <c r="S14" s="335">
        <f>S12+S13</f>
        <v>146180</v>
      </c>
      <c r="T14" s="335">
        <f>T12+T13</f>
        <v>146180</v>
      </c>
      <c r="U14" s="337">
        <f>ROUND(T14/S14*100,2)</f>
        <v>100</v>
      </c>
      <c r="V14" s="334">
        <f>V12+V13</f>
        <v>81349</v>
      </c>
      <c r="W14" s="335">
        <f>W12+W13</f>
        <v>26515</v>
      </c>
      <c r="X14" s="335">
        <f>X12+X13</f>
        <v>26576</v>
      </c>
      <c r="Y14" s="337">
        <f>ROUND(X14/W14*100,2)</f>
        <v>100.23</v>
      </c>
      <c r="Z14" s="334">
        <f>Z12+Z13</f>
        <v>65600</v>
      </c>
      <c r="AA14" s="335">
        <f>AA12+AA13</f>
        <v>17350</v>
      </c>
      <c r="AB14" s="335">
        <f>AB12+AB13</f>
        <v>23379</v>
      </c>
      <c r="AC14" s="337">
        <f>ROUND(AB14/AA14*100,2)</f>
        <v>134.75</v>
      </c>
      <c r="AD14" s="334">
        <f>AD12+AD13</f>
        <v>1642246</v>
      </c>
      <c r="AE14" s="335">
        <f>AE12+AE13</f>
        <v>1827997</v>
      </c>
      <c r="AF14" s="335">
        <f>AF12+AF13</f>
        <v>1861337</v>
      </c>
      <c r="AG14" s="337">
        <f t="shared" si="2"/>
        <v>101.82</v>
      </c>
      <c r="AH14" s="335">
        <f>AH12+AH13</f>
        <v>250411</v>
      </c>
      <c r="AI14" s="335">
        <f>AI12+AI13</f>
        <v>320487</v>
      </c>
      <c r="AJ14" s="335">
        <f>AJ12+AJ13</f>
        <v>320487</v>
      </c>
      <c r="AK14" s="337">
        <f t="shared" si="21"/>
        <v>100</v>
      </c>
      <c r="AL14" s="334">
        <f>AL12+AL13</f>
        <v>377078</v>
      </c>
      <c r="AM14" s="335">
        <f>AM12+AM13</f>
        <v>379528</v>
      </c>
      <c r="AN14" s="335">
        <f>AN12+AN13</f>
        <v>409006</v>
      </c>
      <c r="AO14" s="337">
        <f>ROUND(AN14/AM14*100,2)</f>
        <v>107.77</v>
      </c>
      <c r="AP14" s="334">
        <f>AP12+AP13</f>
        <v>627489</v>
      </c>
      <c r="AQ14" s="335">
        <f>AQ12+AQ13</f>
        <v>700015</v>
      </c>
      <c r="AR14" s="335">
        <f>AR12+AR13</f>
        <v>729493</v>
      </c>
      <c r="AS14" s="337">
        <f t="shared" si="5"/>
        <v>104.21</v>
      </c>
      <c r="AT14" s="334">
        <f t="shared" si="6"/>
        <v>2269735</v>
      </c>
      <c r="AU14" s="335">
        <f t="shared" si="7"/>
        <v>2528012</v>
      </c>
      <c r="AV14" s="335">
        <f t="shared" si="8"/>
        <v>2590830</v>
      </c>
      <c r="AW14" s="337">
        <f t="shared" si="9"/>
        <v>102.48</v>
      </c>
      <c r="AX14" s="334">
        <f>AX12+AX13</f>
        <v>283334</v>
      </c>
      <c r="AY14" s="335">
        <f>AY12+AY13</f>
        <v>302543</v>
      </c>
      <c r="AZ14" s="335">
        <f>AZ12+AZ13</f>
        <v>287568</v>
      </c>
      <c r="BA14" s="346">
        <f t="shared" si="10"/>
        <v>95.05</v>
      </c>
      <c r="BB14" s="334">
        <f>BB12+BB13</f>
        <v>81535</v>
      </c>
      <c r="BC14" s="335">
        <f>BC12+BC13</f>
        <v>86761</v>
      </c>
      <c r="BD14" s="335">
        <f>BD12+BD13</f>
        <v>81963</v>
      </c>
      <c r="BE14" s="337">
        <f t="shared" si="11"/>
        <v>94.47</v>
      </c>
      <c r="BF14" s="334">
        <f>BF12+BF13</f>
        <v>563395</v>
      </c>
      <c r="BG14" s="335">
        <f>BG12+BG13</f>
        <v>626444</v>
      </c>
      <c r="BH14" s="335">
        <f>BH12+BH13</f>
        <v>599610</v>
      </c>
      <c r="BI14" s="337">
        <f t="shared" si="12"/>
        <v>95.72</v>
      </c>
      <c r="BJ14" s="334">
        <f>BJ12+BJ13</f>
        <v>39605</v>
      </c>
      <c r="BK14" s="335">
        <f>BK12+BK13</f>
        <v>38547</v>
      </c>
      <c r="BL14" s="335">
        <f>BL12+BL13</f>
        <v>28703</v>
      </c>
      <c r="BM14" s="337">
        <f>ROUND(BL14/BK14*100,2)</f>
        <v>74.46</v>
      </c>
      <c r="BN14" s="334">
        <f>BN12+BN13</f>
        <v>575944</v>
      </c>
      <c r="BO14" s="335">
        <f>BO12+BO13</f>
        <v>662844</v>
      </c>
      <c r="BP14" s="335">
        <f>BP12+BP13</f>
        <v>662555</v>
      </c>
      <c r="BQ14" s="337">
        <f t="shared" si="25"/>
        <v>99.96</v>
      </c>
      <c r="BR14" s="334">
        <f>BR12+BR13</f>
        <v>32300</v>
      </c>
      <c r="BS14" s="335">
        <f>BS12+BS13</f>
        <v>0</v>
      </c>
      <c r="BT14" s="335">
        <f>BT12+BT13</f>
        <v>0</v>
      </c>
      <c r="BU14" s="337"/>
      <c r="BV14" s="334">
        <f>BV12+BV13</f>
        <v>608244</v>
      </c>
      <c r="BW14" s="335">
        <f>BW12+BW13</f>
        <v>662844</v>
      </c>
      <c r="BX14" s="335">
        <f>BX12+BX13</f>
        <v>662555</v>
      </c>
      <c r="BY14" s="337">
        <f t="shared" si="22"/>
        <v>99.96</v>
      </c>
      <c r="BZ14" s="334">
        <f>BZ12+BZ13</f>
        <v>247613</v>
      </c>
      <c r="CA14" s="335">
        <f>CA12+CA13</f>
        <v>185204</v>
      </c>
      <c r="CB14" s="335">
        <f>CB12+CB13</f>
        <v>153418</v>
      </c>
      <c r="CC14" s="346">
        <f t="shared" si="14"/>
        <v>82.84</v>
      </c>
      <c r="CD14" s="334">
        <f>CD12+CD13</f>
        <v>54047</v>
      </c>
      <c r="CE14" s="335">
        <f>CE12+CE13</f>
        <v>204118</v>
      </c>
      <c r="CF14" s="335">
        <f>CF12+CF13</f>
        <v>161010</v>
      </c>
      <c r="CG14" s="337">
        <f>ROUND(CF14/CE14*100,2)</f>
        <v>78.88</v>
      </c>
      <c r="CH14" s="334">
        <f>CH12+CH13</f>
        <v>14884</v>
      </c>
      <c r="CI14" s="335">
        <f>CI12+CI13</f>
        <v>16884</v>
      </c>
      <c r="CJ14" s="335">
        <f>CJ12+CJ13</f>
        <v>15434</v>
      </c>
      <c r="CK14" s="337">
        <f>ROUND(CJ14/CI14*100,2)</f>
        <v>91.41</v>
      </c>
      <c r="CL14" s="334">
        <f>CL12+CL13</f>
        <v>0</v>
      </c>
      <c r="CM14" s="335">
        <f>CM12+CM13</f>
        <v>0</v>
      </c>
      <c r="CN14" s="335">
        <f>CN12+CN13</f>
        <v>0</v>
      </c>
      <c r="CO14" s="337"/>
      <c r="CP14" s="334">
        <f>CP12+CP13</f>
        <v>14884</v>
      </c>
      <c r="CQ14" s="335">
        <f>CQ12+CQ13</f>
        <v>16884</v>
      </c>
      <c r="CR14" s="335">
        <f>CR12+CR13</f>
        <v>15434</v>
      </c>
      <c r="CS14" s="337">
        <f>ROUND(CR14/CQ14*100,2)</f>
        <v>91.41</v>
      </c>
      <c r="CT14" s="334">
        <f>CT12+CT13</f>
        <v>377078</v>
      </c>
      <c r="CU14" s="335">
        <f>CU12+CU13</f>
        <v>404667</v>
      </c>
      <c r="CV14" s="335">
        <f>CV12+CV13</f>
        <v>404667</v>
      </c>
      <c r="CW14" s="337">
        <f>ROUND(CV14/CU14*100,2)</f>
        <v>100</v>
      </c>
      <c r="CX14" s="334">
        <f t="shared" si="16"/>
        <v>2269735</v>
      </c>
      <c r="CY14" s="335">
        <f t="shared" si="17"/>
        <v>2528012</v>
      </c>
      <c r="CZ14" s="335">
        <f t="shared" si="18"/>
        <v>2394928</v>
      </c>
      <c r="DA14" s="337">
        <f t="shared" si="19"/>
        <v>94.74</v>
      </c>
      <c r="DB14" s="377">
        <f>DB12+DB13</f>
        <v>66.5</v>
      </c>
      <c r="DC14" s="346">
        <f>DC12+DC13</f>
        <v>21.45</v>
      </c>
      <c r="DD14" s="346">
        <f>DD12+DD13</f>
        <v>7</v>
      </c>
      <c r="DE14" s="337">
        <f>DE12+DE13</f>
        <v>94.95</v>
      </c>
    </row>
    <row r="15" spans="1:109" s="22" customFormat="1" ht="27" customHeight="1">
      <c r="A15" s="369" t="s">
        <v>161</v>
      </c>
      <c r="B15" s="370">
        <f>B14</f>
        <v>928546</v>
      </c>
      <c r="C15" s="371">
        <f>C14</f>
        <v>1030138</v>
      </c>
      <c r="D15" s="371">
        <f>D14</f>
        <v>1019551</v>
      </c>
      <c r="E15" s="372">
        <f t="shared" si="20"/>
        <v>98.97</v>
      </c>
      <c r="F15" s="370">
        <f>F14</f>
        <v>394911</v>
      </c>
      <c r="G15" s="371">
        <f>G14</f>
        <v>418441</v>
      </c>
      <c r="H15" s="371">
        <f>H14</f>
        <v>450642</v>
      </c>
      <c r="I15" s="372">
        <f>ROUND(H15/G15*100,2)</f>
        <v>107.7</v>
      </c>
      <c r="J15" s="370">
        <f>J14</f>
        <v>143270</v>
      </c>
      <c r="K15" s="371">
        <f>K14</f>
        <v>166823</v>
      </c>
      <c r="L15" s="371">
        <f>L14</f>
        <v>172480</v>
      </c>
      <c r="M15" s="372">
        <f t="shared" si="0"/>
        <v>103.39</v>
      </c>
      <c r="N15" s="370">
        <f>N14</f>
        <v>11359</v>
      </c>
      <c r="O15" s="371">
        <f>O14</f>
        <v>22550</v>
      </c>
      <c r="P15" s="371">
        <f>P14</f>
        <v>22529</v>
      </c>
      <c r="Q15" s="372">
        <f>ROUND(P15/O15*100,2)</f>
        <v>99.91</v>
      </c>
      <c r="R15" s="370">
        <f>R14</f>
        <v>17211</v>
      </c>
      <c r="S15" s="371">
        <f>S14</f>
        <v>146180</v>
      </c>
      <c r="T15" s="371">
        <f>T14</f>
        <v>146180</v>
      </c>
      <c r="U15" s="372">
        <f>ROUND(T15/S15*100,2)</f>
        <v>100</v>
      </c>
      <c r="V15" s="370">
        <f>V14</f>
        <v>81349</v>
      </c>
      <c r="W15" s="371">
        <f>W14</f>
        <v>26515</v>
      </c>
      <c r="X15" s="371">
        <f>X14</f>
        <v>26576</v>
      </c>
      <c r="Y15" s="372">
        <f>ROUND(X15/W15*100,2)</f>
        <v>100.23</v>
      </c>
      <c r="Z15" s="370">
        <f>Z14</f>
        <v>65600</v>
      </c>
      <c r="AA15" s="371">
        <f>AA14</f>
        <v>17350</v>
      </c>
      <c r="AB15" s="371">
        <f>AB14</f>
        <v>23379</v>
      </c>
      <c r="AC15" s="372">
        <f>ROUND(AB15/AA15*100,2)</f>
        <v>134.75</v>
      </c>
      <c r="AD15" s="370">
        <f>AD14</f>
        <v>1642246</v>
      </c>
      <c r="AE15" s="371">
        <f>AE14</f>
        <v>1827997</v>
      </c>
      <c r="AF15" s="371">
        <f>AF14</f>
        <v>1861337</v>
      </c>
      <c r="AG15" s="372">
        <f t="shared" si="2"/>
        <v>101.82</v>
      </c>
      <c r="AH15" s="371">
        <f>AH14</f>
        <v>250411</v>
      </c>
      <c r="AI15" s="371">
        <f>AI14</f>
        <v>320487</v>
      </c>
      <c r="AJ15" s="371">
        <f>AJ14</f>
        <v>320487</v>
      </c>
      <c r="AK15" s="372">
        <f t="shared" si="21"/>
        <v>100</v>
      </c>
      <c r="AL15" s="370">
        <f>AL14-AL12</f>
        <v>0</v>
      </c>
      <c r="AM15" s="371">
        <f>AM14-AM12</f>
        <v>0</v>
      </c>
      <c r="AN15" s="371">
        <f>AN14-AN12</f>
        <v>29478</v>
      </c>
      <c r="AO15" s="372"/>
      <c r="AP15" s="370">
        <f>AH15+AL15</f>
        <v>250411</v>
      </c>
      <c r="AQ15" s="371">
        <f>AI15+AM15</f>
        <v>320487</v>
      </c>
      <c r="AR15" s="371">
        <f>AJ15+AN15</f>
        <v>349965</v>
      </c>
      <c r="AS15" s="372">
        <f t="shared" si="5"/>
        <v>109.2</v>
      </c>
      <c r="AT15" s="370">
        <f t="shared" si="6"/>
        <v>1892657</v>
      </c>
      <c r="AU15" s="371">
        <f t="shared" si="7"/>
        <v>2148484</v>
      </c>
      <c r="AV15" s="371">
        <f t="shared" si="8"/>
        <v>2211302</v>
      </c>
      <c r="AW15" s="372">
        <f t="shared" si="9"/>
        <v>102.92</v>
      </c>
      <c r="AX15" s="370">
        <f>AX14</f>
        <v>283334</v>
      </c>
      <c r="AY15" s="371">
        <f>AY14</f>
        <v>302543</v>
      </c>
      <c r="AZ15" s="371">
        <f>AZ14</f>
        <v>287568</v>
      </c>
      <c r="BA15" s="373">
        <f t="shared" si="10"/>
        <v>95.05</v>
      </c>
      <c r="BB15" s="370">
        <f>BB14</f>
        <v>81535</v>
      </c>
      <c r="BC15" s="371">
        <f>BC14</f>
        <v>86761</v>
      </c>
      <c r="BD15" s="371">
        <f>BD14</f>
        <v>81963</v>
      </c>
      <c r="BE15" s="372">
        <f t="shared" si="11"/>
        <v>94.47</v>
      </c>
      <c r="BF15" s="370">
        <f>BF14</f>
        <v>563395</v>
      </c>
      <c r="BG15" s="371">
        <f>BG14</f>
        <v>626444</v>
      </c>
      <c r="BH15" s="371">
        <f>BH14</f>
        <v>599610</v>
      </c>
      <c r="BI15" s="372">
        <f t="shared" si="12"/>
        <v>95.72</v>
      </c>
      <c r="BJ15" s="370">
        <f>BJ14</f>
        <v>39605</v>
      </c>
      <c r="BK15" s="371">
        <f>BK14</f>
        <v>38547</v>
      </c>
      <c r="BL15" s="371">
        <f>BL14</f>
        <v>28703</v>
      </c>
      <c r="BM15" s="372">
        <f>ROUND(BL15/BK15*100,2)</f>
        <v>74.46</v>
      </c>
      <c r="BN15" s="370">
        <f>BN14</f>
        <v>575944</v>
      </c>
      <c r="BO15" s="371">
        <f>BO14</f>
        <v>662844</v>
      </c>
      <c r="BP15" s="371">
        <f>BP14</f>
        <v>662555</v>
      </c>
      <c r="BQ15" s="372">
        <f t="shared" si="25"/>
        <v>99.96</v>
      </c>
      <c r="BR15" s="370">
        <f>BR14</f>
        <v>32300</v>
      </c>
      <c r="BS15" s="371">
        <f>BS14</f>
        <v>0</v>
      </c>
      <c r="BT15" s="371">
        <f>BT14</f>
        <v>0</v>
      </c>
      <c r="BU15" s="372"/>
      <c r="BV15" s="370">
        <f>BV14</f>
        <v>608244</v>
      </c>
      <c r="BW15" s="371">
        <f>BW14</f>
        <v>662844</v>
      </c>
      <c r="BX15" s="371">
        <f>BX14</f>
        <v>662555</v>
      </c>
      <c r="BY15" s="372">
        <f t="shared" si="22"/>
        <v>99.96</v>
      </c>
      <c r="BZ15" s="370">
        <f>BZ14</f>
        <v>247613</v>
      </c>
      <c r="CA15" s="371">
        <f>CA14</f>
        <v>185204</v>
      </c>
      <c r="CB15" s="371">
        <f>CB14</f>
        <v>153418</v>
      </c>
      <c r="CC15" s="373">
        <f t="shared" si="14"/>
        <v>82.84</v>
      </c>
      <c r="CD15" s="370">
        <f>CD14</f>
        <v>54047</v>
      </c>
      <c r="CE15" s="371">
        <f>CE14</f>
        <v>204118</v>
      </c>
      <c r="CF15" s="371">
        <f>CF14</f>
        <v>161010</v>
      </c>
      <c r="CG15" s="372">
        <f>ROUND(CF15/CE15*100,2)</f>
        <v>78.88</v>
      </c>
      <c r="CH15" s="370">
        <f>CH14</f>
        <v>14884</v>
      </c>
      <c r="CI15" s="371">
        <f>CI14</f>
        <v>16884</v>
      </c>
      <c r="CJ15" s="371">
        <f>CJ14</f>
        <v>15434</v>
      </c>
      <c r="CK15" s="372">
        <f>ROUND(CJ15/CI15*100,2)</f>
        <v>91.41</v>
      </c>
      <c r="CL15" s="370">
        <f>CL14</f>
        <v>0</v>
      </c>
      <c r="CM15" s="371">
        <f>CM14</f>
        <v>0</v>
      </c>
      <c r="CN15" s="371">
        <f>CN14</f>
        <v>0</v>
      </c>
      <c r="CO15" s="372"/>
      <c r="CP15" s="370">
        <f>CP14</f>
        <v>14884</v>
      </c>
      <c r="CQ15" s="371">
        <f>CQ14</f>
        <v>16884</v>
      </c>
      <c r="CR15" s="371">
        <f>CR14</f>
        <v>15434</v>
      </c>
      <c r="CS15" s="372">
        <f>ROUND(CR15/CQ15*100,2)</f>
        <v>91.41</v>
      </c>
      <c r="CT15" s="370">
        <f>CT14-CT13</f>
        <v>0</v>
      </c>
      <c r="CU15" s="371">
        <v>25139</v>
      </c>
      <c r="CV15" s="371">
        <f>CV14-AN12</f>
        <v>25139</v>
      </c>
      <c r="CW15" s="372">
        <f>ROUND(CV15/CU15*100,2)</f>
        <v>100</v>
      </c>
      <c r="CX15" s="370">
        <f t="shared" si="16"/>
        <v>1892657</v>
      </c>
      <c r="CY15" s="371">
        <f t="shared" si="17"/>
        <v>2148484</v>
      </c>
      <c r="CZ15" s="371">
        <f t="shared" si="18"/>
        <v>2015400</v>
      </c>
      <c r="DA15" s="372">
        <f t="shared" si="19"/>
        <v>93.81</v>
      </c>
      <c r="DB15" s="374"/>
      <c r="DC15" s="373"/>
      <c r="DD15" s="373"/>
      <c r="DE15" s="372"/>
    </row>
    <row r="16" spans="1:109" s="22" customFormat="1" ht="14.25" customHeight="1">
      <c r="A16" s="343"/>
      <c r="B16" s="328"/>
      <c r="C16" s="21"/>
      <c r="D16" s="21"/>
      <c r="E16" s="330"/>
      <c r="F16" s="328"/>
      <c r="G16" s="21"/>
      <c r="H16" s="21"/>
      <c r="I16" s="329"/>
      <c r="J16" s="328"/>
      <c r="K16" s="21"/>
      <c r="L16" s="21"/>
      <c r="M16" s="329"/>
      <c r="N16" s="328"/>
      <c r="O16" s="21"/>
      <c r="P16" s="21"/>
      <c r="Q16" s="330"/>
      <c r="R16" s="328"/>
      <c r="S16" s="21"/>
      <c r="T16" s="21"/>
      <c r="U16" s="330"/>
      <c r="V16" s="328"/>
      <c r="W16" s="21"/>
      <c r="X16" s="21"/>
      <c r="Y16" s="330"/>
      <c r="Z16" s="328"/>
      <c r="AA16" s="21"/>
      <c r="AB16" s="21"/>
      <c r="AC16" s="330"/>
      <c r="AD16" s="328"/>
      <c r="AE16" s="21"/>
      <c r="AF16" s="21"/>
      <c r="AG16" s="330"/>
      <c r="AH16" s="21"/>
      <c r="AI16" s="21"/>
      <c r="AJ16" s="21"/>
      <c r="AK16" s="330"/>
      <c r="AL16" s="328"/>
      <c r="AM16" s="21"/>
      <c r="AN16" s="21"/>
      <c r="AO16" s="330"/>
      <c r="AP16" s="328"/>
      <c r="AQ16" s="21"/>
      <c r="AR16" s="21"/>
      <c r="AS16" s="330"/>
      <c r="AT16" s="328"/>
      <c r="AU16" s="21"/>
      <c r="AV16" s="21"/>
      <c r="AW16" s="330"/>
      <c r="AX16" s="328"/>
      <c r="AY16" s="21"/>
      <c r="AZ16" s="21"/>
      <c r="BA16" s="21"/>
      <c r="BB16" s="328"/>
      <c r="BC16" s="21"/>
      <c r="BD16" s="21"/>
      <c r="BE16" s="330"/>
      <c r="BF16" s="328"/>
      <c r="BG16" s="21"/>
      <c r="BH16" s="21"/>
      <c r="BI16" s="330"/>
      <c r="BJ16" s="328"/>
      <c r="BK16" s="21"/>
      <c r="BL16" s="21"/>
      <c r="BM16" s="330"/>
      <c r="BN16" s="328"/>
      <c r="BO16" s="21"/>
      <c r="BP16" s="21"/>
      <c r="BQ16" s="329"/>
      <c r="BR16" s="328"/>
      <c r="BS16" s="21"/>
      <c r="BT16" s="21"/>
      <c r="BU16" s="330"/>
      <c r="BV16" s="328"/>
      <c r="BW16" s="21"/>
      <c r="BX16" s="21"/>
      <c r="BY16" s="330"/>
      <c r="BZ16" s="328"/>
      <c r="CA16" s="21"/>
      <c r="CB16" s="21"/>
      <c r="CC16" s="21"/>
      <c r="CD16" s="328"/>
      <c r="CE16" s="21"/>
      <c r="CF16" s="21"/>
      <c r="CG16" s="329"/>
      <c r="CH16" s="328"/>
      <c r="CI16" s="21"/>
      <c r="CJ16" s="21"/>
      <c r="CK16" s="329"/>
      <c r="CL16" s="328"/>
      <c r="CM16" s="21"/>
      <c r="CN16" s="21"/>
      <c r="CO16" s="329"/>
      <c r="CP16" s="328"/>
      <c r="CQ16" s="21"/>
      <c r="CR16" s="21"/>
      <c r="CS16" s="330"/>
      <c r="CT16" s="328"/>
      <c r="CU16" s="21"/>
      <c r="CV16" s="21"/>
      <c r="CW16" s="330"/>
      <c r="CX16" s="328"/>
      <c r="CY16" s="21"/>
      <c r="CZ16" s="21"/>
      <c r="DA16" s="330"/>
      <c r="DB16" s="328"/>
      <c r="DE16" s="349"/>
    </row>
    <row r="17" spans="1:109" ht="12.75">
      <c r="A17" s="340"/>
      <c r="B17" s="331"/>
      <c r="E17" s="332"/>
      <c r="F17" s="331"/>
      <c r="I17" s="332"/>
      <c r="J17" s="331"/>
      <c r="M17" s="332"/>
      <c r="N17" s="331"/>
      <c r="Q17" s="332"/>
      <c r="R17" s="331"/>
      <c r="U17" s="332"/>
      <c r="V17" s="331"/>
      <c r="Y17" s="332"/>
      <c r="Z17" s="331"/>
      <c r="AC17" s="332"/>
      <c r="AD17" s="331"/>
      <c r="AG17" s="332"/>
      <c r="AK17" s="332"/>
      <c r="AL17" s="331"/>
      <c r="AO17" s="332"/>
      <c r="AP17" s="331"/>
      <c r="AS17" s="332"/>
      <c r="AT17" s="331"/>
      <c r="AW17" s="332"/>
      <c r="AX17" s="331"/>
      <c r="BB17" s="331"/>
      <c r="BE17" s="332"/>
      <c r="BF17" s="331"/>
      <c r="BI17" s="332"/>
      <c r="BJ17" s="331"/>
      <c r="BM17" s="332"/>
      <c r="BN17" s="331"/>
      <c r="BQ17" s="332"/>
      <c r="BR17" s="331"/>
      <c r="BU17" s="332"/>
      <c r="BV17" s="331"/>
      <c r="BY17" s="332"/>
      <c r="BZ17" s="331"/>
      <c r="CD17" s="331"/>
      <c r="CG17" s="332"/>
      <c r="CH17" s="331"/>
      <c r="CK17" s="332"/>
      <c r="CL17" s="331"/>
      <c r="CO17" s="332"/>
      <c r="CP17" s="331"/>
      <c r="CS17" s="332"/>
      <c r="CT17" s="331"/>
      <c r="CW17" s="332"/>
      <c r="CX17" s="347"/>
      <c r="DA17" s="332"/>
      <c r="DB17" s="331"/>
      <c r="DE17" s="332"/>
    </row>
    <row r="18" spans="1:109" ht="25.5">
      <c r="A18" s="341" t="s">
        <v>488</v>
      </c>
      <c r="B18" s="331"/>
      <c r="E18" s="332"/>
      <c r="F18" s="331"/>
      <c r="I18" s="332"/>
      <c r="J18" s="331"/>
      <c r="M18" s="332"/>
      <c r="N18" s="331"/>
      <c r="Q18" s="332"/>
      <c r="R18" s="331"/>
      <c r="U18" s="332"/>
      <c r="V18" s="331"/>
      <c r="Y18" s="332"/>
      <c r="Z18" s="331"/>
      <c r="AC18" s="332"/>
      <c r="AD18" s="331"/>
      <c r="AG18" s="332"/>
      <c r="AK18" s="332"/>
      <c r="AL18" s="331"/>
      <c r="AO18" s="332"/>
      <c r="AP18" s="331"/>
      <c r="AS18" s="333"/>
      <c r="AT18" s="331"/>
      <c r="AW18" s="332"/>
      <c r="AX18" s="331"/>
      <c r="BB18" s="331"/>
      <c r="BE18" s="332"/>
      <c r="BF18" s="331"/>
      <c r="BI18" s="332"/>
      <c r="BJ18" s="331"/>
      <c r="BM18" s="332"/>
      <c r="BN18" s="331"/>
      <c r="BQ18" s="332"/>
      <c r="BR18" s="331"/>
      <c r="BU18" s="332"/>
      <c r="BV18" s="331"/>
      <c r="BY18" s="332"/>
      <c r="BZ18" s="331"/>
      <c r="CD18" s="331"/>
      <c r="CG18" s="332"/>
      <c r="CH18" s="331"/>
      <c r="CK18" s="332"/>
      <c r="CL18" s="331"/>
      <c r="CO18" s="332"/>
      <c r="CP18" s="331"/>
      <c r="CS18" s="332"/>
      <c r="CT18" s="331"/>
      <c r="CW18" s="332"/>
      <c r="CX18" s="347"/>
      <c r="DA18" s="332"/>
      <c r="DB18" s="331"/>
      <c r="DE18" s="332"/>
    </row>
    <row r="19" spans="1:109" ht="12.75">
      <c r="A19" s="344" t="s">
        <v>489</v>
      </c>
      <c r="B19" s="326">
        <v>926525</v>
      </c>
      <c r="C19" s="23">
        <v>984621</v>
      </c>
      <c r="D19" s="23">
        <v>973296</v>
      </c>
      <c r="E19" s="327">
        <f>ROUND(D19/C19*100,2)</f>
        <v>98.85</v>
      </c>
      <c r="F19" s="326">
        <v>394911</v>
      </c>
      <c r="G19" s="23">
        <v>418441</v>
      </c>
      <c r="H19" s="23">
        <v>450642</v>
      </c>
      <c r="I19" s="327">
        <f>ROUND(H19/G19*100,2)</f>
        <v>107.7</v>
      </c>
      <c r="J19" s="326">
        <v>102219</v>
      </c>
      <c r="K19" s="23">
        <v>123999</v>
      </c>
      <c r="L19" s="23">
        <v>129880</v>
      </c>
      <c r="M19" s="327">
        <f>ROUND(L19/K19*100,2)</f>
        <v>104.74</v>
      </c>
      <c r="N19" s="326"/>
      <c r="O19" s="23"/>
      <c r="P19" s="23">
        <v>712</v>
      </c>
      <c r="Q19" s="327"/>
      <c r="R19" s="326">
        <v>17211</v>
      </c>
      <c r="S19" s="23">
        <v>146180</v>
      </c>
      <c r="T19" s="23">
        <v>146180</v>
      </c>
      <c r="U19" s="327">
        <f>ROUND(T19/S19*100,2)</f>
        <v>100</v>
      </c>
      <c r="V19" s="326">
        <v>81349</v>
      </c>
      <c r="W19" s="23">
        <v>26515</v>
      </c>
      <c r="X19" s="23">
        <v>26576</v>
      </c>
      <c r="Y19" s="327">
        <f>ROUND(X19/W19*100,2)</f>
        <v>100.23</v>
      </c>
      <c r="Z19" s="326">
        <v>57150</v>
      </c>
      <c r="AA19" s="23">
        <v>8900</v>
      </c>
      <c r="AB19" s="23">
        <v>13905</v>
      </c>
      <c r="AC19" s="327">
        <f>ROUND(AB19/AA19*100,2)</f>
        <v>156.24</v>
      </c>
      <c r="AD19" s="328">
        <f aca="true" t="shared" si="28" ref="AD19:AF21">B19+F19+J19+N19+R19+V19+Z19</f>
        <v>1579365</v>
      </c>
      <c r="AE19" s="21">
        <f t="shared" si="28"/>
        <v>1708656</v>
      </c>
      <c r="AF19" s="21">
        <f t="shared" si="28"/>
        <v>1741191</v>
      </c>
      <c r="AG19" s="327">
        <f>ROUND(AF19/AE19*100,2)</f>
        <v>101.9</v>
      </c>
      <c r="AH19" s="23">
        <v>250411</v>
      </c>
      <c r="AI19" s="23">
        <v>320487</v>
      </c>
      <c r="AJ19" s="23">
        <v>320487</v>
      </c>
      <c r="AK19" s="327">
        <f>ROUND(AJ19/AI19*100,2)</f>
        <v>100</v>
      </c>
      <c r="AL19" s="326"/>
      <c r="AM19" s="23"/>
      <c r="AN19" s="23">
        <v>29478</v>
      </c>
      <c r="AO19" s="333"/>
      <c r="AP19" s="328">
        <f aca="true" t="shared" si="29" ref="AP19:AR21">AH19+AL19</f>
        <v>250411</v>
      </c>
      <c r="AQ19" s="21">
        <f t="shared" si="29"/>
        <v>320487</v>
      </c>
      <c r="AR19" s="21">
        <f t="shared" si="29"/>
        <v>349965</v>
      </c>
      <c r="AS19" s="327">
        <f>ROUND(AR19/AQ19*100,2)</f>
        <v>109.2</v>
      </c>
      <c r="AT19" s="328">
        <f aca="true" t="shared" si="30" ref="AT19:AV21">AD19+AP19</f>
        <v>1829776</v>
      </c>
      <c r="AU19" s="21">
        <f t="shared" si="30"/>
        <v>2029143</v>
      </c>
      <c r="AV19" s="21">
        <f t="shared" si="30"/>
        <v>2091156</v>
      </c>
      <c r="AW19" s="327">
        <f>ROUND(AV19/AU19*100,2)</f>
        <v>103.06</v>
      </c>
      <c r="AX19" s="326">
        <v>197950</v>
      </c>
      <c r="AY19" s="23">
        <v>208800</v>
      </c>
      <c r="AZ19" s="23">
        <f>212643-11918</f>
        <v>200725</v>
      </c>
      <c r="BA19" s="44">
        <f>ROUND(AZ19/AY19*100,2)</f>
        <v>96.13</v>
      </c>
      <c r="BB19" s="326">
        <v>56550</v>
      </c>
      <c r="BC19" s="23">
        <v>59252</v>
      </c>
      <c r="BD19" s="23">
        <v>57303</v>
      </c>
      <c r="BE19" s="327">
        <f>ROUND(BD19/BC19*100,2)</f>
        <v>96.71</v>
      </c>
      <c r="BF19" s="326">
        <v>465803</v>
      </c>
      <c r="BG19" s="23">
        <v>495742</v>
      </c>
      <c r="BH19" s="23">
        <v>467322</v>
      </c>
      <c r="BI19" s="327">
        <f>ROUND(BH19/BG19*100,2)</f>
        <v>94.27</v>
      </c>
      <c r="BJ19" s="326">
        <v>39605</v>
      </c>
      <c r="BK19" s="23">
        <v>38547</v>
      </c>
      <c r="BL19" s="23">
        <v>28703</v>
      </c>
      <c r="BM19" s="327">
        <f>ROUND(BL19/BK19*100,2)</f>
        <v>74.46</v>
      </c>
      <c r="BN19" s="326">
        <v>562892</v>
      </c>
      <c r="BO19" s="23">
        <v>647336</v>
      </c>
      <c r="BP19" s="23">
        <v>647726</v>
      </c>
      <c r="BQ19" s="327">
        <f>ROUND(BP19/BO19*100,2)</f>
        <v>100.06</v>
      </c>
      <c r="BR19" s="326">
        <v>31000</v>
      </c>
      <c r="BS19" s="23">
        <v>0</v>
      </c>
      <c r="BT19" s="23"/>
      <c r="BU19" s="333"/>
      <c r="BV19" s="326">
        <f aca="true" t="shared" si="31" ref="BV19:BX21">BN19+BR19</f>
        <v>593892</v>
      </c>
      <c r="BW19" s="23">
        <f t="shared" si="31"/>
        <v>647336</v>
      </c>
      <c r="BX19" s="23">
        <f t="shared" si="31"/>
        <v>647726</v>
      </c>
      <c r="BY19" s="327">
        <f>ROUND(BX19/BW19*100,2)</f>
        <v>100.06</v>
      </c>
      <c r="BZ19" s="326">
        <v>241213</v>
      </c>
      <c r="CA19" s="23">
        <v>178169</v>
      </c>
      <c r="CB19" s="23">
        <v>150483</v>
      </c>
      <c r="CC19" s="44">
        <f>ROUND(CB19/CA19*100,2)</f>
        <v>84.46</v>
      </c>
      <c r="CD19" s="326">
        <v>54047</v>
      </c>
      <c r="CE19" s="23">
        <v>204118</v>
      </c>
      <c r="CF19" s="23">
        <v>161010</v>
      </c>
      <c r="CG19" s="327">
        <f>ROUND(CF19/CE19*100,2)</f>
        <v>78.88</v>
      </c>
      <c r="CH19" s="326">
        <v>12434</v>
      </c>
      <c r="CI19" s="23">
        <v>14434</v>
      </c>
      <c r="CJ19" s="23">
        <v>14434</v>
      </c>
      <c r="CK19" s="327">
        <f>ROUND(CJ19/CI19*100,2)</f>
        <v>100</v>
      </c>
      <c r="CL19" s="326"/>
      <c r="CM19" s="23"/>
      <c r="CN19" s="23"/>
      <c r="CO19" s="333"/>
      <c r="CP19" s="326">
        <f aca="true" t="shared" si="32" ref="CP19:CR21">CH19+CL19</f>
        <v>12434</v>
      </c>
      <c r="CQ19" s="23">
        <f t="shared" si="32"/>
        <v>14434</v>
      </c>
      <c r="CR19" s="23">
        <f t="shared" si="32"/>
        <v>14434</v>
      </c>
      <c r="CS19" s="327">
        <f>ROUND(CR19/CQ19*100,2)</f>
        <v>100</v>
      </c>
      <c r="CT19" s="326"/>
      <c r="CU19" s="23">
        <v>25139</v>
      </c>
      <c r="CV19" s="23">
        <v>25139</v>
      </c>
      <c r="CW19" s="327">
        <f>ROUND(CV19/CU19*100,2)</f>
        <v>100</v>
      </c>
      <c r="CX19" s="328">
        <f aca="true" t="shared" si="33" ref="CX19:CZ21">AX19+BB19+BF19+BJ19+BV19+BZ19+CD19+CP19+CT19</f>
        <v>1661494</v>
      </c>
      <c r="CY19" s="21">
        <f t="shared" si="33"/>
        <v>1871537</v>
      </c>
      <c r="CZ19" s="21">
        <f t="shared" si="33"/>
        <v>1752845</v>
      </c>
      <c r="DA19" s="327">
        <f>ROUND(CZ19/CY19*100,2)</f>
        <v>93.66</v>
      </c>
      <c r="DB19" s="326"/>
      <c r="DC19" s="23"/>
      <c r="DD19" s="23"/>
      <c r="DE19" s="333"/>
    </row>
    <row r="20" spans="1:109" ht="12.75">
      <c r="A20" s="344" t="s">
        <v>490</v>
      </c>
      <c r="B20" s="326">
        <v>2021</v>
      </c>
      <c r="C20" s="23">
        <v>45517</v>
      </c>
      <c r="D20" s="23">
        <v>46255</v>
      </c>
      <c r="E20" s="327">
        <f>ROUND(D20/C20*100,2)</f>
        <v>101.62</v>
      </c>
      <c r="F20" s="326"/>
      <c r="G20" s="23"/>
      <c r="H20" s="23"/>
      <c r="I20" s="327"/>
      <c r="J20" s="326">
        <v>41051</v>
      </c>
      <c r="K20" s="23">
        <v>42824</v>
      </c>
      <c r="L20" s="23">
        <v>42600</v>
      </c>
      <c r="M20" s="327">
        <f>ROUND(L20/K20*100,2)</f>
        <v>99.48</v>
      </c>
      <c r="N20" s="326">
        <v>11359</v>
      </c>
      <c r="O20" s="23">
        <v>22400</v>
      </c>
      <c r="P20" s="23">
        <v>21817</v>
      </c>
      <c r="Q20" s="327">
        <f>ROUND(P20/O20*100,2)</f>
        <v>97.4</v>
      </c>
      <c r="R20" s="326"/>
      <c r="S20" s="23"/>
      <c r="T20" s="23"/>
      <c r="U20" s="327"/>
      <c r="V20" s="326"/>
      <c r="W20" s="23"/>
      <c r="X20" s="23"/>
      <c r="Y20" s="327"/>
      <c r="Z20" s="326">
        <v>8450</v>
      </c>
      <c r="AA20" s="23">
        <v>8400</v>
      </c>
      <c r="AB20" s="23">
        <v>9474</v>
      </c>
      <c r="AC20" s="327">
        <f>ROUND(AB20/AA20*100,2)</f>
        <v>112.79</v>
      </c>
      <c r="AD20" s="328">
        <f t="shared" si="28"/>
        <v>62881</v>
      </c>
      <c r="AE20" s="21">
        <f t="shared" si="28"/>
        <v>119141</v>
      </c>
      <c r="AF20" s="21">
        <f t="shared" si="28"/>
        <v>120146</v>
      </c>
      <c r="AG20" s="327">
        <f>ROUND(AF20/AE20*100,2)</f>
        <v>100.84</v>
      </c>
      <c r="AH20" s="23"/>
      <c r="AI20" s="23"/>
      <c r="AJ20" s="23"/>
      <c r="AK20" s="327"/>
      <c r="AL20" s="326"/>
      <c r="AM20" s="23"/>
      <c r="AN20" s="23"/>
      <c r="AO20" s="333"/>
      <c r="AP20" s="328">
        <f t="shared" si="29"/>
        <v>0</v>
      </c>
      <c r="AQ20" s="21">
        <f t="shared" si="29"/>
        <v>0</v>
      </c>
      <c r="AR20" s="21">
        <f t="shared" si="29"/>
        <v>0</v>
      </c>
      <c r="AS20" s="327"/>
      <c r="AT20" s="328">
        <f t="shared" si="30"/>
        <v>62881</v>
      </c>
      <c r="AU20" s="21">
        <f t="shared" si="30"/>
        <v>119141</v>
      </c>
      <c r="AV20" s="21">
        <f t="shared" si="30"/>
        <v>120146</v>
      </c>
      <c r="AW20" s="327">
        <f>ROUND(AV20/AU20*100,2)</f>
        <v>100.84</v>
      </c>
      <c r="AX20" s="326">
        <v>26116</v>
      </c>
      <c r="AY20" s="23">
        <v>34475</v>
      </c>
      <c r="AZ20" s="23">
        <v>29892</v>
      </c>
      <c r="BA20" s="44">
        <f>ROUND(AZ20/AY20*100,2)</f>
        <v>86.71</v>
      </c>
      <c r="BB20" s="326">
        <v>7449</v>
      </c>
      <c r="BC20" s="23">
        <v>9973</v>
      </c>
      <c r="BD20" s="23">
        <v>8138</v>
      </c>
      <c r="BE20" s="327">
        <f>ROUND(BD20/BC20*100,2)</f>
        <v>81.6</v>
      </c>
      <c r="BF20" s="326">
        <v>75492</v>
      </c>
      <c r="BG20" s="23">
        <v>108602</v>
      </c>
      <c r="BH20" s="23">
        <v>110835</v>
      </c>
      <c r="BI20" s="327">
        <f>ROUND(BH20/BG20*100,2)</f>
        <v>102.06</v>
      </c>
      <c r="BJ20" s="326"/>
      <c r="BK20" s="23"/>
      <c r="BL20" s="23"/>
      <c r="BM20" s="327"/>
      <c r="BN20" s="326">
        <v>13052</v>
      </c>
      <c r="BO20" s="23">
        <v>15508</v>
      </c>
      <c r="BP20" s="23">
        <v>14829</v>
      </c>
      <c r="BQ20" s="327">
        <f>ROUND(BP20/BO20*100,2)</f>
        <v>95.62</v>
      </c>
      <c r="BR20" s="326">
        <v>1300</v>
      </c>
      <c r="BS20" s="23">
        <v>0</v>
      </c>
      <c r="BT20" s="23"/>
      <c r="BU20" s="333"/>
      <c r="BV20" s="326">
        <f t="shared" si="31"/>
        <v>14352</v>
      </c>
      <c r="BW20" s="23">
        <f t="shared" si="31"/>
        <v>15508</v>
      </c>
      <c r="BX20" s="23">
        <f t="shared" si="31"/>
        <v>14829</v>
      </c>
      <c r="BY20" s="327">
        <f>ROUND(BX20/BW20*100,2)</f>
        <v>95.62</v>
      </c>
      <c r="BZ20" s="326">
        <v>6400</v>
      </c>
      <c r="CA20" s="23">
        <v>7035</v>
      </c>
      <c r="CB20" s="23">
        <v>2935</v>
      </c>
      <c r="CC20" s="44">
        <f>ROUND(CB20/CA20*100,2)</f>
        <v>41.72</v>
      </c>
      <c r="CD20" s="326"/>
      <c r="CE20" s="23"/>
      <c r="CF20" s="23"/>
      <c r="CG20" s="327"/>
      <c r="CH20" s="326">
        <v>2450</v>
      </c>
      <c r="CI20" s="23">
        <v>2450</v>
      </c>
      <c r="CJ20" s="23">
        <v>1000</v>
      </c>
      <c r="CK20" s="327">
        <f>ROUND(CJ20/CI20*100,2)</f>
        <v>40.82</v>
      </c>
      <c r="CL20" s="326"/>
      <c r="CM20" s="23"/>
      <c r="CN20" s="23"/>
      <c r="CO20" s="333"/>
      <c r="CP20" s="326">
        <f t="shared" si="32"/>
        <v>2450</v>
      </c>
      <c r="CQ20" s="23">
        <f t="shared" si="32"/>
        <v>2450</v>
      </c>
      <c r="CR20" s="23">
        <f t="shared" si="32"/>
        <v>1000</v>
      </c>
      <c r="CS20" s="327">
        <f>ROUND(CR20/CQ20*100,2)</f>
        <v>40.82</v>
      </c>
      <c r="CT20" s="326"/>
      <c r="CU20" s="23"/>
      <c r="CV20" s="23"/>
      <c r="CW20" s="327"/>
      <c r="CX20" s="328">
        <f t="shared" si="33"/>
        <v>132259</v>
      </c>
      <c r="CY20" s="21">
        <f t="shared" si="33"/>
        <v>178043</v>
      </c>
      <c r="CZ20" s="21">
        <f t="shared" si="33"/>
        <v>167629</v>
      </c>
      <c r="DA20" s="327">
        <f>ROUND(CZ20/CY20*100,2)</f>
        <v>94.15</v>
      </c>
      <c r="DB20" s="326"/>
      <c r="DC20" s="23"/>
      <c r="DD20" s="23"/>
      <c r="DE20" s="333"/>
    </row>
    <row r="21" spans="1:109" ht="12.75">
      <c r="A21" s="344" t="s">
        <v>491</v>
      </c>
      <c r="B21" s="326">
        <v>0</v>
      </c>
      <c r="C21" s="23"/>
      <c r="D21" s="23"/>
      <c r="E21" s="327"/>
      <c r="F21" s="326"/>
      <c r="G21" s="23"/>
      <c r="H21" s="23"/>
      <c r="I21" s="327"/>
      <c r="J21" s="326"/>
      <c r="K21" s="23"/>
      <c r="L21" s="23"/>
      <c r="M21" s="327"/>
      <c r="N21" s="326"/>
      <c r="O21" s="23"/>
      <c r="P21" s="23"/>
      <c r="Q21" s="327"/>
      <c r="R21" s="326"/>
      <c r="S21" s="23"/>
      <c r="T21" s="23"/>
      <c r="U21" s="327"/>
      <c r="V21" s="326"/>
      <c r="W21" s="23"/>
      <c r="X21" s="23"/>
      <c r="Y21" s="327"/>
      <c r="Z21" s="326"/>
      <c r="AA21" s="23"/>
      <c r="AB21" s="23"/>
      <c r="AC21" s="327"/>
      <c r="AD21" s="328">
        <f t="shared" si="28"/>
        <v>0</v>
      </c>
      <c r="AE21" s="21">
        <f t="shared" si="28"/>
        <v>0</v>
      </c>
      <c r="AF21" s="21">
        <f t="shared" si="28"/>
        <v>0</v>
      </c>
      <c r="AG21" s="327"/>
      <c r="AH21" s="23"/>
      <c r="AI21" s="23"/>
      <c r="AJ21" s="23"/>
      <c r="AK21" s="327"/>
      <c r="AL21" s="326"/>
      <c r="AM21" s="23"/>
      <c r="AN21" s="23"/>
      <c r="AO21" s="333"/>
      <c r="AP21" s="328">
        <f t="shared" si="29"/>
        <v>0</v>
      </c>
      <c r="AQ21" s="21">
        <f t="shared" si="29"/>
        <v>0</v>
      </c>
      <c r="AR21" s="21">
        <f t="shared" si="29"/>
        <v>0</v>
      </c>
      <c r="AS21" s="327"/>
      <c r="AT21" s="328">
        <f t="shared" si="30"/>
        <v>0</v>
      </c>
      <c r="AU21" s="21">
        <f t="shared" si="30"/>
        <v>0</v>
      </c>
      <c r="AV21" s="21">
        <f t="shared" si="30"/>
        <v>0</v>
      </c>
      <c r="AW21" s="327"/>
      <c r="AX21" s="326">
        <v>59268</v>
      </c>
      <c r="AY21" s="23">
        <v>59268</v>
      </c>
      <c r="AZ21" s="23">
        <v>56951</v>
      </c>
      <c r="BA21" s="44">
        <f>ROUND(AZ21/AY21*100,2)</f>
        <v>96.09</v>
      </c>
      <c r="BB21" s="326">
        <v>17536</v>
      </c>
      <c r="BC21" s="23">
        <v>17536</v>
      </c>
      <c r="BD21" s="23">
        <v>16522</v>
      </c>
      <c r="BE21" s="327">
        <f>ROUND(BD21/BC21*100,2)</f>
        <v>94.22</v>
      </c>
      <c r="BF21" s="326">
        <v>22100</v>
      </c>
      <c r="BG21" s="23">
        <v>22100</v>
      </c>
      <c r="BH21" s="23">
        <v>21453</v>
      </c>
      <c r="BI21" s="327">
        <f>ROUND(BH21/BG21*100,2)</f>
        <v>97.07</v>
      </c>
      <c r="BJ21" s="326"/>
      <c r="BK21" s="23"/>
      <c r="BL21" s="23"/>
      <c r="BM21" s="327"/>
      <c r="BN21" s="326"/>
      <c r="BO21" s="23"/>
      <c r="BP21" s="23"/>
      <c r="BQ21" s="327"/>
      <c r="BR21" s="326"/>
      <c r="BS21" s="23"/>
      <c r="BT21" s="23"/>
      <c r="BU21" s="333"/>
      <c r="BV21" s="326">
        <f t="shared" si="31"/>
        <v>0</v>
      </c>
      <c r="BW21" s="23">
        <f t="shared" si="31"/>
        <v>0</v>
      </c>
      <c r="BX21" s="23">
        <f t="shared" si="31"/>
        <v>0</v>
      </c>
      <c r="BY21" s="327"/>
      <c r="BZ21" s="326"/>
      <c r="CA21" s="23"/>
      <c r="CB21" s="23"/>
      <c r="CC21" s="44"/>
      <c r="CD21" s="326"/>
      <c r="CE21" s="23"/>
      <c r="CF21" s="23"/>
      <c r="CG21" s="327"/>
      <c r="CH21" s="326"/>
      <c r="CI21" s="23"/>
      <c r="CJ21" s="23"/>
      <c r="CK21" s="327"/>
      <c r="CL21" s="326"/>
      <c r="CM21" s="23"/>
      <c r="CN21" s="23"/>
      <c r="CO21" s="333"/>
      <c r="CP21" s="326">
        <f t="shared" si="32"/>
        <v>0</v>
      </c>
      <c r="CQ21" s="23">
        <f t="shared" si="32"/>
        <v>0</v>
      </c>
      <c r="CR21" s="23">
        <f t="shared" si="32"/>
        <v>0</v>
      </c>
      <c r="CS21" s="327"/>
      <c r="CT21" s="326"/>
      <c r="CU21" s="23"/>
      <c r="CV21" s="23"/>
      <c r="CW21" s="327"/>
      <c r="CX21" s="328">
        <f t="shared" si="33"/>
        <v>98904</v>
      </c>
      <c r="CY21" s="21">
        <f t="shared" si="33"/>
        <v>98904</v>
      </c>
      <c r="CZ21" s="21">
        <f t="shared" si="33"/>
        <v>94926</v>
      </c>
      <c r="DA21" s="327">
        <f>ROUND(CZ21/CY21*100,2)</f>
        <v>95.98</v>
      </c>
      <c r="DB21" s="326"/>
      <c r="DC21" s="23"/>
      <c r="DD21" s="23"/>
      <c r="DE21" s="333"/>
    </row>
    <row r="22" spans="1:126" s="22" customFormat="1" ht="12.75">
      <c r="A22" s="345" t="s">
        <v>4</v>
      </c>
      <c r="B22" s="334">
        <f>SUM(B19:B21)</f>
        <v>928546</v>
      </c>
      <c r="C22" s="335">
        <f>SUM(C19:C21)</f>
        <v>1030138</v>
      </c>
      <c r="D22" s="335">
        <f>SUM(D19:D21)</f>
        <v>1019551</v>
      </c>
      <c r="E22" s="337">
        <f>ROUND(D22/C22*100,2)</f>
        <v>98.97</v>
      </c>
      <c r="F22" s="334">
        <f>SUM(F19:F21)</f>
        <v>394911</v>
      </c>
      <c r="G22" s="335">
        <f>SUM(G19:G21)</f>
        <v>418441</v>
      </c>
      <c r="H22" s="335">
        <f>SUM(H19:H21)</f>
        <v>450642</v>
      </c>
      <c r="I22" s="337">
        <f>ROUND(H22/G22*100,2)</f>
        <v>107.7</v>
      </c>
      <c r="J22" s="334">
        <f>SUM(J19:J21)</f>
        <v>143270</v>
      </c>
      <c r="K22" s="335">
        <f>SUM(K19:K21)</f>
        <v>166823</v>
      </c>
      <c r="L22" s="335">
        <f>SUM(L19:L21)</f>
        <v>172480</v>
      </c>
      <c r="M22" s="337">
        <f>ROUND(L22/K22*100,2)</f>
        <v>103.39</v>
      </c>
      <c r="N22" s="334">
        <f>SUM(N19:N21)</f>
        <v>11359</v>
      </c>
      <c r="O22" s="335">
        <f>SUM(O19:O21)</f>
        <v>22400</v>
      </c>
      <c r="P22" s="335">
        <f>SUM(P19:P21)</f>
        <v>22529</v>
      </c>
      <c r="Q22" s="337">
        <f>ROUND(P22/O22*100,2)</f>
        <v>100.58</v>
      </c>
      <c r="R22" s="334">
        <f>SUM(R19:R21)</f>
        <v>17211</v>
      </c>
      <c r="S22" s="335">
        <f>SUM(S19:S21)</f>
        <v>146180</v>
      </c>
      <c r="T22" s="335">
        <f>SUM(T19:T21)</f>
        <v>146180</v>
      </c>
      <c r="U22" s="337">
        <f>ROUND(T22/S22*100,2)</f>
        <v>100</v>
      </c>
      <c r="V22" s="334">
        <f>SUM(V19:V21)</f>
        <v>81349</v>
      </c>
      <c r="W22" s="335">
        <f>SUM(W19:W21)</f>
        <v>26515</v>
      </c>
      <c r="X22" s="335">
        <f>SUM(X19:X21)</f>
        <v>26576</v>
      </c>
      <c r="Y22" s="337">
        <f>ROUND(X22/W22*100,2)</f>
        <v>100.23</v>
      </c>
      <c r="Z22" s="334">
        <f>SUM(Z19:Z21)</f>
        <v>65600</v>
      </c>
      <c r="AA22" s="335">
        <f>SUM(AA19:AA21)</f>
        <v>17300</v>
      </c>
      <c r="AB22" s="335">
        <f>SUM(AB19:AB21)</f>
        <v>23379</v>
      </c>
      <c r="AC22" s="337">
        <f>ROUND(AB22/AA22*100,2)</f>
        <v>135.14</v>
      </c>
      <c r="AD22" s="334">
        <f>SUM(AD19:AD21)</f>
        <v>1642246</v>
      </c>
      <c r="AE22" s="335">
        <f>SUM(AE19:AE21)</f>
        <v>1827797</v>
      </c>
      <c r="AF22" s="335">
        <f>SUM(AF19:AF21)</f>
        <v>1861337</v>
      </c>
      <c r="AG22" s="337">
        <f>ROUND(AF22/AE22*100,2)</f>
        <v>101.83</v>
      </c>
      <c r="AH22" s="335">
        <f>SUM(AH19:AH21)</f>
        <v>250411</v>
      </c>
      <c r="AI22" s="335">
        <f>SUM(AI19:AI21)</f>
        <v>320487</v>
      </c>
      <c r="AJ22" s="335">
        <f>SUM(AJ19:AJ21)</f>
        <v>320487</v>
      </c>
      <c r="AK22" s="337">
        <f>ROUND(AJ22/AI22*100,2)</f>
        <v>100</v>
      </c>
      <c r="AL22" s="334">
        <f>SUM(AL19:AL21)</f>
        <v>0</v>
      </c>
      <c r="AM22" s="335">
        <f>SUM(AM19:AM21)</f>
        <v>0</v>
      </c>
      <c r="AN22" s="335">
        <f>SUM(AN19:AN21)</f>
        <v>29478</v>
      </c>
      <c r="AO22" s="336"/>
      <c r="AP22" s="334">
        <f>SUM(AP19:AP21)</f>
        <v>250411</v>
      </c>
      <c r="AQ22" s="335">
        <f>SUM(AQ19:AQ21)</f>
        <v>320487</v>
      </c>
      <c r="AR22" s="335">
        <f>SUM(AR19:AR21)</f>
        <v>349965</v>
      </c>
      <c r="AS22" s="337">
        <f>ROUND(AR22/AQ22*100,2)</f>
        <v>109.2</v>
      </c>
      <c r="AT22" s="334">
        <f>SUM(AT19:AT21)</f>
        <v>1892657</v>
      </c>
      <c r="AU22" s="335">
        <f>SUM(AU19:AU21)</f>
        <v>2148284</v>
      </c>
      <c r="AV22" s="335">
        <f>SUM(AV19:AV21)</f>
        <v>2211302</v>
      </c>
      <c r="AW22" s="337">
        <f>ROUND(AV22/AU22*100,2)</f>
        <v>102.93</v>
      </c>
      <c r="AX22" s="334">
        <f>SUM(AX19:AX21)</f>
        <v>283334</v>
      </c>
      <c r="AY22" s="335">
        <f>SUM(AY19:AY21)</f>
        <v>302543</v>
      </c>
      <c r="AZ22" s="335">
        <f>SUM(AZ19:AZ21)</f>
        <v>287568</v>
      </c>
      <c r="BA22" s="346">
        <f>ROUND(AZ22/AY22*100,2)</f>
        <v>95.05</v>
      </c>
      <c r="BB22" s="334">
        <f>SUM(BB19:BB21)</f>
        <v>81535</v>
      </c>
      <c r="BC22" s="335">
        <f>SUM(BC19:BC21)</f>
        <v>86761</v>
      </c>
      <c r="BD22" s="335">
        <f>SUM(BD19:BD21)</f>
        <v>81963</v>
      </c>
      <c r="BE22" s="337">
        <f>ROUND(BD22/BC22*100,2)</f>
        <v>94.47</v>
      </c>
      <c r="BF22" s="334">
        <f>SUM(BF19:BF21)</f>
        <v>563395</v>
      </c>
      <c r="BG22" s="335">
        <f>SUM(BG19:BG21)</f>
        <v>626444</v>
      </c>
      <c r="BH22" s="335">
        <f>SUM(BH19:BH21)</f>
        <v>599610</v>
      </c>
      <c r="BI22" s="337">
        <f>ROUND(BH22/BG22*100,2)</f>
        <v>95.72</v>
      </c>
      <c r="BJ22" s="334">
        <f>SUM(BJ19:BJ21)</f>
        <v>39605</v>
      </c>
      <c r="BK22" s="335">
        <f>SUM(BK19:BK21)</f>
        <v>38547</v>
      </c>
      <c r="BL22" s="335">
        <f>SUM(BL19:BL21)</f>
        <v>28703</v>
      </c>
      <c r="BM22" s="337">
        <f>ROUND(BL22/BK22*100,2)</f>
        <v>74.46</v>
      </c>
      <c r="BN22" s="334">
        <f>SUM(BN19:BN21)</f>
        <v>575944</v>
      </c>
      <c r="BO22" s="335">
        <f>SUM(BO19:BO21)</f>
        <v>662844</v>
      </c>
      <c r="BP22" s="335">
        <f>SUM(BP19:BP21)</f>
        <v>662555</v>
      </c>
      <c r="BQ22" s="337">
        <f>ROUND(BP22/BO22*100,2)</f>
        <v>99.96</v>
      </c>
      <c r="BR22" s="334">
        <f>SUM(BR19:BR21)</f>
        <v>32300</v>
      </c>
      <c r="BS22" s="335">
        <f>SUM(BS19:BS21)</f>
        <v>0</v>
      </c>
      <c r="BT22" s="335">
        <f>SUM(BT19:BT21)</f>
        <v>0</v>
      </c>
      <c r="BU22" s="336"/>
      <c r="BV22" s="334">
        <f>SUM(BV19:BV21)</f>
        <v>608244</v>
      </c>
      <c r="BW22" s="335">
        <f>SUM(BW19:BW21)</f>
        <v>662844</v>
      </c>
      <c r="BX22" s="335">
        <f>SUM(BX19:BX21)</f>
        <v>662555</v>
      </c>
      <c r="BY22" s="337">
        <f>ROUND(BX22/BW22*100,2)</f>
        <v>99.96</v>
      </c>
      <c r="BZ22" s="334">
        <f>SUM(BZ19:BZ21)</f>
        <v>247613</v>
      </c>
      <c r="CA22" s="335">
        <f>SUM(CA19:CA21)</f>
        <v>185204</v>
      </c>
      <c r="CB22" s="335">
        <f>SUM(CB19:CB21)</f>
        <v>153418</v>
      </c>
      <c r="CC22" s="346">
        <f>ROUND(CB22/CA22*100,2)</f>
        <v>82.84</v>
      </c>
      <c r="CD22" s="334">
        <f>SUM(CD19:CD21)</f>
        <v>54047</v>
      </c>
      <c r="CE22" s="335">
        <f>SUM(CE19:CE21)</f>
        <v>204118</v>
      </c>
      <c r="CF22" s="335">
        <f>SUM(CF19:CF21)</f>
        <v>161010</v>
      </c>
      <c r="CG22" s="337">
        <f>ROUND(CF22/CE22*100,2)</f>
        <v>78.88</v>
      </c>
      <c r="CH22" s="334">
        <f>SUM(CH19:CH21)</f>
        <v>14884</v>
      </c>
      <c r="CI22" s="335">
        <f>SUM(CI19:CI21)</f>
        <v>16884</v>
      </c>
      <c r="CJ22" s="335">
        <f>SUM(CJ19:CJ21)</f>
        <v>15434</v>
      </c>
      <c r="CK22" s="337">
        <f>ROUND(CJ22/CI22*100,2)</f>
        <v>91.41</v>
      </c>
      <c r="CL22" s="334">
        <f>SUM(CL19:CL21)</f>
        <v>0</v>
      </c>
      <c r="CM22" s="335">
        <f>SUM(CM19:CM21)</f>
        <v>0</v>
      </c>
      <c r="CN22" s="335">
        <f>SUM(CN19:CN21)</f>
        <v>0</v>
      </c>
      <c r="CO22" s="336"/>
      <c r="CP22" s="334">
        <f>SUM(CP19:CP21)</f>
        <v>14884</v>
      </c>
      <c r="CQ22" s="335">
        <f>SUM(CQ19:CQ21)</f>
        <v>16884</v>
      </c>
      <c r="CR22" s="335">
        <f>SUM(CR19:CR21)</f>
        <v>15434</v>
      </c>
      <c r="CS22" s="337">
        <f>ROUND(CR22/CQ22*100,2)</f>
        <v>91.41</v>
      </c>
      <c r="CT22" s="334">
        <f>SUM(CT19:CT21)</f>
        <v>0</v>
      </c>
      <c r="CU22" s="335">
        <f>SUM(CU19:CU21)</f>
        <v>25139</v>
      </c>
      <c r="CV22" s="335">
        <f>SUM(CV19:CV21)</f>
        <v>25139</v>
      </c>
      <c r="CW22" s="337">
        <f>ROUND(CV22/CU22*100,2)</f>
        <v>100</v>
      </c>
      <c r="CX22" s="334">
        <f>SUM(CX19:CX21)</f>
        <v>1892657</v>
      </c>
      <c r="CY22" s="335">
        <f>SUM(CY19:CY21)</f>
        <v>2148484</v>
      </c>
      <c r="CZ22" s="335">
        <f>SUM(CZ19:CZ21)</f>
        <v>2015400</v>
      </c>
      <c r="DA22" s="337">
        <f>ROUND(CZ22/CY22*100,2)</f>
        <v>93.81</v>
      </c>
      <c r="DB22" s="350"/>
      <c r="DC22" s="351"/>
      <c r="DD22" s="351"/>
      <c r="DE22" s="352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</row>
    <row r="23" spans="37:49" ht="12.75">
      <c r="AK23" s="44"/>
      <c r="AW23" s="44"/>
    </row>
  </sheetData>
  <sheetProtection/>
  <mergeCells count="36">
    <mergeCell ref="CT3:DE3"/>
    <mergeCell ref="DB4:DE4"/>
    <mergeCell ref="CX4:DA4"/>
    <mergeCell ref="BJ3:BU3"/>
    <mergeCell ref="CP4:CS4"/>
    <mergeCell ref="CT4:CW4"/>
    <mergeCell ref="CL4:CO4"/>
    <mergeCell ref="BZ4:CC4"/>
    <mergeCell ref="CD4:CG4"/>
    <mergeCell ref="BN4:BQ4"/>
    <mergeCell ref="BR4:BU4"/>
    <mergeCell ref="BV3:CG3"/>
    <mergeCell ref="CH3:CS3"/>
    <mergeCell ref="AT4:AW4"/>
    <mergeCell ref="AX4:BA4"/>
    <mergeCell ref="BB4:BE4"/>
    <mergeCell ref="CH4:CK4"/>
    <mergeCell ref="BV4:BY4"/>
    <mergeCell ref="BJ4:BM4"/>
    <mergeCell ref="AX3:BI3"/>
    <mergeCell ref="BF4:BI4"/>
    <mergeCell ref="B3:M3"/>
    <mergeCell ref="N3:Y3"/>
    <mergeCell ref="Z3:AK3"/>
    <mergeCell ref="AL3:AW3"/>
    <mergeCell ref="B4:E4"/>
    <mergeCell ref="F4:I4"/>
    <mergeCell ref="J4:M4"/>
    <mergeCell ref="N4:Q4"/>
    <mergeCell ref="AP4:AS4"/>
    <mergeCell ref="R4:U4"/>
    <mergeCell ref="Z4:AC4"/>
    <mergeCell ref="AD4:AG4"/>
    <mergeCell ref="AL4:AO4"/>
    <mergeCell ref="AH4:AK4"/>
    <mergeCell ref="V4:Y4"/>
  </mergeCells>
  <printOptions/>
  <pageMargins left="0.64" right="0.49" top="0.7874015748031497" bottom="0.7874015748031497" header="0.5118110236220472" footer="0.5118110236220472"/>
  <pageSetup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3.75390625" style="2" customWidth="1"/>
    <col min="2" max="2" width="45.375" style="34" customWidth="1"/>
    <col min="3" max="3" width="10.00390625" style="2" customWidth="1"/>
    <col min="4" max="4" width="9.75390625" style="2" customWidth="1"/>
    <col min="5" max="5" width="9.125" style="13" customWidth="1"/>
    <col min="6" max="6" width="9.75390625" style="2" customWidth="1"/>
    <col min="7" max="16384" width="9.125" style="2" customWidth="1"/>
  </cols>
  <sheetData>
    <row r="1" spans="1:5" ht="13.5" customHeight="1">
      <c r="A1" s="275"/>
      <c r="B1" s="276" t="s">
        <v>499</v>
      </c>
      <c r="C1" s="275"/>
      <c r="D1" s="275"/>
      <c r="E1" s="156"/>
    </row>
    <row r="2" spans="1:5" ht="13.5">
      <c r="A2" s="147"/>
      <c r="C2" s="15"/>
      <c r="D2" s="14"/>
      <c r="E2" s="156"/>
    </row>
    <row r="3" spans="1:5" ht="21.75" customHeight="1">
      <c r="A3" s="398" t="s">
        <v>176</v>
      </c>
      <c r="B3" s="398"/>
      <c r="C3" s="398"/>
      <c r="D3" s="398"/>
      <c r="E3" s="398"/>
    </row>
    <row r="4" spans="1:5" ht="12.75">
      <c r="A4" s="398" t="s">
        <v>5</v>
      </c>
      <c r="B4" s="398"/>
      <c r="C4" s="398"/>
      <c r="D4" s="398"/>
      <c r="E4" s="398"/>
    </row>
    <row r="5" spans="1:6" ht="24">
      <c r="A5" s="148"/>
      <c r="B5" s="149"/>
      <c r="C5" s="150" t="s">
        <v>20</v>
      </c>
      <c r="D5" s="150" t="s">
        <v>412</v>
      </c>
      <c r="E5" s="150" t="s">
        <v>229</v>
      </c>
      <c r="F5" s="150" t="s">
        <v>231</v>
      </c>
    </row>
    <row r="6" spans="1:5" s="16" customFormat="1" ht="15" customHeight="1">
      <c r="A6" s="151" t="s">
        <v>1</v>
      </c>
      <c r="B6" s="152" t="s">
        <v>177</v>
      </c>
      <c r="C6" s="151"/>
      <c r="D6" s="151"/>
      <c r="E6" s="151"/>
    </row>
    <row r="7" spans="1:6" ht="15.75" customHeight="1">
      <c r="A7" s="153" t="s">
        <v>6</v>
      </c>
      <c r="B7" s="154" t="s">
        <v>101</v>
      </c>
      <c r="C7" s="155">
        <f>35000-4039+21388</f>
        <v>52349</v>
      </c>
      <c r="D7" s="155">
        <v>17515</v>
      </c>
      <c r="E7" s="160">
        <f>552+16963</f>
        <v>17515</v>
      </c>
      <c r="F7" s="194">
        <f>ROUND(E7/D7*100,2)</f>
        <v>100</v>
      </c>
    </row>
    <row r="8" spans="1:6" s="8" customFormat="1" ht="15" customHeight="1">
      <c r="A8" s="57" t="s">
        <v>7</v>
      </c>
      <c r="B8" s="51" t="s">
        <v>133</v>
      </c>
      <c r="C8" s="58">
        <v>9000</v>
      </c>
      <c r="D8" s="58">
        <v>9000</v>
      </c>
      <c r="E8" s="160">
        <f>5670+2233+1126</f>
        <v>9029</v>
      </c>
      <c r="F8" s="194">
        <f>ROUND(E8/D8*100,2)</f>
        <v>100.32</v>
      </c>
    </row>
    <row r="9" spans="1:6" s="8" customFormat="1" ht="15" customHeight="1">
      <c r="A9" s="57" t="s">
        <v>8</v>
      </c>
      <c r="B9" s="51" t="s">
        <v>178</v>
      </c>
      <c r="C9" s="58">
        <v>20000</v>
      </c>
      <c r="D9" s="58">
        <v>0</v>
      </c>
      <c r="E9" s="160"/>
      <c r="F9" s="194"/>
    </row>
    <row r="10" spans="1:6" s="8" customFormat="1" ht="15" customHeight="1">
      <c r="A10" s="57" t="s">
        <v>9</v>
      </c>
      <c r="B10" s="51" t="s">
        <v>244</v>
      </c>
      <c r="C10" s="58"/>
      <c r="D10" s="58"/>
      <c r="E10" s="160">
        <v>32</v>
      </c>
      <c r="F10" s="194"/>
    </row>
    <row r="11" spans="2:6" s="5" customFormat="1" ht="15" customHeight="1">
      <c r="B11" s="35" t="s">
        <v>4</v>
      </c>
      <c r="C11" s="45">
        <f>SUM(C7:C10)</f>
        <v>81349</v>
      </c>
      <c r="D11" s="45">
        <f>SUM(D7:D10)</f>
        <v>26515</v>
      </c>
      <c r="E11" s="157">
        <f>SUM(E7:E10)</f>
        <v>26576</v>
      </c>
      <c r="F11" s="5">
        <f>ROUND(E11/D11*100,2)</f>
        <v>100.23</v>
      </c>
    </row>
    <row r="12" spans="3:5" ht="9.75" customHeight="1">
      <c r="C12" s="15"/>
      <c r="D12" s="17"/>
      <c r="E12" s="110"/>
    </row>
    <row r="13" spans="1:5" s="5" customFormat="1" ht="15.75" customHeight="1">
      <c r="A13" s="112" t="s">
        <v>11</v>
      </c>
      <c r="B13" s="60" t="s">
        <v>179</v>
      </c>
      <c r="C13" s="7"/>
      <c r="E13" s="21"/>
    </row>
    <row r="14" spans="1:6" ht="15" customHeight="1">
      <c r="A14" s="50" t="s">
        <v>6</v>
      </c>
      <c r="B14" s="51" t="s">
        <v>73</v>
      </c>
      <c r="C14" s="58">
        <f>10500-8323</f>
        <v>2177</v>
      </c>
      <c r="D14" s="58">
        <v>39591</v>
      </c>
      <c r="E14" s="160">
        <v>39591</v>
      </c>
      <c r="F14" s="194">
        <f>ROUND(E14/D14*100,2)</f>
        <v>100</v>
      </c>
    </row>
    <row r="15" spans="1:6" ht="15" customHeight="1">
      <c r="A15" s="57" t="s">
        <v>7</v>
      </c>
      <c r="B15" s="51" t="s">
        <v>76</v>
      </c>
      <c r="C15" s="58">
        <v>12434</v>
      </c>
      <c r="D15" s="58">
        <v>570</v>
      </c>
      <c r="E15" s="160">
        <v>570</v>
      </c>
      <c r="F15" s="194"/>
    </row>
    <row r="16" spans="1:6" ht="15" customHeight="1">
      <c r="A16" s="50" t="s">
        <v>8</v>
      </c>
      <c r="B16" s="51" t="s">
        <v>77</v>
      </c>
      <c r="C16" s="58">
        <v>2600</v>
      </c>
      <c r="D16" s="58">
        <v>2545</v>
      </c>
      <c r="E16" s="160">
        <v>2545</v>
      </c>
      <c r="F16" s="194">
        <f aca="true" t="shared" si="0" ref="F16:F22">ROUND(E16/D16*100,2)</f>
        <v>100</v>
      </c>
    </row>
    <row r="17" spans="1:6" ht="15" customHeight="1">
      <c r="A17" s="50" t="s">
        <v>9</v>
      </c>
      <c r="B17" s="51" t="s">
        <v>81</v>
      </c>
      <c r="C17" s="58"/>
      <c r="D17" s="70">
        <v>70194</v>
      </c>
      <c r="E17" s="160">
        <v>70194</v>
      </c>
      <c r="F17" s="194">
        <f t="shared" si="0"/>
        <v>100</v>
      </c>
    </row>
    <row r="18" spans="1:6" ht="15" customHeight="1">
      <c r="A18" s="50" t="s">
        <v>10</v>
      </c>
      <c r="B18" s="51" t="s">
        <v>250</v>
      </c>
      <c r="C18" s="58"/>
      <c r="D18" s="70">
        <v>30000</v>
      </c>
      <c r="E18" s="160">
        <v>30000</v>
      </c>
      <c r="F18" s="194">
        <f t="shared" si="0"/>
        <v>100</v>
      </c>
    </row>
    <row r="19" spans="1:6" ht="25.5">
      <c r="A19" s="50" t="s">
        <v>27</v>
      </c>
      <c r="B19" s="51" t="s">
        <v>251</v>
      </c>
      <c r="C19" s="58"/>
      <c r="D19" s="70">
        <v>1000</v>
      </c>
      <c r="E19" s="160">
        <v>1000</v>
      </c>
      <c r="F19" s="194">
        <f t="shared" si="0"/>
        <v>100</v>
      </c>
    </row>
    <row r="20" spans="1:6" ht="12.75">
      <c r="A20" s="50" t="s">
        <v>28</v>
      </c>
      <c r="B20" s="51" t="s">
        <v>428</v>
      </c>
      <c r="C20" s="58"/>
      <c r="D20" s="70">
        <v>280</v>
      </c>
      <c r="E20" s="160">
        <v>280</v>
      </c>
      <c r="F20" s="194">
        <f t="shared" si="0"/>
        <v>100</v>
      </c>
    </row>
    <row r="21" spans="1:6" ht="25.5">
      <c r="A21" s="50" t="s">
        <v>30</v>
      </c>
      <c r="B21" s="51" t="s">
        <v>427</v>
      </c>
      <c r="C21" s="58"/>
      <c r="D21" s="70">
        <v>2000</v>
      </c>
      <c r="E21" s="160">
        <v>2000</v>
      </c>
      <c r="F21" s="194">
        <f t="shared" si="0"/>
        <v>100</v>
      </c>
    </row>
    <row r="22" spans="2:6" s="5" customFormat="1" ht="15" customHeight="1">
      <c r="B22" s="35" t="s">
        <v>4</v>
      </c>
      <c r="C22" s="45">
        <f>SUM(C14:C21)</f>
        <v>17211</v>
      </c>
      <c r="D22" s="45">
        <f>SUM(D14:D21)</f>
        <v>146180</v>
      </c>
      <c r="E22" s="45">
        <f>SUM(E14:E21)</f>
        <v>146180</v>
      </c>
      <c r="F22" s="5">
        <f t="shared" si="0"/>
        <v>100</v>
      </c>
    </row>
    <row r="23" spans="2:5" ht="9" customHeight="1">
      <c r="B23" s="61"/>
      <c r="C23" s="3"/>
      <c r="E23" s="23"/>
    </row>
    <row r="24" spans="1:5" s="5" customFormat="1" ht="15" customHeight="1">
      <c r="A24" s="5" t="s">
        <v>12</v>
      </c>
      <c r="B24" s="60" t="s">
        <v>97</v>
      </c>
      <c r="C24" s="7"/>
      <c r="E24" s="21"/>
    </row>
    <row r="25" spans="1:5" s="5" customFormat="1" ht="26.25" customHeight="1">
      <c r="A25" s="114" t="s">
        <v>6</v>
      </c>
      <c r="B25" s="113" t="s">
        <v>181</v>
      </c>
      <c r="C25" s="7"/>
      <c r="E25" s="21"/>
    </row>
    <row r="26" spans="1:6" ht="15" customHeight="1">
      <c r="A26" s="50" t="s">
        <v>6</v>
      </c>
      <c r="B26" s="51" t="s">
        <v>100</v>
      </c>
      <c r="C26" s="58">
        <v>8900</v>
      </c>
      <c r="D26" s="58">
        <v>8900</v>
      </c>
      <c r="E26" s="160">
        <v>10889</v>
      </c>
      <c r="F26" s="17">
        <f>ROUND(E26/D26*100,2)</f>
        <v>122.35</v>
      </c>
    </row>
    <row r="27" spans="1:6" ht="15" customHeight="1">
      <c r="A27" s="50" t="s">
        <v>7</v>
      </c>
      <c r="B27" s="51" t="s">
        <v>246</v>
      </c>
      <c r="C27" s="58"/>
      <c r="D27" s="58"/>
      <c r="E27" s="160">
        <f>166+492+450+300+10+364+572</f>
        <v>2354</v>
      </c>
      <c r="F27" s="17"/>
    </row>
    <row r="28" spans="1:6" ht="15" customHeight="1">
      <c r="A28" s="50" t="s">
        <v>8</v>
      </c>
      <c r="B28" s="51" t="s">
        <v>259</v>
      </c>
      <c r="C28" s="58"/>
      <c r="D28" s="58"/>
      <c r="E28" s="160">
        <v>512</v>
      </c>
      <c r="F28" s="17"/>
    </row>
    <row r="29" spans="1:6" s="4" customFormat="1" ht="15" customHeight="1">
      <c r="A29" s="49" t="s">
        <v>9</v>
      </c>
      <c r="B29" s="52" t="s">
        <v>13</v>
      </c>
      <c r="C29" s="59">
        <v>1100</v>
      </c>
      <c r="D29" s="59">
        <v>1100</v>
      </c>
      <c r="E29" s="289">
        <v>1386</v>
      </c>
      <c r="F29" s="17">
        <f>ROUND(E29/D29*100,2)</f>
        <v>126</v>
      </c>
    </row>
    <row r="30" spans="1:6" ht="15" customHeight="1">
      <c r="A30" s="49" t="s">
        <v>10</v>
      </c>
      <c r="B30" s="52" t="s">
        <v>14</v>
      </c>
      <c r="C30" s="59">
        <v>6000</v>
      </c>
      <c r="D30" s="59">
        <v>6000</v>
      </c>
      <c r="E30" s="289">
        <v>6683</v>
      </c>
      <c r="F30" s="17">
        <f>ROUND(E30/D30*100,2)</f>
        <v>111.38</v>
      </c>
    </row>
    <row r="31" spans="1:6" ht="15" customHeight="1">
      <c r="A31" s="49" t="s">
        <v>27</v>
      </c>
      <c r="B31" s="52" t="s">
        <v>15</v>
      </c>
      <c r="C31" s="59">
        <v>1350</v>
      </c>
      <c r="D31" s="59">
        <v>1350</v>
      </c>
      <c r="E31" s="289">
        <v>1405</v>
      </c>
      <c r="F31" s="211">
        <f>ROUND(E31/D31*100,2)</f>
        <v>104.07</v>
      </c>
    </row>
    <row r="32" spans="2:6" s="5" customFormat="1" ht="15" customHeight="1">
      <c r="B32" s="113" t="s">
        <v>4</v>
      </c>
      <c r="C32" s="115">
        <f>SUM(C26:C31)</f>
        <v>17350</v>
      </c>
      <c r="D32" s="115">
        <f>SUM(D26:D31)</f>
        <v>17350</v>
      </c>
      <c r="E32" s="158">
        <f>SUM(E26:E31)</f>
        <v>23229</v>
      </c>
      <c r="F32" s="195">
        <f>ROUND(E32/D32*100,2)</f>
        <v>133.88</v>
      </c>
    </row>
    <row r="33" spans="1:5" s="5" customFormat="1" ht="15" customHeight="1">
      <c r="A33" s="8" t="s">
        <v>7</v>
      </c>
      <c r="B33" s="113" t="s">
        <v>180</v>
      </c>
      <c r="C33" s="7"/>
      <c r="E33" s="21"/>
    </row>
    <row r="34" spans="1:6" ht="15" customHeight="1">
      <c r="A34" s="57" t="s">
        <v>6</v>
      </c>
      <c r="B34" s="51" t="s">
        <v>81</v>
      </c>
      <c r="C34" s="58">
        <f>22409-9908+25980</f>
        <v>38481</v>
      </c>
      <c r="D34" s="161"/>
      <c r="E34" s="160"/>
      <c r="F34" s="17"/>
    </row>
    <row r="35" spans="1:6" s="4" customFormat="1" ht="15" customHeight="1">
      <c r="A35" s="50" t="s">
        <v>7</v>
      </c>
      <c r="B35" s="51" t="s">
        <v>102</v>
      </c>
      <c r="C35" s="58">
        <f>12703-2934</f>
        <v>9769</v>
      </c>
      <c r="D35" s="159"/>
      <c r="E35" s="160"/>
      <c r="F35" s="17"/>
    </row>
    <row r="36" spans="1:6" s="4" customFormat="1" ht="15" customHeight="1">
      <c r="A36" s="50" t="s">
        <v>8</v>
      </c>
      <c r="B36" s="51" t="s">
        <v>438</v>
      </c>
      <c r="C36" s="58">
        <v>0</v>
      </c>
      <c r="D36" s="159"/>
      <c r="E36" s="160">
        <v>150</v>
      </c>
      <c r="F36" s="211"/>
    </row>
    <row r="37" spans="2:6" s="5" customFormat="1" ht="15" customHeight="1">
      <c r="B37" s="116" t="s">
        <v>4</v>
      </c>
      <c r="C37" s="117">
        <f>SUM(C34:C36)</f>
        <v>48250</v>
      </c>
      <c r="D37" s="117">
        <f>SUM(D34:D36)</f>
        <v>0</v>
      </c>
      <c r="E37" s="117">
        <f>SUM(E34:E36)</f>
        <v>150</v>
      </c>
      <c r="F37" s="117"/>
    </row>
    <row r="38" spans="2:6" s="5" customFormat="1" ht="15" customHeight="1">
      <c r="B38" s="35" t="s">
        <v>4</v>
      </c>
      <c r="C38" s="45">
        <f>C32+C37</f>
        <v>65600</v>
      </c>
      <c r="D38" s="45">
        <f>D32+D37</f>
        <v>17350</v>
      </c>
      <c r="E38" s="45">
        <f>E32+E37</f>
        <v>23379</v>
      </c>
      <c r="F38" s="5">
        <f>ROUND(E38/D38*100,2)</f>
        <v>134.75</v>
      </c>
    </row>
    <row r="39" spans="2:5" s="5" customFormat="1" ht="9.75" customHeight="1">
      <c r="B39" s="60"/>
      <c r="C39" s="7"/>
      <c r="E39" s="21"/>
    </row>
    <row r="40" spans="2:6" s="5" customFormat="1" ht="26.25" customHeight="1">
      <c r="B40" s="35" t="s">
        <v>182</v>
      </c>
      <c r="C40" s="45">
        <f>C11+C22+C38</f>
        <v>164160</v>
      </c>
      <c r="D40" s="45">
        <f>D11+D22+D38</f>
        <v>190045</v>
      </c>
      <c r="E40" s="45">
        <f>E11+E22+E38</f>
        <v>196135</v>
      </c>
      <c r="F40" s="193">
        <f>ROUND(E40/D40*100,2)</f>
        <v>103.2</v>
      </c>
    </row>
    <row r="41" spans="2:5" s="5" customFormat="1" ht="7.5" customHeight="1">
      <c r="B41" s="35"/>
      <c r="C41" s="45"/>
      <c r="E41" s="46"/>
    </row>
    <row r="42" spans="1:5" s="5" customFormat="1" ht="15" customHeight="1">
      <c r="A42" s="5" t="s">
        <v>16</v>
      </c>
      <c r="B42" s="60" t="s">
        <v>183</v>
      </c>
      <c r="C42" s="7"/>
      <c r="E42" s="21"/>
    </row>
    <row r="43" spans="1:6" s="4" customFormat="1" ht="15" customHeight="1">
      <c r="A43" s="50" t="s">
        <v>6</v>
      </c>
      <c r="B43" s="51" t="s">
        <v>103</v>
      </c>
      <c r="C43" s="58">
        <v>15000</v>
      </c>
      <c r="D43" s="58">
        <v>15000</v>
      </c>
      <c r="E43" s="160">
        <v>15000</v>
      </c>
      <c r="F43" s="194">
        <f>ROUND(E43/D43*100,2)</f>
        <v>100</v>
      </c>
    </row>
    <row r="44" spans="1:6" s="4" customFormat="1" ht="15" customHeight="1">
      <c r="A44" s="50" t="s">
        <v>7</v>
      </c>
      <c r="B44" s="51" t="s">
        <v>104</v>
      </c>
      <c r="C44" s="58">
        <v>14235</v>
      </c>
      <c r="D44" s="58">
        <v>14235</v>
      </c>
      <c r="E44" s="160">
        <v>14235</v>
      </c>
      <c r="F44" s="194">
        <f>ROUND(E44/D44*100,2)</f>
        <v>100</v>
      </c>
    </row>
    <row r="45" spans="1:6" s="4" customFormat="1" ht="15" customHeight="1">
      <c r="A45" s="50" t="s">
        <v>8</v>
      </c>
      <c r="B45" s="51" t="s">
        <v>105</v>
      </c>
      <c r="C45" s="58">
        <v>13614</v>
      </c>
      <c r="D45" s="58">
        <v>13614</v>
      </c>
      <c r="E45" s="160">
        <v>13614</v>
      </c>
      <c r="F45" s="194">
        <f>ROUND(E45/D45*100,2)</f>
        <v>100</v>
      </c>
    </row>
    <row r="46" spans="1:6" s="4" customFormat="1" ht="15" customHeight="1">
      <c r="A46" s="50" t="s">
        <v>9</v>
      </c>
      <c r="B46" s="51" t="s">
        <v>106</v>
      </c>
      <c r="C46" s="58">
        <f>142562-33027</f>
        <v>109535</v>
      </c>
      <c r="D46" s="58">
        <v>109535</v>
      </c>
      <c r="E46" s="160">
        <v>109535</v>
      </c>
      <c r="F46" s="194">
        <f>ROUND(E46/D46*100,2)</f>
        <v>100</v>
      </c>
    </row>
    <row r="47" spans="2:6" s="5" customFormat="1" ht="15" customHeight="1">
      <c r="B47" s="113" t="s">
        <v>4</v>
      </c>
      <c r="C47" s="115">
        <f>SUM(C43:C46)</f>
        <v>152384</v>
      </c>
      <c r="D47" s="115">
        <f>SUM(D43:D46)</f>
        <v>152384</v>
      </c>
      <c r="E47" s="115">
        <f>SUM(E43:E46)</f>
        <v>152384</v>
      </c>
      <c r="F47" s="195">
        <f>ROUND(E47/D47*100,2)</f>
        <v>100</v>
      </c>
    </row>
    <row r="48" spans="3:6" ht="15" customHeight="1">
      <c r="C48" s="10"/>
      <c r="D48" s="17"/>
      <c r="E48" s="110"/>
      <c r="F48" s="194"/>
    </row>
    <row r="49" spans="2:6" s="5" customFormat="1" ht="15" customHeight="1">
      <c r="B49" s="60" t="s">
        <v>184</v>
      </c>
      <c r="C49" s="7">
        <f>C47</f>
        <v>152384</v>
      </c>
      <c r="D49" s="7">
        <f>D47</f>
        <v>152384</v>
      </c>
      <c r="E49" s="7">
        <f>E47</f>
        <v>152384</v>
      </c>
      <c r="F49" s="193">
        <f>ROUND(E49/D49*100,2)</f>
        <v>100</v>
      </c>
    </row>
    <row r="50" spans="2:5" s="5" customFormat="1" ht="15" customHeight="1">
      <c r="B50" s="60"/>
      <c r="C50" s="7"/>
      <c r="E50" s="21"/>
    </row>
    <row r="51" spans="2:6" ht="15" customHeight="1">
      <c r="B51" s="35" t="s">
        <v>17</v>
      </c>
      <c r="C51" s="6">
        <f>C40+C49</f>
        <v>316544</v>
      </c>
      <c r="D51" s="6">
        <f>D40+D49</f>
        <v>342429</v>
      </c>
      <c r="E51" s="6">
        <f>E40+E49</f>
        <v>348519</v>
      </c>
      <c r="F51" s="5">
        <f>ROUND(E51/D51*100,2)</f>
        <v>101.78</v>
      </c>
    </row>
    <row r="52" spans="3:5" ht="12.75">
      <c r="C52" s="10"/>
      <c r="D52" s="17"/>
      <c r="E52" s="110"/>
    </row>
    <row r="53" spans="2:5" ht="12.75">
      <c r="B53" s="18" t="s">
        <v>83</v>
      </c>
      <c r="C53" s="10"/>
      <c r="D53" s="17"/>
      <c r="E53" s="110"/>
    </row>
    <row r="54" spans="2:6" ht="12.75">
      <c r="B54" s="63" t="s">
        <v>84</v>
      </c>
      <c r="C54" s="70">
        <f>C51-C55</f>
        <v>308094</v>
      </c>
      <c r="D54" s="70">
        <f>D51-D55</f>
        <v>333979</v>
      </c>
      <c r="E54" s="70">
        <f>E51-E55</f>
        <v>339045</v>
      </c>
      <c r="F54" s="2">
        <f>ROUND(E54/D54*100,2)</f>
        <v>101.52</v>
      </c>
    </row>
    <row r="55" spans="2:6" ht="12.75">
      <c r="B55" s="65" t="s">
        <v>82</v>
      </c>
      <c r="C55" s="67">
        <f>C31+C30+C29</f>
        <v>8450</v>
      </c>
      <c r="D55" s="67">
        <f>D31+D30+D29</f>
        <v>8450</v>
      </c>
      <c r="E55" s="67">
        <f>E31+E30+E29</f>
        <v>9474</v>
      </c>
      <c r="F55" s="2">
        <f>ROUND(E55/D55*100,2)</f>
        <v>112.12</v>
      </c>
    </row>
    <row r="56" spans="3:5" ht="12.75">
      <c r="C56" s="10"/>
      <c r="D56" s="17"/>
      <c r="E56" s="110"/>
    </row>
    <row r="57" spans="3:5" ht="12.75">
      <c r="C57" s="10"/>
      <c r="D57" s="17"/>
      <c r="E57" s="110"/>
    </row>
  </sheetData>
  <sheetProtection/>
  <mergeCells count="2">
    <mergeCell ref="A3:E3"/>
    <mergeCell ref="A4:E4"/>
  </mergeCells>
  <printOptions/>
  <pageMargins left="0.75" right="0.75" top="0.59" bottom="0.35" header="0.5" footer="0.3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9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4.375" style="2" customWidth="1"/>
    <col min="2" max="2" width="48.375" style="14" customWidth="1"/>
    <col min="3" max="3" width="9.00390625" style="3" customWidth="1"/>
    <col min="4" max="4" width="9.125" style="3" customWidth="1"/>
    <col min="5" max="5" width="7.75390625" style="2" customWidth="1"/>
    <col min="6" max="6" width="8.625" style="2" customWidth="1"/>
    <col min="7" max="16384" width="9.125" style="2" customWidth="1"/>
  </cols>
  <sheetData>
    <row r="1" spans="1:6" ht="13.5">
      <c r="A1" s="275"/>
      <c r="B1" s="276" t="s">
        <v>500</v>
      </c>
      <c r="C1" s="275"/>
      <c r="D1" s="275"/>
      <c r="E1" s="275"/>
      <c r="F1" s="275"/>
    </row>
    <row r="2" spans="1:3" ht="13.5" customHeight="1">
      <c r="A2" s="147"/>
      <c r="B2" s="145"/>
      <c r="C2" s="145"/>
    </row>
    <row r="3" spans="1:6" ht="24.75" customHeight="1">
      <c r="A3" s="399" t="s">
        <v>107</v>
      </c>
      <c r="B3" s="399"/>
      <c r="C3" s="399"/>
      <c r="D3" s="399"/>
      <c r="E3" s="399"/>
      <c r="F3" s="399"/>
    </row>
    <row r="4" spans="1:3" ht="15.75" customHeight="1">
      <c r="A4" s="1"/>
      <c r="B4" s="1"/>
      <c r="C4" s="1"/>
    </row>
    <row r="5" spans="1:6" ht="24">
      <c r="A5" s="5" t="s">
        <v>1</v>
      </c>
      <c r="B5" s="35" t="s">
        <v>150</v>
      </c>
      <c r="C5" s="150" t="s">
        <v>20</v>
      </c>
      <c r="D5" s="150" t="s">
        <v>412</v>
      </c>
      <c r="E5" s="150" t="s">
        <v>229</v>
      </c>
      <c r="F5" s="150" t="s">
        <v>231</v>
      </c>
    </row>
    <row r="6" spans="1:6" s="199" customFormat="1" ht="15.75">
      <c r="A6" s="68" t="s">
        <v>6</v>
      </c>
      <c r="B6" s="202" t="s">
        <v>31</v>
      </c>
      <c r="C6" s="204">
        <v>3103</v>
      </c>
      <c r="D6" s="204">
        <v>3103</v>
      </c>
      <c r="E6" s="205">
        <f>(935+252)+(380+103)+(235+63)+(475+128)+1</f>
        <v>2572</v>
      </c>
      <c r="F6" s="281">
        <f aca="true" t="shared" si="0" ref="F6:F11">ROUND(E6/D6*100,2)</f>
        <v>82.89</v>
      </c>
    </row>
    <row r="7" spans="1:6" s="199" customFormat="1" ht="15.75">
      <c r="A7" s="68" t="s">
        <v>7</v>
      </c>
      <c r="B7" s="202" t="s">
        <v>29</v>
      </c>
      <c r="C7" s="204">
        <v>5000</v>
      </c>
      <c r="D7" s="204">
        <v>5000</v>
      </c>
      <c r="E7" s="205"/>
      <c r="F7" s="281">
        <f t="shared" si="0"/>
        <v>0</v>
      </c>
    </row>
    <row r="8" spans="1:6" s="199" customFormat="1" ht="15.75">
      <c r="A8" s="68" t="s">
        <v>8</v>
      </c>
      <c r="B8" s="202" t="s">
        <v>124</v>
      </c>
      <c r="C8" s="204">
        <v>11914</v>
      </c>
      <c r="D8" s="204">
        <v>11914</v>
      </c>
      <c r="E8" s="205">
        <v>11798</v>
      </c>
      <c r="F8" s="281">
        <f t="shared" si="0"/>
        <v>99.03</v>
      </c>
    </row>
    <row r="9" spans="1:6" s="30" customFormat="1" ht="24" customHeight="1">
      <c r="A9" s="68" t="s">
        <v>9</v>
      </c>
      <c r="B9" s="201" t="s">
        <v>116</v>
      </c>
      <c r="C9" s="205">
        <f>6737+19378+25980</f>
        <v>52095</v>
      </c>
      <c r="D9" s="205">
        <f>6737+19378+25980</f>
        <v>52095</v>
      </c>
      <c r="E9" s="205">
        <v>52091</v>
      </c>
      <c r="F9" s="281">
        <f t="shared" si="0"/>
        <v>99.99</v>
      </c>
    </row>
    <row r="10" spans="1:6" s="30" customFormat="1" ht="26.25" customHeight="1">
      <c r="A10" s="68" t="s">
        <v>10</v>
      </c>
      <c r="B10" s="201" t="s">
        <v>117</v>
      </c>
      <c r="C10" s="205">
        <f>13022+20000</f>
        <v>33022</v>
      </c>
      <c r="D10" s="205">
        <v>62222</v>
      </c>
      <c r="E10" s="205">
        <v>58066</v>
      </c>
      <c r="F10" s="281">
        <f t="shared" si="0"/>
        <v>93.32</v>
      </c>
    </row>
    <row r="11" spans="1:6" s="30" customFormat="1" ht="24.75" customHeight="1">
      <c r="A11" s="68" t="s">
        <v>27</v>
      </c>
      <c r="B11" s="201" t="s">
        <v>118</v>
      </c>
      <c r="C11" s="205">
        <v>416</v>
      </c>
      <c r="D11" s="205">
        <v>416</v>
      </c>
      <c r="E11" s="205"/>
      <c r="F11" s="281">
        <f t="shared" si="0"/>
        <v>0</v>
      </c>
    </row>
    <row r="12" spans="1:6" s="30" customFormat="1" ht="12.75">
      <c r="A12" s="68" t="s">
        <v>28</v>
      </c>
      <c r="B12" s="201" t="s">
        <v>257</v>
      </c>
      <c r="C12" s="205">
        <v>109535</v>
      </c>
      <c r="D12" s="205">
        <v>3456</v>
      </c>
      <c r="E12" s="205">
        <v>3456</v>
      </c>
      <c r="F12" s="281"/>
    </row>
    <row r="13" spans="1:6" s="30" customFormat="1" ht="13.5" customHeight="1">
      <c r="A13" s="68" t="s">
        <v>30</v>
      </c>
      <c r="B13" s="201" t="s">
        <v>125</v>
      </c>
      <c r="C13" s="205">
        <v>6400</v>
      </c>
      <c r="D13" s="205">
        <v>6400</v>
      </c>
      <c r="E13" s="205">
        <v>5025</v>
      </c>
      <c r="F13" s="281">
        <f aca="true" t="shared" si="1" ref="F13:F18">ROUND(E13/D13*100,2)</f>
        <v>78.52</v>
      </c>
    </row>
    <row r="14" spans="1:6" s="30" customFormat="1" ht="13.5" customHeight="1">
      <c r="A14" s="68" t="s">
        <v>68</v>
      </c>
      <c r="B14" s="201" t="s">
        <v>126</v>
      </c>
      <c r="C14" s="205">
        <v>5000</v>
      </c>
      <c r="D14" s="205">
        <v>5000</v>
      </c>
      <c r="E14" s="205"/>
      <c r="F14" s="281">
        <f t="shared" si="1"/>
        <v>0</v>
      </c>
    </row>
    <row r="15" spans="1:6" s="30" customFormat="1" ht="13.5" customHeight="1">
      <c r="A15" s="68" t="s">
        <v>69</v>
      </c>
      <c r="B15" s="201" t="s">
        <v>134</v>
      </c>
      <c r="C15" s="205">
        <v>150</v>
      </c>
      <c r="D15" s="205">
        <v>150</v>
      </c>
      <c r="E15" s="205"/>
      <c r="F15" s="281">
        <f t="shared" si="1"/>
        <v>0</v>
      </c>
    </row>
    <row r="16" spans="1:6" s="30" customFormat="1" ht="15.75" customHeight="1">
      <c r="A16" s="68" t="s">
        <v>32</v>
      </c>
      <c r="B16" s="201" t="s">
        <v>127</v>
      </c>
      <c r="C16" s="205">
        <v>2000</v>
      </c>
      <c r="D16" s="205">
        <v>2000</v>
      </c>
      <c r="E16" s="205"/>
      <c r="F16" s="281">
        <f t="shared" si="1"/>
        <v>0</v>
      </c>
    </row>
    <row r="17" spans="1:6" s="30" customFormat="1" ht="15.75" customHeight="1">
      <c r="A17" s="68" t="s">
        <v>33</v>
      </c>
      <c r="B17" s="201" t="s">
        <v>128</v>
      </c>
      <c r="C17" s="205">
        <v>2000</v>
      </c>
      <c r="D17" s="205">
        <v>2000</v>
      </c>
      <c r="E17" s="205"/>
      <c r="F17" s="281">
        <f t="shared" si="1"/>
        <v>0</v>
      </c>
    </row>
    <row r="18" spans="1:6" s="30" customFormat="1" ht="12.75">
      <c r="A18" s="68" t="s">
        <v>57</v>
      </c>
      <c r="B18" s="201" t="s">
        <v>123</v>
      </c>
      <c r="C18" s="205">
        <v>280</v>
      </c>
      <c r="D18" s="205">
        <v>280</v>
      </c>
      <c r="E18" s="205">
        <f>220+59</f>
        <v>279</v>
      </c>
      <c r="F18" s="281">
        <f t="shared" si="1"/>
        <v>99.64</v>
      </c>
    </row>
    <row r="19" spans="1:6" s="30" customFormat="1" ht="12.75">
      <c r="A19" s="68" t="s">
        <v>58</v>
      </c>
      <c r="B19" s="201" t="s">
        <v>119</v>
      </c>
      <c r="C19" s="205">
        <v>743</v>
      </c>
      <c r="D19" s="205">
        <v>0</v>
      </c>
      <c r="E19" s="205"/>
      <c r="F19" s="281"/>
    </row>
    <row r="20" spans="1:6" s="30" customFormat="1" ht="12.75">
      <c r="A20" s="68" t="s">
        <v>66</v>
      </c>
      <c r="B20" s="201" t="s">
        <v>122</v>
      </c>
      <c r="C20" s="205">
        <v>6500</v>
      </c>
      <c r="D20" s="205">
        <v>6500</v>
      </c>
      <c r="E20" s="205"/>
      <c r="F20" s="281">
        <f aca="true" t="shared" si="2" ref="F20:F26">ROUND(E20/D20*100,2)</f>
        <v>0</v>
      </c>
    </row>
    <row r="21" spans="1:6" s="30" customFormat="1" ht="15.75" customHeight="1">
      <c r="A21" s="68" t="s">
        <v>67</v>
      </c>
      <c r="B21" s="201" t="s">
        <v>225</v>
      </c>
      <c r="C21" s="205"/>
      <c r="D21" s="205">
        <v>254</v>
      </c>
      <c r="E21" s="205">
        <v>254</v>
      </c>
      <c r="F21" s="281">
        <f t="shared" si="2"/>
        <v>100</v>
      </c>
    </row>
    <row r="22" spans="1:6" s="30" customFormat="1" ht="25.5" customHeight="1">
      <c r="A22" s="68" t="s">
        <v>70</v>
      </c>
      <c r="B22" s="201" t="s">
        <v>132</v>
      </c>
      <c r="C22" s="205">
        <v>150</v>
      </c>
      <c r="D22" s="205">
        <f>150+1153+311+79+21</f>
        <v>1714</v>
      </c>
      <c r="E22" s="205">
        <v>1379</v>
      </c>
      <c r="F22" s="281">
        <f t="shared" si="2"/>
        <v>80.46</v>
      </c>
    </row>
    <row r="23" spans="1:8" s="30" customFormat="1" ht="38.25">
      <c r="A23" s="68" t="s">
        <v>71</v>
      </c>
      <c r="B23" s="278" t="s">
        <v>429</v>
      </c>
      <c r="C23" s="205">
        <v>1000</v>
      </c>
      <c r="D23" s="205">
        <v>1280</v>
      </c>
      <c r="E23" s="205">
        <f>(525+141)+(171+46)+220+59+(24+6)+1</f>
        <v>1193</v>
      </c>
      <c r="F23" s="281">
        <f t="shared" si="2"/>
        <v>93.2</v>
      </c>
      <c r="H23" s="280"/>
    </row>
    <row r="24" spans="1:6" s="30" customFormat="1" ht="25.5">
      <c r="A24" s="68" t="s">
        <v>72</v>
      </c>
      <c r="B24" s="201" t="s">
        <v>227</v>
      </c>
      <c r="C24" s="205"/>
      <c r="D24" s="205">
        <v>1588</v>
      </c>
      <c r="E24" s="205">
        <v>1588</v>
      </c>
      <c r="F24" s="281">
        <f t="shared" si="2"/>
        <v>100</v>
      </c>
    </row>
    <row r="25" spans="1:6" s="30" customFormat="1" ht="25.5">
      <c r="A25" s="68" t="s">
        <v>130</v>
      </c>
      <c r="B25" s="201" t="s">
        <v>254</v>
      </c>
      <c r="C25" s="205"/>
      <c r="D25" s="205">
        <v>168</v>
      </c>
      <c r="E25" s="205">
        <f>67+52+14+35</f>
        <v>168</v>
      </c>
      <c r="F25" s="281">
        <f t="shared" si="2"/>
        <v>100</v>
      </c>
    </row>
    <row r="26" spans="1:6" s="30" customFormat="1" ht="29.25" customHeight="1">
      <c r="A26" s="68" t="s">
        <v>131</v>
      </c>
      <c r="B26" s="278" t="s">
        <v>430</v>
      </c>
      <c r="C26" s="205">
        <v>380</v>
      </c>
      <c r="D26" s="205">
        <v>2864</v>
      </c>
      <c r="E26" s="205">
        <v>2861</v>
      </c>
      <c r="F26" s="281">
        <f t="shared" si="2"/>
        <v>99.9</v>
      </c>
    </row>
    <row r="27" spans="1:6" s="30" customFormat="1" ht="21" customHeight="1">
      <c r="A27" s="68" t="s">
        <v>223</v>
      </c>
      <c r="B27" s="201" t="s">
        <v>256</v>
      </c>
      <c r="C27" s="205"/>
      <c r="D27" s="205">
        <v>0</v>
      </c>
      <c r="E27" s="205"/>
      <c r="F27" s="281"/>
    </row>
    <row r="28" spans="1:6" s="30" customFormat="1" ht="25.5">
      <c r="A28" s="68" t="s">
        <v>226</v>
      </c>
      <c r="B28" s="201" t="s">
        <v>258</v>
      </c>
      <c r="C28" s="205">
        <v>1525</v>
      </c>
      <c r="D28" s="205">
        <v>5665</v>
      </c>
      <c r="E28" s="205">
        <v>5664</v>
      </c>
      <c r="F28" s="281">
        <f>ROUND(E28/D28*100,2)</f>
        <v>99.98</v>
      </c>
    </row>
    <row r="29" spans="1:6" s="24" customFormat="1" ht="12.75">
      <c r="A29" s="68" t="s">
        <v>431</v>
      </c>
      <c r="B29" s="278" t="s">
        <v>432</v>
      </c>
      <c r="C29" s="279">
        <v>0</v>
      </c>
      <c r="D29" s="279">
        <v>4100</v>
      </c>
      <c r="E29" s="279">
        <v>4089</v>
      </c>
      <c r="F29" s="281">
        <f>ROUND(E29/D29*100,2)</f>
        <v>99.73</v>
      </c>
    </row>
    <row r="30" spans="1:6" s="30" customFormat="1" ht="25.5" customHeight="1">
      <c r="A30" s="69" t="s">
        <v>252</v>
      </c>
      <c r="B30" s="203" t="s">
        <v>121</v>
      </c>
      <c r="C30" s="206">
        <v>4000</v>
      </c>
      <c r="D30" s="206">
        <v>4000</v>
      </c>
      <c r="E30" s="206"/>
      <c r="F30" s="281">
        <f>ROUND(E30/D30*100,2)</f>
        <v>0</v>
      </c>
    </row>
    <row r="31" spans="1:6" s="30" customFormat="1" ht="18" customHeight="1">
      <c r="A31" s="69" t="s">
        <v>253</v>
      </c>
      <c r="B31" s="203" t="s">
        <v>120</v>
      </c>
      <c r="C31" s="206">
        <v>2400</v>
      </c>
      <c r="D31" s="206">
        <v>2400</v>
      </c>
      <c r="E31" s="206">
        <f>1764+476</f>
        <v>2240</v>
      </c>
      <c r="F31" s="281">
        <f>ROUND(E31/D31*100,2)</f>
        <v>93.33</v>
      </c>
    </row>
    <row r="32" spans="1:6" s="30" customFormat="1" ht="18" customHeight="1">
      <c r="A32" s="69" t="s">
        <v>255</v>
      </c>
      <c r="B32" s="203" t="s">
        <v>224</v>
      </c>
      <c r="C32" s="206"/>
      <c r="D32" s="206">
        <v>635</v>
      </c>
      <c r="E32" s="206">
        <v>635</v>
      </c>
      <c r="F32" s="281">
        <f>ROUND(E32/D32*100,2)</f>
        <v>100</v>
      </c>
    </row>
    <row r="33" spans="1:6" s="30" customFormat="1" ht="18" customHeight="1">
      <c r="A33" s="69" t="s">
        <v>433</v>
      </c>
      <c r="B33" s="203" t="s">
        <v>247</v>
      </c>
      <c r="C33" s="206"/>
      <c r="D33" s="206"/>
      <c r="E33" s="206">
        <v>60</v>
      </c>
      <c r="F33" s="281"/>
    </row>
    <row r="34" spans="1:6" ht="12.75">
      <c r="A34" s="200"/>
      <c r="B34" s="18" t="s">
        <v>4</v>
      </c>
      <c r="C34" s="207">
        <f>SUM(C6:C33)</f>
        <v>247613</v>
      </c>
      <c r="D34" s="207">
        <f>SUM(D6:D33)</f>
        <v>185204</v>
      </c>
      <c r="E34" s="207">
        <f>SUM(E6:E33)</f>
        <v>153418</v>
      </c>
      <c r="F34" s="282">
        <f>ROUND(E34/D34*100,2)</f>
        <v>82.84</v>
      </c>
    </row>
    <row r="35" spans="1:6" ht="12.75">
      <c r="A35" s="200"/>
      <c r="B35" s="18"/>
      <c r="C35" s="46"/>
      <c r="D35" s="15"/>
      <c r="E35" s="14"/>
      <c r="F35" s="283"/>
    </row>
    <row r="36" spans="1:6" ht="12.75">
      <c r="A36" s="5" t="s">
        <v>2</v>
      </c>
      <c r="B36" s="18" t="s">
        <v>151</v>
      </c>
      <c r="C36" s="7"/>
      <c r="F36" s="284"/>
    </row>
    <row r="37" spans="1:6" s="62" customFormat="1" ht="29.25" customHeight="1">
      <c r="A37" s="68" t="s">
        <v>6</v>
      </c>
      <c r="B37" s="202" t="s">
        <v>115</v>
      </c>
      <c r="C37" s="204">
        <v>2000</v>
      </c>
      <c r="D37" s="205">
        <v>2000</v>
      </c>
      <c r="E37" s="205"/>
      <c r="F37" s="281">
        <f aca="true" t="shared" si="3" ref="F37:F43">ROUND(E37/D37*100,2)</f>
        <v>0</v>
      </c>
    </row>
    <row r="38" spans="1:6" s="62" customFormat="1" ht="14.25" customHeight="1">
      <c r="A38" s="68" t="s">
        <v>7</v>
      </c>
      <c r="B38" s="202" t="s">
        <v>114</v>
      </c>
      <c r="C38" s="204">
        <v>2500</v>
      </c>
      <c r="D38" s="205">
        <v>32500</v>
      </c>
      <c r="E38" s="205"/>
      <c r="F38" s="281">
        <f t="shared" si="3"/>
        <v>0</v>
      </c>
    </row>
    <row r="39" spans="1:6" s="62" customFormat="1" ht="27.75" customHeight="1">
      <c r="A39" s="68" t="s">
        <v>8</v>
      </c>
      <c r="B39" s="202" t="s">
        <v>136</v>
      </c>
      <c r="C39" s="204">
        <f>9769</f>
        <v>9769</v>
      </c>
      <c r="D39" s="205">
        <v>9769</v>
      </c>
      <c r="E39" s="205">
        <v>9768</v>
      </c>
      <c r="F39" s="281">
        <f t="shared" si="3"/>
        <v>99.99</v>
      </c>
    </row>
    <row r="40" spans="1:6" ht="11.25" customHeight="1">
      <c r="A40" s="68" t="s">
        <v>9</v>
      </c>
      <c r="B40" s="57" t="s">
        <v>137</v>
      </c>
      <c r="C40" s="205">
        <v>500</v>
      </c>
      <c r="D40" s="205">
        <f>500-213-86</f>
        <v>201</v>
      </c>
      <c r="E40" s="205"/>
      <c r="F40" s="282">
        <f t="shared" si="3"/>
        <v>0</v>
      </c>
    </row>
    <row r="41" spans="1:6" ht="18" customHeight="1">
      <c r="A41" s="68" t="s">
        <v>9</v>
      </c>
      <c r="B41" s="57" t="s">
        <v>436</v>
      </c>
      <c r="C41" s="205"/>
      <c r="D41" s="205">
        <v>213</v>
      </c>
      <c r="E41" s="205">
        <v>213</v>
      </c>
      <c r="F41" s="282">
        <f t="shared" si="3"/>
        <v>100</v>
      </c>
    </row>
    <row r="42" spans="1:6" ht="18" customHeight="1">
      <c r="A42" s="68" t="s">
        <v>9</v>
      </c>
      <c r="B42" s="57" t="s">
        <v>437</v>
      </c>
      <c r="C42" s="205"/>
      <c r="D42" s="205">
        <v>86</v>
      </c>
      <c r="E42" s="205">
        <v>86</v>
      </c>
      <c r="F42" s="282">
        <f t="shared" si="3"/>
        <v>100</v>
      </c>
    </row>
    <row r="43" spans="1:6" s="24" customFormat="1" ht="12.75">
      <c r="A43" s="68" t="s">
        <v>10</v>
      </c>
      <c r="B43" s="201" t="s">
        <v>113</v>
      </c>
      <c r="C43" s="205">
        <v>20000</v>
      </c>
      <c r="D43" s="205">
        <v>22545</v>
      </c>
      <c r="E43" s="205">
        <v>14793</v>
      </c>
      <c r="F43" s="281">
        <f t="shared" si="3"/>
        <v>65.62</v>
      </c>
    </row>
    <row r="44" spans="1:6" s="24" customFormat="1" ht="12.75">
      <c r="A44" s="68" t="s">
        <v>27</v>
      </c>
      <c r="B44" s="201" t="s">
        <v>79</v>
      </c>
      <c r="C44" s="205">
        <v>14278</v>
      </c>
      <c r="D44" s="205">
        <v>0</v>
      </c>
      <c r="E44" s="205"/>
      <c r="F44" s="281"/>
    </row>
    <row r="45" spans="1:6" s="24" customFormat="1" ht="12.75">
      <c r="A45" s="68" t="s">
        <v>28</v>
      </c>
      <c r="B45" s="201" t="s">
        <v>135</v>
      </c>
      <c r="C45" s="205">
        <v>5000</v>
      </c>
      <c r="D45" s="205">
        <v>5000</v>
      </c>
      <c r="E45" s="205">
        <f>3422+924</f>
        <v>4346</v>
      </c>
      <c r="F45" s="281">
        <f>ROUND(E45/D45*100,2)</f>
        <v>86.92</v>
      </c>
    </row>
    <row r="46" spans="1:6" s="24" customFormat="1" ht="15.75" customHeight="1">
      <c r="A46" s="68" t="s">
        <v>30</v>
      </c>
      <c r="B46" s="201" t="s">
        <v>129</v>
      </c>
      <c r="C46" s="205"/>
      <c r="D46" s="205">
        <v>126978</v>
      </c>
      <c r="E46" s="205">
        <v>126978</v>
      </c>
      <c r="F46" s="281">
        <f>ROUND(E46/D46*100,2)</f>
        <v>100</v>
      </c>
    </row>
    <row r="47" spans="1:6" s="24" customFormat="1" ht="25.5">
      <c r="A47" s="68" t="s">
        <v>68</v>
      </c>
      <c r="B47" s="201" t="s">
        <v>228</v>
      </c>
      <c r="C47" s="205"/>
      <c r="D47" s="205">
        <f>3087+833</f>
        <v>3920</v>
      </c>
      <c r="E47" s="205">
        <f>3087+833</f>
        <v>3920</v>
      </c>
      <c r="F47" s="281">
        <f>ROUND(E47/D47*100,2)</f>
        <v>100</v>
      </c>
    </row>
    <row r="48" spans="1:6" s="24" customFormat="1" ht="12.75">
      <c r="A48" s="68" t="s">
        <v>434</v>
      </c>
      <c r="B48" s="201" t="s">
        <v>435</v>
      </c>
      <c r="C48" s="205"/>
      <c r="D48" s="205">
        <v>906</v>
      </c>
      <c r="E48" s="205">
        <v>906</v>
      </c>
      <c r="F48" s="281">
        <f>ROUND(E48/D48*100,2)</f>
        <v>100</v>
      </c>
    </row>
    <row r="49" spans="1:6" s="5" customFormat="1" ht="12.75">
      <c r="A49" s="208"/>
      <c r="B49" s="209" t="s">
        <v>4</v>
      </c>
      <c r="C49" s="207">
        <f>SUM(C37:C48)</f>
        <v>54047</v>
      </c>
      <c r="D49" s="207">
        <f>SUM(D37:D48)</f>
        <v>204118</v>
      </c>
      <c r="E49" s="207">
        <f>SUM(E37:E48)</f>
        <v>161010</v>
      </c>
      <c r="F49" s="285">
        <f>ROUND(E49/D49*100,2)</f>
        <v>78.88</v>
      </c>
    </row>
    <row r="50" spans="1:6" s="5" customFormat="1" ht="12.75">
      <c r="A50" s="2"/>
      <c r="B50" s="35"/>
      <c r="C50" s="46"/>
      <c r="D50" s="7"/>
      <c r="F50" s="286"/>
    </row>
    <row r="51" spans="1:6" s="5" customFormat="1" ht="12.75">
      <c r="A51" s="5" t="s">
        <v>12</v>
      </c>
      <c r="B51" s="18" t="s">
        <v>185</v>
      </c>
      <c r="C51" s="7"/>
      <c r="D51" s="7"/>
      <c r="F51" s="286"/>
    </row>
    <row r="52" spans="1:6" s="5" customFormat="1" ht="12.75">
      <c r="A52" s="8" t="s">
        <v>6</v>
      </c>
      <c r="B52" s="118" t="s">
        <v>186</v>
      </c>
      <c r="C52" s="115"/>
      <c r="D52" s="7"/>
      <c r="F52" s="286"/>
    </row>
    <row r="53" spans="1:6" ht="12.75">
      <c r="A53" s="49" t="s">
        <v>6</v>
      </c>
      <c r="B53" s="55" t="s">
        <v>15</v>
      </c>
      <c r="C53" s="56">
        <v>1350</v>
      </c>
      <c r="D53" s="196">
        <v>1350</v>
      </c>
      <c r="E53" s="196">
        <v>1000</v>
      </c>
      <c r="F53" s="284">
        <f>ROUND(E53/D53*100,2)</f>
        <v>74.07</v>
      </c>
    </row>
    <row r="54" spans="1:6" ht="12.75">
      <c r="A54" s="49" t="s">
        <v>7</v>
      </c>
      <c r="B54" s="55" t="s">
        <v>75</v>
      </c>
      <c r="C54" s="56">
        <v>1100</v>
      </c>
      <c r="D54" s="196">
        <v>1100</v>
      </c>
      <c r="E54" s="196"/>
      <c r="F54" s="284">
        <f>ROUND(E54/D54*100,2)</f>
        <v>0</v>
      </c>
    </row>
    <row r="55" spans="2:6" s="5" customFormat="1" ht="12.75">
      <c r="B55" s="118" t="s">
        <v>4</v>
      </c>
      <c r="C55" s="115">
        <f>SUM(C53:C54)</f>
        <v>2450</v>
      </c>
      <c r="D55" s="115">
        <f>SUM(D53:D54)</f>
        <v>2450</v>
      </c>
      <c r="E55" s="115">
        <f>SUM(E53:E54)</f>
        <v>1000</v>
      </c>
      <c r="F55" s="286">
        <f>ROUND(E55/D55*100,2)</f>
        <v>40.82</v>
      </c>
    </row>
    <row r="56" spans="1:6" s="5" customFormat="1" ht="12.75">
      <c r="A56" s="8" t="s">
        <v>7</v>
      </c>
      <c r="B56" s="118" t="s">
        <v>187</v>
      </c>
      <c r="C56" s="7"/>
      <c r="D56" s="7"/>
      <c r="F56" s="286"/>
    </row>
    <row r="57" spans="1:6" ht="12.75">
      <c r="A57" s="50" t="s">
        <v>6</v>
      </c>
      <c r="B57" s="53" t="s">
        <v>45</v>
      </c>
      <c r="C57" s="54">
        <v>5802</v>
      </c>
      <c r="D57" s="54">
        <v>5802</v>
      </c>
      <c r="E57" s="144">
        <v>5802</v>
      </c>
      <c r="F57" s="284">
        <f aca="true" t="shared" si="4" ref="F57:F64">ROUND(E57/D57*100,2)</f>
        <v>100</v>
      </c>
    </row>
    <row r="58" spans="1:6" ht="12.75">
      <c r="A58" s="50" t="s">
        <v>7</v>
      </c>
      <c r="B58" s="53" t="s">
        <v>110</v>
      </c>
      <c r="C58" s="54">
        <v>576</v>
      </c>
      <c r="D58" s="54">
        <v>576</v>
      </c>
      <c r="E58" s="144">
        <v>576</v>
      </c>
      <c r="F58" s="284">
        <f t="shared" si="4"/>
        <v>100</v>
      </c>
    </row>
    <row r="59" spans="1:6" ht="12.75">
      <c r="A59" s="50" t="s">
        <v>8</v>
      </c>
      <c r="B59" s="53" t="s">
        <v>109</v>
      </c>
      <c r="C59" s="54">
        <v>1600</v>
      </c>
      <c r="D59" s="54">
        <v>1600</v>
      </c>
      <c r="E59" s="144">
        <v>1600</v>
      </c>
      <c r="F59" s="284">
        <f t="shared" si="4"/>
        <v>100</v>
      </c>
    </row>
    <row r="60" spans="1:6" ht="12.75">
      <c r="A60" s="50" t="s">
        <v>9</v>
      </c>
      <c r="B60" s="53" t="s">
        <v>108</v>
      </c>
      <c r="C60" s="54">
        <v>698</v>
      </c>
      <c r="D60" s="54">
        <v>698</v>
      </c>
      <c r="E60" s="144">
        <v>698</v>
      </c>
      <c r="F60" s="284">
        <f t="shared" si="4"/>
        <v>100</v>
      </c>
    </row>
    <row r="61" spans="1:6" ht="12.75">
      <c r="A61" s="50" t="s">
        <v>10</v>
      </c>
      <c r="B61" s="53" t="s">
        <v>74</v>
      </c>
      <c r="C61" s="54">
        <v>800</v>
      </c>
      <c r="D61" s="54">
        <v>800</v>
      </c>
      <c r="E61" s="144">
        <v>800</v>
      </c>
      <c r="F61" s="284">
        <f t="shared" si="4"/>
        <v>100</v>
      </c>
    </row>
    <row r="62" spans="1:6" ht="12.75">
      <c r="A62" s="50" t="s">
        <v>27</v>
      </c>
      <c r="B62" s="53" t="s">
        <v>111</v>
      </c>
      <c r="C62" s="54">
        <v>258</v>
      </c>
      <c r="D62" s="54">
        <v>258</v>
      </c>
      <c r="E62" s="144">
        <v>258</v>
      </c>
      <c r="F62" s="284">
        <f t="shared" si="4"/>
        <v>100</v>
      </c>
    </row>
    <row r="63" spans="1:6" ht="12.75">
      <c r="A63" s="50" t="s">
        <v>28</v>
      </c>
      <c r="B63" s="53" t="s">
        <v>78</v>
      </c>
      <c r="C63" s="54">
        <v>1600</v>
      </c>
      <c r="D63" s="54">
        <v>3600</v>
      </c>
      <c r="E63" s="144">
        <v>3600</v>
      </c>
      <c r="F63" s="284">
        <f t="shared" si="4"/>
        <v>100</v>
      </c>
    </row>
    <row r="64" spans="2:6" s="5" customFormat="1" ht="12.75">
      <c r="B64" s="118" t="s">
        <v>4</v>
      </c>
      <c r="C64" s="115">
        <f>SUM(C57:C63)</f>
        <v>11334</v>
      </c>
      <c r="D64" s="115">
        <f>SUM(D57:D63)</f>
        <v>13334</v>
      </c>
      <c r="E64" s="115">
        <f>SUM(E57:E63)</f>
        <v>13334</v>
      </c>
      <c r="F64" s="286">
        <f t="shared" si="4"/>
        <v>100</v>
      </c>
    </row>
    <row r="65" spans="1:6" s="5" customFormat="1" ht="12.75">
      <c r="A65" s="8" t="s">
        <v>8</v>
      </c>
      <c r="B65" s="118" t="s">
        <v>188</v>
      </c>
      <c r="C65" s="7"/>
      <c r="D65" s="7"/>
      <c r="F65" s="286"/>
    </row>
    <row r="66" spans="1:6" ht="12.75">
      <c r="A66" s="50" t="s">
        <v>6</v>
      </c>
      <c r="B66" s="53" t="s">
        <v>112</v>
      </c>
      <c r="C66" s="54">
        <v>1100</v>
      </c>
      <c r="D66" s="54">
        <v>1100</v>
      </c>
      <c r="E66" s="144">
        <v>1100</v>
      </c>
      <c r="F66" s="284">
        <f>ROUND(E66/D66*100,2)</f>
        <v>100</v>
      </c>
    </row>
    <row r="67" spans="2:6" s="5" customFormat="1" ht="12.75">
      <c r="B67" s="118" t="s">
        <v>4</v>
      </c>
      <c r="C67" s="115">
        <f>SUM(C66:C66)</f>
        <v>1100</v>
      </c>
      <c r="D67" s="115">
        <f>SUM(D66:D66)</f>
        <v>1100</v>
      </c>
      <c r="E67" s="115">
        <f>SUM(E66:E66)</f>
        <v>1100</v>
      </c>
      <c r="F67" s="286">
        <f>ROUND(E67/D67*100,2)</f>
        <v>100</v>
      </c>
    </row>
    <row r="68" spans="1:6" ht="12.75" customHeight="1">
      <c r="A68" s="119" t="s">
        <v>9</v>
      </c>
      <c r="B68" s="120" t="s">
        <v>189</v>
      </c>
      <c r="C68" s="47"/>
      <c r="F68" s="284"/>
    </row>
    <row r="69" spans="1:6" s="62" customFormat="1" ht="15.75" customHeight="1">
      <c r="A69" s="71" t="s">
        <v>59</v>
      </c>
      <c r="B69" s="72" t="s">
        <v>80</v>
      </c>
      <c r="C69" s="73"/>
      <c r="D69" s="196"/>
      <c r="E69" s="196"/>
      <c r="F69" s="287"/>
    </row>
    <row r="70" spans="1:6" ht="15" customHeight="1">
      <c r="A70" s="1"/>
      <c r="B70" s="120" t="s">
        <v>4</v>
      </c>
      <c r="C70" s="9">
        <f>SUM(C69:C69)</f>
        <v>0</v>
      </c>
      <c r="D70" s="9">
        <f>SUM(D69:D69)</f>
        <v>0</v>
      </c>
      <c r="E70" s="9">
        <f>SUM(E69:E69)</f>
        <v>0</v>
      </c>
      <c r="F70" s="284"/>
    </row>
    <row r="71" spans="1:6" s="5" customFormat="1" ht="12.75">
      <c r="A71" s="2"/>
      <c r="B71" s="35" t="s">
        <v>4</v>
      </c>
      <c r="C71" s="46">
        <f>C70+C67+C64+C55</f>
        <v>14884</v>
      </c>
      <c r="D71" s="46">
        <f>D70+D67+D64+D55</f>
        <v>16884</v>
      </c>
      <c r="E71" s="46">
        <f>E70+E67+E64+E55</f>
        <v>15434</v>
      </c>
      <c r="F71" s="286">
        <f>ROUND(E71/D71*100,2)</f>
        <v>91.41</v>
      </c>
    </row>
    <row r="72" spans="2:6" s="5" customFormat="1" ht="9.75" customHeight="1">
      <c r="B72" s="18"/>
      <c r="C72" s="7"/>
      <c r="D72" s="7"/>
      <c r="F72" s="286"/>
    </row>
    <row r="73" spans="2:6" s="5" customFormat="1" ht="27" customHeight="1">
      <c r="B73" s="35" t="s">
        <v>190</v>
      </c>
      <c r="C73" s="7">
        <f>C71+C49+C34</f>
        <v>316544</v>
      </c>
      <c r="D73" s="7">
        <f>D71+D49+D34</f>
        <v>406206</v>
      </c>
      <c r="E73" s="7">
        <f>E71+E49+E34</f>
        <v>329862</v>
      </c>
      <c r="F73" s="286">
        <f>ROUND(E73/D73*100,2)</f>
        <v>81.21</v>
      </c>
    </row>
    <row r="74" spans="2:6" s="5" customFormat="1" ht="9.75" customHeight="1">
      <c r="B74" s="35"/>
      <c r="C74" s="7"/>
      <c r="D74" s="7"/>
      <c r="F74" s="286"/>
    </row>
    <row r="75" spans="1:6" s="5" customFormat="1" ht="15" customHeight="1">
      <c r="A75" s="5" t="s">
        <v>16</v>
      </c>
      <c r="B75" s="60" t="s">
        <v>193</v>
      </c>
      <c r="C75" s="7"/>
      <c r="D75" s="7"/>
      <c r="E75" s="7"/>
      <c r="F75" s="286"/>
    </row>
    <row r="76" spans="1:6" s="4" customFormat="1" ht="15" customHeight="1">
      <c r="A76" s="50" t="s">
        <v>6</v>
      </c>
      <c r="B76" s="51" t="s">
        <v>192</v>
      </c>
      <c r="C76" s="58">
        <v>0</v>
      </c>
      <c r="D76" s="70">
        <v>0</v>
      </c>
      <c r="E76" s="144">
        <v>0</v>
      </c>
      <c r="F76" s="288"/>
    </row>
    <row r="77" spans="2:6" s="5" customFormat="1" ht="15" customHeight="1">
      <c r="B77" s="60" t="s">
        <v>4</v>
      </c>
      <c r="C77" s="7">
        <f>SUM(C76:C76)</f>
        <v>0</v>
      </c>
      <c r="D77" s="7">
        <f>SUM(D76:D76)</f>
        <v>0</v>
      </c>
      <c r="E77" s="7">
        <f>SUM(E76:E76)</f>
        <v>0</v>
      </c>
      <c r="F77" s="286"/>
    </row>
    <row r="78" spans="2:6" s="4" customFormat="1" ht="15" customHeight="1">
      <c r="B78" s="60" t="s">
        <v>191</v>
      </c>
      <c r="C78" s="7">
        <f>C77</f>
        <v>0</v>
      </c>
      <c r="D78" s="7">
        <f>D77</f>
        <v>0</v>
      </c>
      <c r="E78" s="7">
        <f>E77</f>
        <v>0</v>
      </c>
      <c r="F78" s="288"/>
    </row>
    <row r="79" spans="1:6" s="5" customFormat="1" ht="12.75">
      <c r="A79" s="2"/>
      <c r="B79" s="18"/>
      <c r="C79" s="7"/>
      <c r="D79" s="7"/>
      <c r="F79" s="286"/>
    </row>
    <row r="80" spans="1:6" s="5" customFormat="1" ht="12.75">
      <c r="A80" s="2"/>
      <c r="B80" s="18" t="s">
        <v>17</v>
      </c>
      <c r="C80" s="7">
        <f>C73+C78</f>
        <v>316544</v>
      </c>
      <c r="D80" s="7">
        <f>D73+D78</f>
        <v>406206</v>
      </c>
      <c r="E80" s="7">
        <f>E73+E78</f>
        <v>329862</v>
      </c>
      <c r="F80" s="286">
        <f>ROUND(E80/D80*100,2)</f>
        <v>81.21</v>
      </c>
    </row>
    <row r="81" spans="1:6" s="5" customFormat="1" ht="12.75">
      <c r="A81" s="2"/>
      <c r="B81" s="18" t="s">
        <v>83</v>
      </c>
      <c r="C81" s="7"/>
      <c r="D81" s="7"/>
      <c r="F81" s="286"/>
    </row>
    <row r="82" spans="2:6" ht="15.75" customHeight="1">
      <c r="B82" s="63" t="s">
        <v>84</v>
      </c>
      <c r="C82" s="64">
        <f>C80-C83</f>
        <v>307694</v>
      </c>
      <c r="D82" s="64">
        <f>D80-D83</f>
        <v>396721</v>
      </c>
      <c r="E82" s="64">
        <f>E80-E83</f>
        <v>325927</v>
      </c>
      <c r="F82" s="286"/>
    </row>
    <row r="83" spans="2:6" ht="19.5" customHeight="1">
      <c r="B83" s="65" t="s">
        <v>82</v>
      </c>
      <c r="C83" s="66">
        <f>C69+C31+C30+C54+C53</f>
        <v>8850</v>
      </c>
      <c r="D83" s="66">
        <f>D69+D31+D30+D54+D53+D32+D33</f>
        <v>9485</v>
      </c>
      <c r="E83" s="66">
        <f>E69+E31+E30+E54+E53+E32+E33</f>
        <v>3935</v>
      </c>
      <c r="F83" s="286"/>
    </row>
    <row r="84" ht="11.25" customHeight="1">
      <c r="E84" s="3"/>
    </row>
    <row r="85" ht="11.25" customHeight="1"/>
    <row r="86" ht="11.25" customHeight="1"/>
    <row r="87" ht="11.25" customHeight="1"/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spans="1:4" s="4" customFormat="1" ht="13.5">
      <c r="A111" s="2"/>
      <c r="B111" s="14"/>
      <c r="C111" s="15"/>
      <c r="D111" s="198"/>
    </row>
    <row r="112" spans="1:4" s="5" customFormat="1" ht="12.75">
      <c r="A112" s="2"/>
      <c r="B112" s="14"/>
      <c r="C112" s="15"/>
      <c r="D112" s="7"/>
    </row>
    <row r="113" spans="1:4" s="8" customFormat="1" ht="12.75">
      <c r="A113" s="2"/>
      <c r="B113" s="14"/>
      <c r="C113" s="15"/>
      <c r="D113" s="1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spans="1:3" ht="12.75">
      <c r="A121" s="16"/>
      <c r="C121" s="15"/>
    </row>
    <row r="122" spans="1:3" ht="12.75">
      <c r="A122" s="16"/>
      <c r="C122" s="15"/>
    </row>
    <row r="123" ht="12.75">
      <c r="C123" s="15"/>
    </row>
    <row r="124" ht="12.75">
      <c r="C124" s="15"/>
    </row>
    <row r="125" spans="1:3" ht="12.75">
      <c r="A125" s="5"/>
      <c r="B125" s="18"/>
      <c r="C125" s="6"/>
    </row>
    <row r="128" spans="2:4" s="5" customFormat="1" ht="12.75">
      <c r="B128" s="18"/>
      <c r="C128" s="7"/>
      <c r="D128" s="7"/>
    </row>
    <row r="131" spans="2:4" s="5" customFormat="1" ht="12.75">
      <c r="B131" s="18"/>
      <c r="C131" s="3"/>
      <c r="D131" s="7"/>
    </row>
    <row r="132" ht="12.75">
      <c r="C132" s="10"/>
    </row>
    <row r="133" ht="12.75">
      <c r="C133" s="10"/>
    </row>
    <row r="134" ht="12.75">
      <c r="C134" s="10"/>
    </row>
    <row r="135" ht="12.75">
      <c r="C135" s="10"/>
    </row>
    <row r="136" ht="12.75">
      <c r="C136" s="10"/>
    </row>
    <row r="137" ht="12.75">
      <c r="C137" s="10"/>
    </row>
    <row r="138" ht="12.75">
      <c r="C138" s="10"/>
    </row>
    <row r="139" ht="12.75">
      <c r="C139" s="10"/>
    </row>
    <row r="140" spans="2:3" ht="12.75">
      <c r="B140" s="18"/>
      <c r="C140" s="7"/>
    </row>
    <row r="141" ht="12.75">
      <c r="B141" s="18"/>
    </row>
    <row r="142" ht="12.75">
      <c r="C142" s="7"/>
    </row>
    <row r="143" spans="1:2" ht="12.75">
      <c r="A143" s="5"/>
      <c r="B143" s="18"/>
    </row>
    <row r="145" ht="12.75">
      <c r="C145" s="7"/>
    </row>
    <row r="146" spans="1:3" ht="12.75">
      <c r="A146" s="5"/>
      <c r="B146" s="18"/>
      <c r="C146" s="7"/>
    </row>
    <row r="147" spans="1:2" ht="12.75">
      <c r="A147" s="5"/>
      <c r="B147" s="18"/>
    </row>
    <row r="148" ht="12.75">
      <c r="C148" s="7"/>
    </row>
    <row r="149" spans="1:3" ht="12.75">
      <c r="A149" s="5"/>
      <c r="B149" s="18"/>
      <c r="C149" s="10"/>
    </row>
    <row r="150" spans="2:3" ht="12.75">
      <c r="B150" s="16"/>
      <c r="C150" s="10"/>
    </row>
    <row r="151" spans="2:3" ht="12.75">
      <c r="B151" s="16"/>
      <c r="C151" s="10"/>
    </row>
    <row r="152" spans="2:3" ht="12.75">
      <c r="B152" s="16"/>
      <c r="C152" s="10"/>
    </row>
    <row r="153" spans="2:3" ht="12.75">
      <c r="B153" s="16"/>
      <c r="C153" s="10"/>
    </row>
    <row r="154" spans="2:3" ht="12.75">
      <c r="B154" s="16"/>
      <c r="C154" s="10"/>
    </row>
    <row r="155" spans="2:3" ht="12.75">
      <c r="B155" s="16"/>
      <c r="C155" s="10"/>
    </row>
    <row r="156" spans="2:3" ht="12.75">
      <c r="B156" s="16"/>
      <c r="C156" s="10"/>
    </row>
    <row r="157" spans="2:3" ht="12.75">
      <c r="B157" s="16"/>
      <c r="C157" s="10"/>
    </row>
    <row r="158" ht="12.75">
      <c r="B158" s="16"/>
    </row>
    <row r="165" ht="12.75">
      <c r="C165" s="7"/>
    </row>
    <row r="166" ht="12.75">
      <c r="B166" s="18"/>
    </row>
    <row r="167" ht="12.75">
      <c r="C167" s="7"/>
    </row>
    <row r="168" spans="1:2" ht="12.75">
      <c r="A168" s="5"/>
      <c r="B168" s="18"/>
    </row>
    <row r="171" ht="12.75">
      <c r="C171" s="7"/>
    </row>
    <row r="173" ht="12.75">
      <c r="C173" s="7"/>
    </row>
    <row r="174" spans="1:3" ht="12.75">
      <c r="A174" s="5"/>
      <c r="B174" s="18"/>
      <c r="C174" s="10"/>
    </row>
    <row r="175" ht="12.75">
      <c r="B175" s="16"/>
    </row>
    <row r="176" ht="12.75">
      <c r="C176" s="7"/>
    </row>
    <row r="177" spans="1:2" ht="12.75">
      <c r="A177" s="5"/>
      <c r="B177" s="18"/>
    </row>
    <row r="178" ht="12.75">
      <c r="C178" s="7"/>
    </row>
    <row r="179" spans="1:2" ht="12.75">
      <c r="A179" s="5"/>
      <c r="B179" s="18"/>
    </row>
  </sheetData>
  <sheetProtection/>
  <mergeCells count="1">
    <mergeCell ref="A3:F3"/>
  </mergeCells>
  <printOptions/>
  <pageMargins left="0.5905511811023623" right="0.5905511811023623" top="1.1023622047244095" bottom="1.1811023622047245" header="0.7874015748031497" footer="0.905511811023622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54.875" style="212" customWidth="1"/>
    <col min="2" max="2" width="11.125" style="212" customWidth="1"/>
    <col min="3" max="5" width="11.00390625" style="212" customWidth="1"/>
    <col min="6" max="6" width="14.25390625" style="212" customWidth="1"/>
    <col min="7" max="7" width="13.125" style="212" customWidth="1"/>
    <col min="8" max="16384" width="9.125" style="212" customWidth="1"/>
  </cols>
  <sheetData>
    <row r="1" spans="1:3" ht="13.5">
      <c r="A1" s="276" t="s">
        <v>501</v>
      </c>
      <c r="B1" s="276"/>
      <c r="C1" s="276"/>
    </row>
    <row r="2" spans="1:3" ht="12.75">
      <c r="A2" s="213"/>
      <c r="B2" s="213"/>
      <c r="C2" s="213"/>
    </row>
    <row r="3" spans="1:7" ht="15.75">
      <c r="A3" s="400" t="s">
        <v>413</v>
      </c>
      <c r="B3" s="400"/>
      <c r="C3" s="400"/>
      <c r="D3" s="400"/>
      <c r="E3" s="400"/>
      <c r="F3" s="400"/>
      <c r="G3" s="400"/>
    </row>
    <row r="4" spans="1:7" ht="14.25" thickBot="1">
      <c r="A4" s="401" t="s">
        <v>260</v>
      </c>
      <c r="B4" s="401"/>
      <c r="C4" s="401"/>
      <c r="D4" s="401"/>
      <c r="E4" s="401"/>
      <c r="F4" s="401"/>
      <c r="G4" s="401"/>
    </row>
    <row r="5" spans="1:7" s="219" customFormat="1" ht="55.5" customHeight="1" thickBot="1">
      <c r="A5" s="214" t="s">
        <v>3</v>
      </c>
      <c r="B5" s="215" t="s">
        <v>261</v>
      </c>
      <c r="C5" s="215" t="s">
        <v>262</v>
      </c>
      <c r="D5" s="216" t="s">
        <v>139</v>
      </c>
      <c r="E5" s="217" t="s">
        <v>263</v>
      </c>
      <c r="F5" s="215" t="s">
        <v>46</v>
      </c>
      <c r="G5" s="218" t="s">
        <v>264</v>
      </c>
    </row>
    <row r="6" spans="1:7" ht="21" customHeight="1">
      <c r="A6" s="220" t="s">
        <v>265</v>
      </c>
      <c r="B6" s="221">
        <v>2681</v>
      </c>
      <c r="C6" s="222">
        <v>101359</v>
      </c>
      <c r="D6" s="222">
        <v>5552</v>
      </c>
      <c r="E6" s="222">
        <v>27418</v>
      </c>
      <c r="F6" s="222">
        <v>1724327</v>
      </c>
      <c r="G6" s="223">
        <f>SUM(B6:F6)</f>
        <v>1861337</v>
      </c>
    </row>
    <row r="7" spans="1:7" ht="21" customHeight="1">
      <c r="A7" s="224" t="s">
        <v>266</v>
      </c>
      <c r="B7" s="225">
        <v>36262</v>
      </c>
      <c r="C7" s="226">
        <v>135243</v>
      </c>
      <c r="D7" s="226">
        <v>35310</v>
      </c>
      <c r="E7" s="226">
        <v>298919</v>
      </c>
      <c r="F7" s="226">
        <v>1484527</v>
      </c>
      <c r="G7" s="227">
        <f>SUM(B7:F7)</f>
        <v>1990261</v>
      </c>
    </row>
    <row r="8" spans="1:7" ht="21" customHeight="1">
      <c r="A8" s="228" t="s">
        <v>267</v>
      </c>
      <c r="B8" s="229">
        <f aca="true" t="shared" si="0" ref="B8:G8">B6-B7</f>
        <v>-33581</v>
      </c>
      <c r="C8" s="229">
        <f t="shared" si="0"/>
        <v>-33884</v>
      </c>
      <c r="D8" s="229">
        <f t="shared" si="0"/>
        <v>-29758</v>
      </c>
      <c r="E8" s="229">
        <f t="shared" si="0"/>
        <v>-271501</v>
      </c>
      <c r="F8" s="229">
        <f t="shared" si="0"/>
        <v>239800</v>
      </c>
      <c r="G8" s="229">
        <f t="shared" si="0"/>
        <v>-128924</v>
      </c>
    </row>
    <row r="9" spans="1:7" ht="21" customHeight="1">
      <c r="A9" s="224" t="s">
        <v>268</v>
      </c>
      <c r="B9" s="225">
        <v>34889</v>
      </c>
      <c r="C9" s="226">
        <v>34103</v>
      </c>
      <c r="D9" s="226">
        <v>37985</v>
      </c>
      <c r="E9" s="226">
        <v>285526</v>
      </c>
      <c r="F9" s="226">
        <v>336990</v>
      </c>
      <c r="G9" s="227">
        <f aca="true" t="shared" si="1" ref="G9:G24">SUM(B9:F9)</f>
        <v>729493</v>
      </c>
    </row>
    <row r="10" spans="1:7" ht="21" customHeight="1">
      <c r="A10" s="224" t="s">
        <v>269</v>
      </c>
      <c r="B10" s="225"/>
      <c r="C10" s="230"/>
      <c r="D10" s="230"/>
      <c r="E10" s="230"/>
      <c r="F10" s="226">
        <v>404667</v>
      </c>
      <c r="G10" s="227">
        <f t="shared" si="1"/>
        <v>404667</v>
      </c>
    </row>
    <row r="11" spans="1:7" ht="21" customHeight="1">
      <c r="A11" s="228" t="s">
        <v>270</v>
      </c>
      <c r="B11" s="229">
        <f>B9-B10</f>
        <v>34889</v>
      </c>
      <c r="C11" s="229">
        <f>C9-C10</f>
        <v>34103</v>
      </c>
      <c r="D11" s="229">
        <f>D9-D10</f>
        <v>37985</v>
      </c>
      <c r="E11" s="229">
        <f>E9-E10</f>
        <v>285526</v>
      </c>
      <c r="F11" s="229">
        <f>F9-F10</f>
        <v>-67677</v>
      </c>
      <c r="G11" s="227">
        <f t="shared" si="1"/>
        <v>324826</v>
      </c>
    </row>
    <row r="12" spans="1:7" ht="21" customHeight="1">
      <c r="A12" s="228" t="s">
        <v>271</v>
      </c>
      <c r="B12" s="229">
        <f>B8+B11</f>
        <v>1308</v>
      </c>
      <c r="C12" s="229">
        <f>C8+C11</f>
        <v>219</v>
      </c>
      <c r="D12" s="229">
        <f>D8+D11</f>
        <v>8227</v>
      </c>
      <c r="E12" s="229">
        <f>E8+E11</f>
        <v>14025</v>
      </c>
      <c r="F12" s="229">
        <f>F8+F11</f>
        <v>172123</v>
      </c>
      <c r="G12" s="227">
        <f t="shared" si="1"/>
        <v>195902</v>
      </c>
    </row>
    <row r="13" spans="1:7" ht="21" customHeight="1">
      <c r="A13" s="224" t="s">
        <v>272</v>
      </c>
      <c r="B13" s="225">
        <v>0</v>
      </c>
      <c r="C13" s="231"/>
      <c r="D13" s="231"/>
      <c r="E13" s="226"/>
      <c r="F13" s="226"/>
      <c r="G13" s="227">
        <f t="shared" si="1"/>
        <v>0</v>
      </c>
    </row>
    <row r="14" spans="1:7" ht="21" customHeight="1">
      <c r="A14" s="224" t="s">
        <v>273</v>
      </c>
      <c r="B14" s="225">
        <v>0</v>
      </c>
      <c r="C14" s="232"/>
      <c r="D14" s="232"/>
      <c r="E14" s="232"/>
      <c r="F14" s="226"/>
      <c r="G14" s="227">
        <f t="shared" si="1"/>
        <v>0</v>
      </c>
    </row>
    <row r="15" spans="1:7" ht="21" customHeight="1">
      <c r="A15" s="228" t="s">
        <v>274</v>
      </c>
      <c r="B15" s="229">
        <f>B13-B14</f>
        <v>0</v>
      </c>
      <c r="C15" s="229">
        <f>C13-C14</f>
        <v>0</v>
      </c>
      <c r="D15" s="229">
        <f>D13-D14</f>
        <v>0</v>
      </c>
      <c r="E15" s="229">
        <f>E13-E14</f>
        <v>0</v>
      </c>
      <c r="F15" s="229">
        <f>F13-F14</f>
        <v>0</v>
      </c>
      <c r="G15" s="227">
        <f t="shared" si="1"/>
        <v>0</v>
      </c>
    </row>
    <row r="16" spans="1:7" ht="21" customHeight="1">
      <c r="A16" s="224" t="s">
        <v>275</v>
      </c>
      <c r="B16" s="225">
        <v>0</v>
      </c>
      <c r="C16" s="226"/>
      <c r="D16" s="226"/>
      <c r="E16" s="226"/>
      <c r="F16" s="226"/>
      <c r="G16" s="227">
        <f t="shared" si="1"/>
        <v>0</v>
      </c>
    </row>
    <row r="17" spans="1:7" ht="21" customHeight="1">
      <c r="A17" s="224" t="s">
        <v>276</v>
      </c>
      <c r="B17" s="225">
        <v>0</v>
      </c>
      <c r="C17" s="226"/>
      <c r="D17" s="226"/>
      <c r="E17" s="226"/>
      <c r="F17" s="226"/>
      <c r="G17" s="227">
        <f t="shared" si="1"/>
        <v>0</v>
      </c>
    </row>
    <row r="18" spans="1:7" ht="21" customHeight="1">
      <c r="A18" s="228" t="s">
        <v>277</v>
      </c>
      <c r="B18" s="229">
        <f>B16-B17</f>
        <v>0</v>
      </c>
      <c r="C18" s="229">
        <f>C16-C17</f>
        <v>0</v>
      </c>
      <c r="D18" s="229">
        <f>D16-D17</f>
        <v>0</v>
      </c>
      <c r="E18" s="229">
        <f>E16-E17</f>
        <v>0</v>
      </c>
      <c r="F18" s="229">
        <f>F16-F17</f>
        <v>0</v>
      </c>
      <c r="G18" s="227">
        <f t="shared" si="1"/>
        <v>0</v>
      </c>
    </row>
    <row r="19" spans="1:7" ht="21" customHeight="1">
      <c r="A19" s="228" t="s">
        <v>278</v>
      </c>
      <c r="B19" s="229">
        <f>B15+B18</f>
        <v>0</v>
      </c>
      <c r="C19" s="229">
        <f>C15+C18</f>
        <v>0</v>
      </c>
      <c r="D19" s="229">
        <f>D15+D18</f>
        <v>0</v>
      </c>
      <c r="E19" s="229">
        <f>E15+E18</f>
        <v>0</v>
      </c>
      <c r="F19" s="229">
        <f>F15+F18</f>
        <v>0</v>
      </c>
      <c r="G19" s="227">
        <f t="shared" si="1"/>
        <v>0</v>
      </c>
    </row>
    <row r="20" spans="1:7" ht="25.5" customHeight="1">
      <c r="A20" s="228" t="s">
        <v>279</v>
      </c>
      <c r="B20" s="229">
        <f>B19+B12</f>
        <v>1308</v>
      </c>
      <c r="C20" s="229">
        <f>C19+C12</f>
        <v>219</v>
      </c>
      <c r="D20" s="229">
        <f>D19+D12</f>
        <v>8227</v>
      </c>
      <c r="E20" s="229">
        <f>E19+E12</f>
        <v>14025</v>
      </c>
      <c r="F20" s="229">
        <f>F19+F12</f>
        <v>172123</v>
      </c>
      <c r="G20" s="227">
        <f t="shared" si="1"/>
        <v>195902</v>
      </c>
    </row>
    <row r="21" spans="1:7" s="233" customFormat="1" ht="26.25" customHeight="1">
      <c r="A21" s="228" t="s">
        <v>280</v>
      </c>
      <c r="B21" s="229">
        <v>0</v>
      </c>
      <c r="C21" s="232">
        <v>0</v>
      </c>
      <c r="D21" s="232">
        <v>2524</v>
      </c>
      <c r="E21" s="232">
        <v>49</v>
      </c>
      <c r="F21" s="232">
        <v>69482</v>
      </c>
      <c r="G21" s="227">
        <f t="shared" si="1"/>
        <v>72055</v>
      </c>
    </row>
    <row r="22" spans="1:7" ht="21" customHeight="1">
      <c r="A22" s="228" t="s">
        <v>281</v>
      </c>
      <c r="B22" s="229">
        <f>B12-B21</f>
        <v>1308</v>
      </c>
      <c r="C22" s="229">
        <f>C12-C21</f>
        <v>219</v>
      </c>
      <c r="D22" s="229">
        <f>D12-D21</f>
        <v>5703</v>
      </c>
      <c r="E22" s="229">
        <f>E12-E21</f>
        <v>13976</v>
      </c>
      <c r="F22" s="229">
        <f>F12-F21</f>
        <v>102641</v>
      </c>
      <c r="G22" s="227">
        <f t="shared" si="1"/>
        <v>123847</v>
      </c>
    </row>
    <row r="23" spans="1:7" ht="30.75" customHeight="1">
      <c r="A23" s="228" t="s">
        <v>282</v>
      </c>
      <c r="B23" s="229">
        <v>0</v>
      </c>
      <c r="C23" s="229">
        <v>0</v>
      </c>
      <c r="D23" s="229">
        <v>0</v>
      </c>
      <c r="E23" s="229">
        <v>0</v>
      </c>
      <c r="F23" s="229">
        <v>0</v>
      </c>
      <c r="G23" s="227">
        <f t="shared" si="1"/>
        <v>0</v>
      </c>
    </row>
    <row r="24" spans="1:7" ht="29.25" customHeight="1" thickBot="1">
      <c r="A24" s="234" t="s">
        <v>283</v>
      </c>
      <c r="B24" s="235">
        <v>0</v>
      </c>
      <c r="C24" s="235">
        <v>0</v>
      </c>
      <c r="D24" s="235">
        <v>0</v>
      </c>
      <c r="E24" s="235">
        <v>0</v>
      </c>
      <c r="F24" s="235">
        <v>0</v>
      </c>
      <c r="G24" s="236">
        <f t="shared" si="1"/>
        <v>0</v>
      </c>
    </row>
  </sheetData>
  <sheetProtection/>
  <mergeCells count="2">
    <mergeCell ref="A3:G3"/>
    <mergeCell ref="A4:G4"/>
  </mergeCells>
  <printOptions/>
  <pageMargins left="0.7874015748031497" right="0.7874015748031497" top="0.61" bottom="0.4" header="0.5118110236220472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4.75390625" style="237" customWidth="1"/>
    <col min="2" max="2" width="64.125" style="250" customWidth="1"/>
    <col min="3" max="3" width="18.625" style="239" customWidth="1"/>
    <col min="4" max="4" width="22.75390625" style="237" customWidth="1"/>
    <col min="5" max="5" width="17.625" style="237" customWidth="1"/>
    <col min="6" max="16384" width="9.125" style="237" customWidth="1"/>
  </cols>
  <sheetData>
    <row r="1" spans="1:3" ht="13.5">
      <c r="A1" s="276"/>
      <c r="B1" s="276" t="s">
        <v>502</v>
      </c>
      <c r="C1" s="276"/>
    </row>
    <row r="2" ht="6" customHeight="1">
      <c r="B2" s="238"/>
    </row>
    <row r="3" spans="1:5" ht="13.5">
      <c r="A3" s="403" t="s">
        <v>284</v>
      </c>
      <c r="B3" s="403"/>
      <c r="C3" s="403"/>
      <c r="D3" s="403"/>
      <c r="E3" s="403"/>
    </row>
    <row r="4" spans="1:5" ht="13.5">
      <c r="A4" s="403" t="s">
        <v>260</v>
      </c>
      <c r="B4" s="403"/>
      <c r="C4" s="403"/>
      <c r="D4" s="403"/>
      <c r="E4" s="403"/>
    </row>
    <row r="5" spans="1:5" s="244" customFormat="1" ht="40.5">
      <c r="A5" s="291" t="s">
        <v>1</v>
      </c>
      <c r="B5" s="293" t="s">
        <v>414</v>
      </c>
      <c r="C5" s="294" t="s">
        <v>447</v>
      </c>
      <c r="D5" s="295" t="s">
        <v>459</v>
      </c>
      <c r="E5" s="295" t="s">
        <v>446</v>
      </c>
    </row>
    <row r="6" spans="2:6" s="242" customFormat="1" ht="13.5">
      <c r="B6" s="308" t="s">
        <v>448</v>
      </c>
      <c r="C6" s="309">
        <f>C15+C20</f>
        <v>64959</v>
      </c>
      <c r="D6" s="309">
        <f>D15+D20</f>
        <v>4523</v>
      </c>
      <c r="E6" s="309">
        <f>E15+E20</f>
        <v>69482</v>
      </c>
      <c r="F6" s="243"/>
    </row>
    <row r="7" spans="2:5" s="242" customFormat="1" ht="12.75">
      <c r="B7" s="296" t="s">
        <v>445</v>
      </c>
      <c r="C7" s="297">
        <v>3664</v>
      </c>
      <c r="D7" s="298"/>
      <c r="E7" s="298">
        <f aca="true" t="shared" si="0" ref="E7:E14">SUM(C7:D7)</f>
        <v>3664</v>
      </c>
    </row>
    <row r="8" spans="2:5" s="242" customFormat="1" ht="12.75">
      <c r="B8" s="296" t="s">
        <v>456</v>
      </c>
      <c r="C8" s="298">
        <v>29478</v>
      </c>
      <c r="D8" s="298"/>
      <c r="E8" s="298">
        <f t="shared" si="0"/>
        <v>29478</v>
      </c>
    </row>
    <row r="9" spans="2:5" s="242" customFormat="1" ht="12.75">
      <c r="B9" s="296" t="s">
        <v>460</v>
      </c>
      <c r="C9" s="297"/>
      <c r="D9" s="299">
        <v>125</v>
      </c>
      <c r="E9" s="298">
        <f t="shared" si="0"/>
        <v>125</v>
      </c>
    </row>
    <row r="10" spans="2:5" s="242" customFormat="1" ht="12.75">
      <c r="B10" s="296" t="s">
        <v>458</v>
      </c>
      <c r="C10" s="297">
        <v>1167</v>
      </c>
      <c r="D10" s="299"/>
      <c r="E10" s="298">
        <f t="shared" si="0"/>
        <v>1167</v>
      </c>
    </row>
    <row r="11" spans="2:5" s="242" customFormat="1" ht="12.75">
      <c r="B11" s="296" t="s">
        <v>454</v>
      </c>
      <c r="C11" s="297"/>
      <c r="D11" s="299">
        <v>154</v>
      </c>
      <c r="E11" s="298">
        <f t="shared" si="0"/>
        <v>154</v>
      </c>
    </row>
    <row r="12" spans="2:6" s="242" customFormat="1" ht="12.75">
      <c r="B12" s="296" t="s">
        <v>453</v>
      </c>
      <c r="C12" s="297"/>
      <c r="D12" s="299">
        <v>190</v>
      </c>
      <c r="E12" s="298">
        <f t="shared" si="0"/>
        <v>190</v>
      </c>
      <c r="F12" s="243"/>
    </row>
    <row r="13" spans="2:5" s="242" customFormat="1" ht="12.75">
      <c r="B13" s="296" t="s">
        <v>452</v>
      </c>
      <c r="C13" s="297"/>
      <c r="D13" s="299">
        <v>1291</v>
      </c>
      <c r="E13" s="298">
        <f t="shared" si="0"/>
        <v>1291</v>
      </c>
    </row>
    <row r="14" spans="2:5" s="292" customFormat="1" ht="12.75">
      <c r="B14" s="296" t="s">
        <v>415</v>
      </c>
      <c r="C14" s="300"/>
      <c r="D14" s="301">
        <f>1652+1+50</f>
        <v>1703</v>
      </c>
      <c r="E14" s="298">
        <f t="shared" si="0"/>
        <v>1703</v>
      </c>
    </row>
    <row r="15" spans="2:5" s="245" customFormat="1" ht="12.75">
      <c r="B15" s="302" t="s">
        <v>450</v>
      </c>
      <c r="C15" s="303">
        <f>SUM(C7:C14)</f>
        <v>34309</v>
      </c>
      <c r="D15" s="303">
        <f>SUM(D7:D14)</f>
        <v>3463</v>
      </c>
      <c r="E15" s="303">
        <f>SUM(E7:E14)</f>
        <v>37772</v>
      </c>
    </row>
    <row r="16" spans="2:5" s="242" customFormat="1" ht="12.75">
      <c r="B16" s="304" t="s">
        <v>457</v>
      </c>
      <c r="C16" s="305">
        <v>500</v>
      </c>
      <c r="D16" s="305">
        <v>0</v>
      </c>
      <c r="E16" s="305">
        <f>SUM(C16:D16)</f>
        <v>500</v>
      </c>
    </row>
    <row r="17" spans="2:5" s="242" customFormat="1" ht="12.75">
      <c r="B17" s="296" t="s">
        <v>455</v>
      </c>
      <c r="C17" s="298">
        <v>30000</v>
      </c>
      <c r="D17" s="298"/>
      <c r="E17" s="298">
        <f>SUM(C17:D17)</f>
        <v>30000</v>
      </c>
    </row>
    <row r="18" spans="2:5" s="242" customFormat="1" ht="12.75">
      <c r="B18" s="296" t="s">
        <v>449</v>
      </c>
      <c r="C18" s="298"/>
      <c r="D18" s="298">
        <v>1060</v>
      </c>
      <c r="E18" s="298">
        <f>SUM(C18:D18)</f>
        <v>1060</v>
      </c>
    </row>
    <row r="19" spans="2:5" s="242" customFormat="1" ht="12.75">
      <c r="B19" s="296" t="s">
        <v>444</v>
      </c>
      <c r="C19" s="298">
        <v>150</v>
      </c>
      <c r="D19" s="298"/>
      <c r="E19" s="298">
        <f>SUM(C19:D19)</f>
        <v>150</v>
      </c>
    </row>
    <row r="20" spans="2:6" s="245" customFormat="1" ht="12.75">
      <c r="B20" s="302" t="s">
        <v>451</v>
      </c>
      <c r="C20" s="303">
        <f>SUM(C16:C19)</f>
        <v>30650</v>
      </c>
      <c r="D20" s="303">
        <f>SUM(D16:D19)</f>
        <v>1060</v>
      </c>
      <c r="E20" s="303">
        <f>SUM(E16:E19)</f>
        <v>31710</v>
      </c>
      <c r="F20" s="247"/>
    </row>
    <row r="21" spans="2:6" s="242" customFormat="1" ht="13.5">
      <c r="B21" s="308" t="s">
        <v>461</v>
      </c>
      <c r="C21" s="309">
        <f>SUM(C25)</f>
        <v>98855</v>
      </c>
      <c r="D21" s="309">
        <f>SUM(D25)</f>
        <v>3786</v>
      </c>
      <c r="E21" s="309">
        <f>SUM(E25)</f>
        <v>102641</v>
      </c>
      <c r="F21" s="243"/>
    </row>
    <row r="22" spans="2:5" s="242" customFormat="1" ht="14.25" customHeight="1">
      <c r="B22" s="296" t="s">
        <v>463</v>
      </c>
      <c r="C22" s="297">
        <f>163814-64959</f>
        <v>98855</v>
      </c>
      <c r="E22" s="298">
        <f>SUM(C22:D22)</f>
        <v>98855</v>
      </c>
    </row>
    <row r="23" spans="2:5" s="242" customFormat="1" ht="12.75">
      <c r="B23" s="296" t="s">
        <v>494</v>
      </c>
      <c r="C23" s="298"/>
      <c r="D23" s="298">
        <v>400</v>
      </c>
      <c r="E23" s="298">
        <f>SUM(C23:D23)</f>
        <v>400</v>
      </c>
    </row>
    <row r="24" spans="2:5" s="242" customFormat="1" ht="12.75">
      <c r="B24" s="296" t="s">
        <v>464</v>
      </c>
      <c r="C24" s="298"/>
      <c r="D24" s="298">
        <f>172123-163814-4523-400</f>
        <v>3386</v>
      </c>
      <c r="E24" s="298">
        <f>SUM(C24:D24)</f>
        <v>3386</v>
      </c>
    </row>
    <row r="25" spans="2:5" s="245" customFormat="1" ht="12.75">
      <c r="B25" s="302" t="s">
        <v>495</v>
      </c>
      <c r="C25" s="303">
        <f>SUM(C22:C24)</f>
        <v>98855</v>
      </c>
      <c r="D25" s="303">
        <f>SUM(D22:D24)</f>
        <v>3786</v>
      </c>
      <c r="E25" s="303">
        <f>SUM(E22:E24)</f>
        <v>102641</v>
      </c>
    </row>
    <row r="26" spans="2:6" s="251" customFormat="1" ht="12.75">
      <c r="B26" s="310" t="s">
        <v>462</v>
      </c>
      <c r="C26" s="311">
        <f>C21+C6</f>
        <v>163814</v>
      </c>
      <c r="D26" s="311">
        <f>D21+D6</f>
        <v>8309</v>
      </c>
      <c r="E26" s="311">
        <f>E21+E6</f>
        <v>172123</v>
      </c>
      <c r="F26" s="312"/>
    </row>
    <row r="27" spans="2:3" s="241" customFormat="1" ht="13.5">
      <c r="B27" s="248"/>
      <c r="C27" s="249"/>
    </row>
    <row r="28" spans="1:5" s="244" customFormat="1" ht="40.5">
      <c r="A28" s="291" t="s">
        <v>2</v>
      </c>
      <c r="B28" s="293" t="s">
        <v>416</v>
      </c>
      <c r="C28" s="294" t="s">
        <v>447</v>
      </c>
      <c r="D28" s="295" t="s">
        <v>459</v>
      </c>
      <c r="E28" s="295" t="s">
        <v>446</v>
      </c>
    </row>
    <row r="29" spans="2:6" s="242" customFormat="1" ht="13.5">
      <c r="B29" s="308" t="s">
        <v>448</v>
      </c>
      <c r="C29" s="309">
        <f>C30</f>
        <v>0</v>
      </c>
      <c r="D29" s="309">
        <f>D30</f>
        <v>49</v>
      </c>
      <c r="E29" s="309">
        <f>E30</f>
        <v>49</v>
      </c>
      <c r="F29" s="243"/>
    </row>
    <row r="30" spans="2:5" s="242" customFormat="1" ht="12.75">
      <c r="B30" s="296" t="s">
        <v>465</v>
      </c>
      <c r="C30" s="297"/>
      <c r="D30" s="298">
        <v>49</v>
      </c>
      <c r="E30" s="298">
        <f>SUM(C30:D30)</f>
        <v>49</v>
      </c>
    </row>
    <row r="31" spans="2:6" s="242" customFormat="1" ht="13.5">
      <c r="B31" s="308" t="s">
        <v>461</v>
      </c>
      <c r="C31" s="309">
        <f>SUM(C32:C37)</f>
        <v>0</v>
      </c>
      <c r="D31" s="309">
        <f>SUM(D32:D37)</f>
        <v>13976.000000000002</v>
      </c>
      <c r="E31" s="309">
        <f>SUM(E32:E37)</f>
        <v>13976.000000000002</v>
      </c>
      <c r="F31" s="243"/>
    </row>
    <row r="32" spans="2:5" s="242" customFormat="1" ht="12.75">
      <c r="B32" s="314" t="s">
        <v>285</v>
      </c>
      <c r="C32" s="298"/>
      <c r="D32" s="298">
        <f>(14025-49)/12207*(337+360)*0.57</f>
        <v>454.8640157286802</v>
      </c>
      <c r="E32" s="298">
        <f aca="true" t="shared" si="1" ref="E32:E37">SUM(C32:D32)</f>
        <v>454.8640157286802</v>
      </c>
    </row>
    <row r="33" spans="2:5" s="242" customFormat="1" ht="12.75">
      <c r="B33" s="314" t="s">
        <v>286</v>
      </c>
      <c r="C33" s="298"/>
      <c r="D33" s="298">
        <f>(14025-49)/12207*(337+360)*0.43</f>
        <v>343.1430294093553</v>
      </c>
      <c r="E33" s="298">
        <f t="shared" si="1"/>
        <v>343.1430294093553</v>
      </c>
    </row>
    <row r="34" spans="2:5" s="242" customFormat="1" ht="12.75">
      <c r="B34" s="314" t="s">
        <v>287</v>
      </c>
      <c r="C34" s="298"/>
      <c r="D34" s="298">
        <f>(14025-49)/12207*11510-D35-D37-D36</f>
        <v>8477.992954861966</v>
      </c>
      <c r="E34" s="298">
        <f t="shared" si="1"/>
        <v>8477.992954861966</v>
      </c>
    </row>
    <row r="35" spans="2:5" s="242" customFormat="1" ht="12.75">
      <c r="B35" s="296" t="s">
        <v>466</v>
      </c>
      <c r="C35" s="298"/>
      <c r="D35" s="298">
        <v>700</v>
      </c>
      <c r="E35" s="298">
        <f t="shared" si="1"/>
        <v>700</v>
      </c>
    </row>
    <row r="36" spans="2:5" s="242" customFormat="1" ht="12.75">
      <c r="B36" s="296" t="s">
        <v>486</v>
      </c>
      <c r="C36" s="298"/>
      <c r="D36" s="298">
        <v>1000</v>
      </c>
      <c r="E36" s="298">
        <f t="shared" si="1"/>
        <v>1000</v>
      </c>
    </row>
    <row r="37" spans="2:5" s="242" customFormat="1" ht="12.75">
      <c r="B37" s="306" t="s">
        <v>468</v>
      </c>
      <c r="C37" s="298"/>
      <c r="D37" s="298">
        <v>3000</v>
      </c>
      <c r="E37" s="298">
        <f t="shared" si="1"/>
        <v>3000</v>
      </c>
    </row>
    <row r="38" spans="2:6" s="251" customFormat="1" ht="12.75">
      <c r="B38" s="310" t="s">
        <v>462</v>
      </c>
      <c r="C38" s="311">
        <f>C31+C29</f>
        <v>0</v>
      </c>
      <c r="D38" s="311">
        <f>D31+D29</f>
        <v>14025.000000000002</v>
      </c>
      <c r="E38" s="311">
        <f>E31+E29</f>
        <v>14025.000000000002</v>
      </c>
      <c r="F38" s="312"/>
    </row>
    <row r="39" spans="3:4" s="251" customFormat="1" ht="12.75">
      <c r="C39" s="290"/>
      <c r="D39" s="240"/>
    </row>
    <row r="40" spans="1:5" s="244" customFormat="1" ht="40.5">
      <c r="A40" s="291" t="s">
        <v>12</v>
      </c>
      <c r="B40" s="315" t="s">
        <v>417</v>
      </c>
      <c r="C40" s="294" t="s">
        <v>447</v>
      </c>
      <c r="D40" s="295" t="s">
        <v>459</v>
      </c>
      <c r="E40" s="295" t="s">
        <v>446</v>
      </c>
    </row>
    <row r="41" spans="2:6" s="242" customFormat="1" ht="13.5">
      <c r="B41" s="308" t="s">
        <v>448</v>
      </c>
      <c r="C41" s="309">
        <f>C42</f>
        <v>0</v>
      </c>
      <c r="D41" s="309">
        <f>D42</f>
        <v>0</v>
      </c>
      <c r="E41" s="309">
        <f>E42</f>
        <v>0</v>
      </c>
      <c r="F41" s="243"/>
    </row>
    <row r="42" spans="2:5" s="242" customFormat="1" ht="12.75">
      <c r="B42" s="296"/>
      <c r="C42" s="297"/>
      <c r="D42" s="298"/>
      <c r="E42" s="298">
        <f>SUM(C42:D42)</f>
        <v>0</v>
      </c>
    </row>
    <row r="43" spans="2:6" s="242" customFormat="1" ht="13.5">
      <c r="B43" s="308" t="s">
        <v>461</v>
      </c>
      <c r="C43" s="309">
        <f>SUM(C45:C49)</f>
        <v>0</v>
      </c>
      <c r="D43" s="309">
        <f>SUM(D44:D49)</f>
        <v>1308</v>
      </c>
      <c r="E43" s="309">
        <f>SUM(E44:E49)</f>
        <v>1308</v>
      </c>
      <c r="F43" s="243"/>
    </row>
    <row r="44" spans="2:5" s="242" customFormat="1" ht="12.75">
      <c r="B44" s="296" t="s">
        <v>467</v>
      </c>
      <c r="C44" s="297"/>
      <c r="D44" s="298">
        <v>58</v>
      </c>
      <c r="E44" s="298">
        <f aca="true" t="shared" si="2" ref="E44:E49">SUM(C44:D44)</f>
        <v>58</v>
      </c>
    </row>
    <row r="45" spans="2:5" s="242" customFormat="1" ht="12.75">
      <c r="B45" s="314" t="s">
        <v>439</v>
      </c>
      <c r="C45" s="298"/>
      <c r="D45" s="298">
        <v>39</v>
      </c>
      <c r="E45" s="298">
        <f t="shared" si="2"/>
        <v>39</v>
      </c>
    </row>
    <row r="46" spans="2:5" s="242" customFormat="1" ht="12.75">
      <c r="B46" s="314" t="s">
        <v>440</v>
      </c>
      <c r="C46" s="298"/>
      <c r="D46" s="298">
        <v>144</v>
      </c>
      <c r="E46" s="298">
        <f t="shared" si="2"/>
        <v>144</v>
      </c>
    </row>
    <row r="47" spans="2:5" s="242" customFormat="1" ht="12.75">
      <c r="B47" s="314" t="s">
        <v>441</v>
      </c>
      <c r="C47" s="298"/>
      <c r="D47" s="298">
        <v>605</v>
      </c>
      <c r="E47" s="298">
        <f t="shared" si="2"/>
        <v>605</v>
      </c>
    </row>
    <row r="48" spans="2:5" s="242" customFormat="1" ht="12.75">
      <c r="B48" s="314" t="s">
        <v>443</v>
      </c>
      <c r="C48" s="298"/>
      <c r="D48" s="298">
        <v>412</v>
      </c>
      <c r="E48" s="298">
        <f t="shared" si="2"/>
        <v>412</v>
      </c>
    </row>
    <row r="49" spans="2:5" s="242" customFormat="1" ht="12.75">
      <c r="B49" s="316" t="s">
        <v>442</v>
      </c>
      <c r="C49" s="298"/>
      <c r="D49" s="298">
        <v>50</v>
      </c>
      <c r="E49" s="298">
        <f t="shared" si="2"/>
        <v>50</v>
      </c>
    </row>
    <row r="50" spans="2:6" s="251" customFormat="1" ht="12.75">
      <c r="B50" s="310" t="s">
        <v>462</v>
      </c>
      <c r="C50" s="311">
        <f>C43+C41</f>
        <v>0</v>
      </c>
      <c r="D50" s="311">
        <f>D43+D41</f>
        <v>1308</v>
      </c>
      <c r="E50" s="311">
        <f>E43+E41</f>
        <v>1308</v>
      </c>
      <c r="F50" s="312"/>
    </row>
    <row r="51" spans="2:4" s="242" customFormat="1" ht="11.25" customHeight="1">
      <c r="B51" s="246"/>
      <c r="C51" s="247"/>
      <c r="D51" s="243"/>
    </row>
    <row r="52" spans="1:5" s="244" customFormat="1" ht="40.5">
      <c r="A52" s="291" t="s">
        <v>469</v>
      </c>
      <c r="B52" s="315" t="s">
        <v>418</v>
      </c>
      <c r="C52" s="294" t="s">
        <v>447</v>
      </c>
      <c r="D52" s="295" t="s">
        <v>459</v>
      </c>
      <c r="E52" s="295" t="s">
        <v>446</v>
      </c>
    </row>
    <row r="53" spans="2:6" s="242" customFormat="1" ht="13.5">
      <c r="B53" s="308" t="s">
        <v>448</v>
      </c>
      <c r="C53" s="309">
        <f>C54</f>
        <v>0</v>
      </c>
      <c r="D53" s="309">
        <f>D54</f>
        <v>0</v>
      </c>
      <c r="E53" s="309">
        <f>E54</f>
        <v>0</v>
      </c>
      <c r="F53" s="243"/>
    </row>
    <row r="54" spans="2:5" s="242" customFormat="1" ht="12.75">
      <c r="B54" s="296"/>
      <c r="C54" s="297"/>
      <c r="D54" s="298">
        <v>0</v>
      </c>
      <c r="E54" s="298">
        <f>SUM(C54:D54)</f>
        <v>0</v>
      </c>
    </row>
    <row r="55" spans="2:6" s="242" customFormat="1" ht="13.5">
      <c r="B55" s="308" t="s">
        <v>461</v>
      </c>
      <c r="C55" s="309">
        <f>SUM(C56:C56)</f>
        <v>0</v>
      </c>
      <c r="D55" s="309">
        <f>SUM(D56:D56)</f>
        <v>219</v>
      </c>
      <c r="E55" s="309">
        <f>SUM(E56:E56)</f>
        <v>219</v>
      </c>
      <c r="F55" s="243"/>
    </row>
    <row r="56" spans="2:5" s="242" customFormat="1" ht="12.75">
      <c r="B56" s="314" t="s">
        <v>485</v>
      </c>
      <c r="C56" s="298"/>
      <c r="D56" s="298">
        <v>219</v>
      </c>
      <c r="E56" s="298">
        <f>SUM(C56:D56)</f>
        <v>219</v>
      </c>
    </row>
    <row r="57" spans="2:6" s="251" customFormat="1" ht="12.75">
      <c r="B57" s="310" t="s">
        <v>462</v>
      </c>
      <c r="C57" s="311">
        <f>C55+C53</f>
        <v>0</v>
      </c>
      <c r="D57" s="311">
        <f>D55+D53</f>
        <v>219</v>
      </c>
      <c r="E57" s="311">
        <f>E55+E53</f>
        <v>219</v>
      </c>
      <c r="F57" s="312"/>
    </row>
    <row r="58" spans="2:4" s="242" customFormat="1" ht="11.25" customHeight="1">
      <c r="B58" s="246"/>
      <c r="C58" s="247"/>
      <c r="D58" s="243"/>
    </row>
    <row r="59" spans="1:5" s="244" customFormat="1" ht="40.5">
      <c r="A59" s="291" t="s">
        <v>289</v>
      </c>
      <c r="B59" s="315" t="s">
        <v>419</v>
      </c>
      <c r="C59" s="294" t="s">
        <v>447</v>
      </c>
      <c r="D59" s="295" t="s">
        <v>459</v>
      </c>
      <c r="E59" s="295" t="s">
        <v>446</v>
      </c>
    </row>
    <row r="60" spans="2:6" s="242" customFormat="1" ht="13.5">
      <c r="B60" s="308" t="s">
        <v>448</v>
      </c>
      <c r="C60" s="309">
        <f>SUM(C61:C62)</f>
        <v>0</v>
      </c>
      <c r="D60" s="309">
        <f>SUM(D61:D62)</f>
        <v>2524</v>
      </c>
      <c r="E60" s="309">
        <f>SUM(E61:E62)</f>
        <v>2524</v>
      </c>
      <c r="F60" s="243"/>
    </row>
    <row r="61" spans="2:5" s="242" customFormat="1" ht="25.5">
      <c r="B61" s="296" t="s">
        <v>474</v>
      </c>
      <c r="C61" s="297"/>
      <c r="D61" s="298">
        <v>1000</v>
      </c>
      <c r="E61" s="298">
        <f>SUM(C61:D61)</f>
        <v>1000</v>
      </c>
    </row>
    <row r="62" spans="2:5" s="242" customFormat="1" ht="12.75">
      <c r="B62" s="296" t="s">
        <v>475</v>
      </c>
      <c r="C62" s="297"/>
      <c r="D62" s="298">
        <v>1524</v>
      </c>
      <c r="E62" s="298">
        <f>SUM(C62:D62)</f>
        <v>1524</v>
      </c>
    </row>
    <row r="63" spans="2:6" s="242" customFormat="1" ht="13.5">
      <c r="B63" s="308" t="s">
        <v>461</v>
      </c>
      <c r="C63" s="309">
        <f>SUM(C64:C72)</f>
        <v>0</v>
      </c>
      <c r="D63" s="309">
        <f>SUM(D64:D72)</f>
        <v>5703</v>
      </c>
      <c r="E63" s="309">
        <f>SUM(E64:E72)</f>
        <v>5703</v>
      </c>
      <c r="F63" s="243"/>
    </row>
    <row r="64" spans="2:5" s="242" customFormat="1" ht="12.75">
      <c r="B64" s="314" t="s">
        <v>476</v>
      </c>
      <c r="C64" s="298"/>
      <c r="D64" s="298">
        <v>2000</v>
      </c>
      <c r="E64" s="298">
        <f aca="true" t="shared" si="3" ref="E64:E72">SUM(C64:D64)</f>
        <v>2000</v>
      </c>
    </row>
    <row r="65" spans="2:5" s="212" customFormat="1" ht="27" customHeight="1">
      <c r="B65" s="321" t="s">
        <v>477</v>
      </c>
      <c r="C65" s="298"/>
      <c r="D65" s="298">
        <v>360</v>
      </c>
      <c r="E65" s="298">
        <f t="shared" si="3"/>
        <v>360</v>
      </c>
    </row>
    <row r="66" spans="2:5" s="212" customFormat="1" ht="25.5">
      <c r="B66" s="321" t="s">
        <v>484</v>
      </c>
      <c r="C66" s="298"/>
      <c r="D66" s="298">
        <v>600</v>
      </c>
      <c r="E66" s="298">
        <f t="shared" si="3"/>
        <v>600</v>
      </c>
    </row>
    <row r="67" spans="2:5" s="212" customFormat="1" ht="38.25">
      <c r="B67" s="322" t="s">
        <v>478</v>
      </c>
      <c r="C67" s="298"/>
      <c r="D67" s="298">
        <v>760</v>
      </c>
      <c r="E67" s="298">
        <f t="shared" si="3"/>
        <v>760</v>
      </c>
    </row>
    <row r="68" spans="2:5" s="212" customFormat="1" ht="12.75">
      <c r="B68" s="322" t="s">
        <v>479</v>
      </c>
      <c r="C68" s="298"/>
      <c r="D68" s="298">
        <v>350</v>
      </c>
      <c r="E68" s="298">
        <f t="shared" si="3"/>
        <v>350</v>
      </c>
    </row>
    <row r="69" spans="2:5" s="212" customFormat="1" ht="25.5">
      <c r="B69" s="322" t="s">
        <v>480</v>
      </c>
      <c r="C69" s="298"/>
      <c r="D69" s="298">
        <v>350</v>
      </c>
      <c r="E69" s="298">
        <f t="shared" si="3"/>
        <v>350</v>
      </c>
    </row>
    <row r="70" spans="2:5" s="212" customFormat="1" ht="12.75">
      <c r="B70" s="322" t="s">
        <v>481</v>
      </c>
      <c r="C70" s="298"/>
      <c r="D70" s="298">
        <f>400-57</f>
        <v>343</v>
      </c>
      <c r="E70" s="298">
        <f t="shared" si="3"/>
        <v>343</v>
      </c>
    </row>
    <row r="71" spans="2:5" s="212" customFormat="1" ht="12.75">
      <c r="B71" s="322" t="s">
        <v>482</v>
      </c>
      <c r="C71" s="298"/>
      <c r="D71" s="298">
        <v>570</v>
      </c>
      <c r="E71" s="298">
        <f t="shared" si="3"/>
        <v>570</v>
      </c>
    </row>
    <row r="72" spans="2:5" s="212" customFormat="1" ht="12.75">
      <c r="B72" s="323" t="s">
        <v>483</v>
      </c>
      <c r="C72" s="307"/>
      <c r="D72" s="307">
        <v>370</v>
      </c>
      <c r="E72" s="307">
        <f t="shared" si="3"/>
        <v>370</v>
      </c>
    </row>
    <row r="73" spans="2:6" s="251" customFormat="1" ht="12.75">
      <c r="B73" s="319" t="s">
        <v>462</v>
      </c>
      <c r="C73" s="320">
        <f>C63+C60</f>
        <v>0</v>
      </c>
      <c r="D73" s="320">
        <f>D63+D60</f>
        <v>8227</v>
      </c>
      <c r="E73" s="320">
        <f>E63+E60</f>
        <v>8227</v>
      </c>
      <c r="F73" s="312"/>
    </row>
    <row r="74" spans="1:3" s="251" customFormat="1" ht="14.25" customHeight="1">
      <c r="A74" s="251" t="s">
        <v>288</v>
      </c>
      <c r="B74" s="402"/>
      <c r="C74" s="402"/>
    </row>
    <row r="75" spans="2:5" s="251" customFormat="1" ht="14.25" customHeight="1">
      <c r="B75" s="313" t="s">
        <v>448</v>
      </c>
      <c r="C75" s="383">
        <f>C6+C29+C41+C53+C60</f>
        <v>64959</v>
      </c>
      <c r="D75" s="383">
        <f>D6+D29+D41+D53+D60</f>
        <v>7096</v>
      </c>
      <c r="E75" s="383">
        <f>E6+E29+E41+E53+E60</f>
        <v>72055</v>
      </c>
    </row>
    <row r="76" spans="2:5" s="251" customFormat="1" ht="18" customHeight="1">
      <c r="B76" s="313" t="s">
        <v>470</v>
      </c>
      <c r="C76" s="384">
        <f>C63+C55+C43+C31+C21</f>
        <v>98855</v>
      </c>
      <c r="D76" s="384">
        <f>D63+D55+D43+D31+D21</f>
        <v>24992</v>
      </c>
      <c r="E76" s="384">
        <f>E63+E55+E43+E31+E21</f>
        <v>123847</v>
      </c>
    </row>
    <row r="77" spans="2:5" ht="18" customHeight="1">
      <c r="B77" s="318" t="s">
        <v>290</v>
      </c>
      <c r="C77" s="317">
        <f>C73+C57+C50+C38+C26</f>
        <v>163814</v>
      </c>
      <c r="D77" s="317">
        <f>D73+D57+D50+D38+D26</f>
        <v>32088</v>
      </c>
      <c r="E77" s="317">
        <f>E73+E57+E50+E38+E26</f>
        <v>195902</v>
      </c>
    </row>
    <row r="78" ht="13.5" customHeight="1">
      <c r="B78" s="253"/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sheetProtection/>
  <mergeCells count="3">
    <mergeCell ref="B74:C74"/>
    <mergeCell ref="A3:E3"/>
    <mergeCell ref="A4:E4"/>
  </mergeCells>
  <printOptions/>
  <pageMargins left="0.7874015748031497" right="0.7874015748031497" top="1.1023622047244095" bottom="1.1811023622047245" header="0.5118110236220472" footer="0.5118110236220472"/>
  <pageSetup horizontalDpi="600" verticalDpi="600" orientation="landscape" paperSize="9" r:id="rId1"/>
  <rowBreaks count="2" manualBreakCount="2">
    <brk id="26" max="255" man="1"/>
    <brk id="5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7.125" style="242" customWidth="1"/>
    <col min="2" max="2" width="42.375" style="242" customWidth="1"/>
    <col min="3" max="3" width="11.00390625" style="242" customWidth="1"/>
    <col min="4" max="4" width="10.625" style="242" customWidth="1"/>
    <col min="5" max="5" width="9.375" style="242" customWidth="1"/>
    <col min="6" max="6" width="13.125" style="242" customWidth="1"/>
    <col min="7" max="7" width="14.00390625" style="242" customWidth="1"/>
    <col min="8" max="8" width="16.125" style="242" customWidth="1"/>
    <col min="9" max="16384" width="9.125" style="242" customWidth="1"/>
  </cols>
  <sheetData>
    <row r="1" spans="1:5" ht="13.5">
      <c r="A1" s="276"/>
      <c r="B1" s="276" t="s">
        <v>503</v>
      </c>
      <c r="C1" s="276"/>
      <c r="D1" s="254"/>
      <c r="E1" s="254"/>
    </row>
    <row r="2" spans="1:5" ht="9" customHeight="1">
      <c r="A2" s="252"/>
      <c r="B2" s="252"/>
      <c r="C2" s="252"/>
      <c r="D2" s="252"/>
      <c r="E2" s="252"/>
    </row>
    <row r="3" spans="1:8" ht="15">
      <c r="A3" s="406" t="s">
        <v>420</v>
      </c>
      <c r="B3" s="406"/>
      <c r="C3" s="406"/>
      <c r="D3" s="406"/>
      <c r="E3" s="406"/>
      <c r="F3" s="406"/>
      <c r="G3" s="406"/>
      <c r="H3" s="406"/>
    </row>
    <row r="4" spans="1:8" ht="15">
      <c r="A4" s="407" t="s">
        <v>291</v>
      </c>
      <c r="B4" s="407"/>
      <c r="C4" s="407"/>
      <c r="D4" s="407"/>
      <c r="E4" s="407"/>
      <c r="F4" s="407"/>
      <c r="G4" s="407"/>
      <c r="H4" s="407"/>
    </row>
    <row r="5" spans="1:8" ht="6" customHeight="1" thickBot="1">
      <c r="A5" s="255"/>
      <c r="B5" s="255"/>
      <c r="C5" s="255"/>
      <c r="D5" s="255"/>
      <c r="E5" s="255"/>
      <c r="F5" s="255"/>
      <c r="G5" s="255"/>
      <c r="H5" s="255"/>
    </row>
    <row r="6" spans="1:8" s="241" customFormat="1" ht="43.5" customHeight="1" thickBot="1">
      <c r="A6" s="256"/>
      <c r="B6" s="257"/>
      <c r="C6" s="258" t="s">
        <v>261</v>
      </c>
      <c r="D6" s="258" t="s">
        <v>262</v>
      </c>
      <c r="E6" s="259" t="s">
        <v>139</v>
      </c>
      <c r="F6" s="258" t="s">
        <v>292</v>
      </c>
      <c r="G6" s="258" t="s">
        <v>46</v>
      </c>
      <c r="H6" s="260" t="s">
        <v>264</v>
      </c>
    </row>
    <row r="7" spans="1:8" s="262" customFormat="1" ht="15" customHeight="1">
      <c r="A7" s="408" t="s">
        <v>293</v>
      </c>
      <c r="B7" s="409"/>
      <c r="C7" s="261"/>
      <c r="D7" s="261"/>
      <c r="E7" s="261"/>
      <c r="F7" s="261"/>
      <c r="G7" s="261"/>
      <c r="H7" s="261"/>
    </row>
    <row r="8" spans="1:8" s="262" customFormat="1" ht="12.75">
      <c r="A8" s="263" t="s">
        <v>294</v>
      </c>
      <c r="B8" s="264" t="s">
        <v>295</v>
      </c>
      <c r="C8" s="265"/>
      <c r="D8" s="265"/>
      <c r="E8" s="265"/>
      <c r="F8" s="265">
        <v>81</v>
      </c>
      <c r="G8" s="265">
        <v>28023</v>
      </c>
      <c r="H8" s="265">
        <f aca="true" t="shared" si="0" ref="H8:H52">SUM(C8:G8)</f>
        <v>28104</v>
      </c>
    </row>
    <row r="9" spans="1:8" s="262" customFormat="1" ht="12.75">
      <c r="A9" s="263" t="s">
        <v>296</v>
      </c>
      <c r="B9" s="266" t="s">
        <v>297</v>
      </c>
      <c r="C9" s="267"/>
      <c r="D9" s="267">
        <v>5007</v>
      </c>
      <c r="E9" s="267"/>
      <c r="F9" s="267"/>
      <c r="G9" s="267">
        <v>6931999</v>
      </c>
      <c r="H9" s="267">
        <f t="shared" si="0"/>
        <v>6937006</v>
      </c>
    </row>
    <row r="10" spans="1:8" s="262" customFormat="1" ht="12.75">
      <c r="A10" s="263" t="s">
        <v>298</v>
      </c>
      <c r="B10" s="266" t="s">
        <v>299</v>
      </c>
      <c r="C10" s="267">
        <v>376</v>
      </c>
      <c r="D10" s="267">
        <v>6590</v>
      </c>
      <c r="E10" s="267">
        <v>20503</v>
      </c>
      <c r="F10" s="267">
        <v>1221</v>
      </c>
      <c r="G10" s="267">
        <v>175559</v>
      </c>
      <c r="H10" s="267">
        <f t="shared" si="0"/>
        <v>204249</v>
      </c>
    </row>
    <row r="11" spans="1:8" s="262" customFormat="1" ht="12.75">
      <c r="A11" s="263" t="s">
        <v>300</v>
      </c>
      <c r="B11" s="266" t="s">
        <v>301</v>
      </c>
      <c r="C11" s="267"/>
      <c r="D11" s="267"/>
      <c r="E11" s="267"/>
      <c r="F11" s="267"/>
      <c r="G11" s="267"/>
      <c r="H11" s="267">
        <f t="shared" si="0"/>
        <v>0</v>
      </c>
    </row>
    <row r="12" spans="1:8" s="262" customFormat="1" ht="12.75">
      <c r="A12" s="263" t="s">
        <v>302</v>
      </c>
      <c r="B12" s="266" t="s">
        <v>303</v>
      </c>
      <c r="C12" s="267"/>
      <c r="D12" s="267"/>
      <c r="E12" s="267"/>
      <c r="F12" s="267"/>
      <c r="G12" s="267">
        <v>9181</v>
      </c>
      <c r="H12" s="267">
        <f t="shared" si="0"/>
        <v>9181</v>
      </c>
    </row>
    <row r="13" spans="1:8" s="262" customFormat="1" ht="12.75">
      <c r="A13" s="263" t="s">
        <v>304</v>
      </c>
      <c r="B13" s="266" t="s">
        <v>305</v>
      </c>
      <c r="C13" s="267"/>
      <c r="D13" s="267"/>
      <c r="E13" s="267"/>
      <c r="F13" s="267"/>
      <c r="G13" s="267"/>
      <c r="H13" s="267">
        <f t="shared" si="0"/>
        <v>0</v>
      </c>
    </row>
    <row r="14" spans="1:8" s="262" customFormat="1" ht="12.75">
      <c r="A14" s="263" t="s">
        <v>306</v>
      </c>
      <c r="B14" s="264" t="s">
        <v>307</v>
      </c>
      <c r="C14" s="265">
        <f>SUM(C9:C13)</f>
        <v>376</v>
      </c>
      <c r="D14" s="265">
        <f>SUM(D9:D13)</f>
        <v>11597</v>
      </c>
      <c r="E14" s="265">
        <f>SUM(E9:E13)</f>
        <v>20503</v>
      </c>
      <c r="F14" s="265">
        <f>SUM(F9:F13)</f>
        <v>1221</v>
      </c>
      <c r="G14" s="265">
        <f>SUM(G9:G13)</f>
        <v>7116739</v>
      </c>
      <c r="H14" s="265">
        <f t="shared" si="0"/>
        <v>7150436</v>
      </c>
    </row>
    <row r="15" spans="1:8" s="262" customFormat="1" ht="12.75">
      <c r="A15" s="263" t="s">
        <v>308</v>
      </c>
      <c r="B15" s="266" t="s">
        <v>309</v>
      </c>
      <c r="C15" s="267"/>
      <c r="D15" s="267"/>
      <c r="E15" s="267"/>
      <c r="F15" s="267"/>
      <c r="G15" s="267">
        <v>121225</v>
      </c>
      <c r="H15" s="267">
        <f t="shared" si="0"/>
        <v>121225</v>
      </c>
    </row>
    <row r="16" spans="1:8" s="262" customFormat="1" ht="12.75">
      <c r="A16" s="263" t="s">
        <v>310</v>
      </c>
      <c r="B16" s="266" t="s">
        <v>311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f t="shared" si="0"/>
        <v>0</v>
      </c>
    </row>
    <row r="17" spans="1:8" s="268" customFormat="1" ht="12.75">
      <c r="A17" s="263" t="s">
        <v>312</v>
      </c>
      <c r="B17" s="266" t="s">
        <v>313</v>
      </c>
      <c r="C17" s="267">
        <v>0</v>
      </c>
      <c r="D17" s="267">
        <v>0</v>
      </c>
      <c r="E17" s="267">
        <v>0</v>
      </c>
      <c r="F17" s="267">
        <v>0</v>
      </c>
      <c r="G17" s="267">
        <v>0</v>
      </c>
      <c r="H17" s="267">
        <f t="shared" si="0"/>
        <v>0</v>
      </c>
    </row>
    <row r="18" spans="1:8" s="262" customFormat="1" ht="25.5">
      <c r="A18" s="263" t="s">
        <v>314</v>
      </c>
      <c r="B18" s="264" t="s">
        <v>315</v>
      </c>
      <c r="C18" s="265">
        <f>SUM(C15:C17)</f>
        <v>0</v>
      </c>
      <c r="D18" s="265">
        <f>SUM(D15:D17)</f>
        <v>0</v>
      </c>
      <c r="E18" s="265">
        <f>SUM(E15:E17)</f>
        <v>0</v>
      </c>
      <c r="F18" s="265">
        <f>SUM(F15:F17)</f>
        <v>0</v>
      </c>
      <c r="G18" s="265">
        <f>SUM(G15:G17)</f>
        <v>121225</v>
      </c>
      <c r="H18" s="265">
        <f t="shared" si="0"/>
        <v>121225</v>
      </c>
    </row>
    <row r="19" spans="1:8" s="262" customFormat="1" ht="12.75">
      <c r="A19" s="263" t="s">
        <v>316</v>
      </c>
      <c r="B19" s="264" t="s">
        <v>317</v>
      </c>
      <c r="C19" s="265">
        <v>0</v>
      </c>
      <c r="D19" s="265"/>
      <c r="E19" s="265"/>
      <c r="F19" s="265"/>
      <c r="G19" s="265"/>
      <c r="H19" s="265">
        <f t="shared" si="0"/>
        <v>0</v>
      </c>
    </row>
    <row r="20" spans="1:8" s="262" customFormat="1" ht="25.5">
      <c r="A20" s="263" t="s">
        <v>318</v>
      </c>
      <c r="B20" s="264" t="s">
        <v>319</v>
      </c>
      <c r="C20" s="265">
        <f>C8+C14+C18+C19</f>
        <v>376</v>
      </c>
      <c r="D20" s="265">
        <f>D8+D14+D18+D19</f>
        <v>11597</v>
      </c>
      <c r="E20" s="265">
        <f>E8+E14+E18+E19</f>
        <v>20503</v>
      </c>
      <c r="F20" s="265">
        <f>F8+F14+F18+F19</f>
        <v>1302</v>
      </c>
      <c r="G20" s="265">
        <f>G8+G14+G18+G19</f>
        <v>7265987</v>
      </c>
      <c r="H20" s="265">
        <f t="shared" si="0"/>
        <v>7299765</v>
      </c>
    </row>
    <row r="21" spans="1:8" s="262" customFormat="1" ht="12.75">
      <c r="A21" s="263" t="s">
        <v>320</v>
      </c>
      <c r="B21" s="264" t="s">
        <v>321</v>
      </c>
      <c r="C21" s="265">
        <v>0</v>
      </c>
      <c r="D21" s="265">
        <v>0</v>
      </c>
      <c r="E21" s="265">
        <v>0</v>
      </c>
      <c r="F21" s="265">
        <v>0</v>
      </c>
      <c r="G21" s="265">
        <v>0</v>
      </c>
      <c r="H21" s="265">
        <f t="shared" si="0"/>
        <v>0</v>
      </c>
    </row>
    <row r="22" spans="1:8" s="262" customFormat="1" ht="12.75">
      <c r="A22" s="263" t="s">
        <v>322</v>
      </c>
      <c r="B22" s="264" t="s">
        <v>323</v>
      </c>
      <c r="C22" s="265">
        <v>0</v>
      </c>
      <c r="D22" s="265">
        <v>0</v>
      </c>
      <c r="E22" s="265">
        <v>0</v>
      </c>
      <c r="F22" s="265">
        <v>0</v>
      </c>
      <c r="G22" s="265">
        <v>0</v>
      </c>
      <c r="H22" s="265">
        <f t="shared" si="0"/>
        <v>0</v>
      </c>
    </row>
    <row r="23" spans="1:8" s="268" customFormat="1" ht="25.5">
      <c r="A23" s="263" t="s">
        <v>324</v>
      </c>
      <c r="B23" s="264" t="s">
        <v>325</v>
      </c>
      <c r="C23" s="265">
        <v>0</v>
      </c>
      <c r="D23" s="265">
        <v>0</v>
      </c>
      <c r="E23" s="265">
        <v>0</v>
      </c>
      <c r="F23" s="265">
        <v>0</v>
      </c>
      <c r="G23" s="265">
        <v>0</v>
      </c>
      <c r="H23" s="265">
        <f t="shared" si="0"/>
        <v>0</v>
      </c>
    </row>
    <row r="24" spans="1:8" s="269" customFormat="1" ht="13.5">
      <c r="A24" s="263" t="s">
        <v>326</v>
      </c>
      <c r="B24" s="266" t="s">
        <v>327</v>
      </c>
      <c r="C24" s="267">
        <v>0</v>
      </c>
      <c r="D24" s="267">
        <v>0</v>
      </c>
      <c r="E24" s="267">
        <v>0</v>
      </c>
      <c r="F24" s="267">
        <v>0</v>
      </c>
      <c r="G24" s="267">
        <v>0</v>
      </c>
      <c r="H24" s="267">
        <f t="shared" si="0"/>
        <v>0</v>
      </c>
    </row>
    <row r="25" spans="1:8" s="269" customFormat="1" ht="13.5">
      <c r="A25" s="263" t="s">
        <v>328</v>
      </c>
      <c r="B25" s="266" t="s">
        <v>329</v>
      </c>
      <c r="C25" s="267">
        <v>13</v>
      </c>
      <c r="D25" s="267">
        <v>0</v>
      </c>
      <c r="E25" s="267">
        <v>80</v>
      </c>
      <c r="F25" s="267">
        <v>366</v>
      </c>
      <c r="G25" s="267">
        <v>733</v>
      </c>
      <c r="H25" s="267">
        <f t="shared" si="0"/>
        <v>1192</v>
      </c>
    </row>
    <row r="26" spans="1:8" s="262" customFormat="1" ht="12.75">
      <c r="A26" s="263" t="s">
        <v>330</v>
      </c>
      <c r="B26" s="266" t="s">
        <v>331</v>
      </c>
      <c r="C26" s="267">
        <v>1181</v>
      </c>
      <c r="D26" s="267">
        <v>268</v>
      </c>
      <c r="E26" s="267">
        <v>7817</v>
      </c>
      <c r="F26" s="267">
        <v>11498</v>
      </c>
      <c r="G26" s="267">
        <v>171856</v>
      </c>
      <c r="H26" s="267">
        <f t="shared" si="0"/>
        <v>192620</v>
      </c>
    </row>
    <row r="27" spans="1:8" s="268" customFormat="1" ht="12.75">
      <c r="A27" s="263" t="s">
        <v>332</v>
      </c>
      <c r="B27" s="266" t="s">
        <v>333</v>
      </c>
      <c r="C27" s="267"/>
      <c r="D27" s="267"/>
      <c r="E27" s="267"/>
      <c r="F27" s="267"/>
      <c r="G27" s="267"/>
      <c r="H27" s="267">
        <f t="shared" si="0"/>
        <v>0</v>
      </c>
    </row>
    <row r="28" spans="1:8" s="268" customFormat="1" ht="12.75">
      <c r="A28" s="263" t="s">
        <v>334</v>
      </c>
      <c r="B28" s="266" t="s">
        <v>335</v>
      </c>
      <c r="C28" s="267">
        <v>0</v>
      </c>
      <c r="D28" s="267">
        <v>0</v>
      </c>
      <c r="E28" s="267">
        <v>0</v>
      </c>
      <c r="F28" s="267">
        <v>0</v>
      </c>
      <c r="G28" s="267">
        <v>0</v>
      </c>
      <c r="H28" s="267">
        <f t="shared" si="0"/>
        <v>0</v>
      </c>
    </row>
    <row r="29" spans="1:8" s="262" customFormat="1" ht="12.75">
      <c r="A29" s="263" t="s">
        <v>336</v>
      </c>
      <c r="B29" s="264" t="s">
        <v>337</v>
      </c>
      <c r="C29" s="265">
        <f>SUM(C24:C28)</f>
        <v>1194</v>
      </c>
      <c r="D29" s="265">
        <f>SUM(D24:D28)</f>
        <v>268</v>
      </c>
      <c r="E29" s="265">
        <f>SUM(E24:E28)</f>
        <v>7897</v>
      </c>
      <c r="F29" s="265">
        <f>SUM(F24:F28)</f>
        <v>11864</v>
      </c>
      <c r="G29" s="265">
        <f>SUM(G24:G28)</f>
        <v>172589</v>
      </c>
      <c r="H29" s="265">
        <f t="shared" si="0"/>
        <v>193812</v>
      </c>
    </row>
    <row r="30" spans="1:8" s="262" customFormat="1" ht="12.75">
      <c r="A30" s="263" t="s">
        <v>338</v>
      </c>
      <c r="B30" s="264" t="s">
        <v>339</v>
      </c>
      <c r="C30" s="265"/>
      <c r="D30" s="265">
        <v>373</v>
      </c>
      <c r="E30" s="265">
        <v>35</v>
      </c>
      <c r="F30" s="265">
        <v>144</v>
      </c>
      <c r="G30" s="265">
        <v>65101</v>
      </c>
      <c r="H30" s="265">
        <f t="shared" si="0"/>
        <v>65653</v>
      </c>
    </row>
    <row r="31" spans="1:8" s="262" customFormat="1" ht="12.75">
      <c r="A31" s="263" t="s">
        <v>340</v>
      </c>
      <c r="B31" s="264" t="s">
        <v>341</v>
      </c>
      <c r="C31" s="265"/>
      <c r="D31" s="265"/>
      <c r="E31" s="265"/>
      <c r="F31" s="265"/>
      <c r="G31" s="265">
        <v>63495</v>
      </c>
      <c r="H31" s="265">
        <f t="shared" si="0"/>
        <v>63495</v>
      </c>
    </row>
    <row r="32" spans="1:8" s="268" customFormat="1" ht="12.75">
      <c r="A32" s="263" t="s">
        <v>342</v>
      </c>
      <c r="B32" s="264" t="s">
        <v>343</v>
      </c>
      <c r="C32" s="265">
        <v>32</v>
      </c>
      <c r="D32" s="265"/>
      <c r="E32" s="265"/>
      <c r="F32" s="265">
        <v>498</v>
      </c>
      <c r="G32" s="265">
        <v>652</v>
      </c>
      <c r="H32" s="265">
        <f t="shared" si="0"/>
        <v>1182</v>
      </c>
    </row>
    <row r="33" spans="1:8" s="269" customFormat="1" ht="13.5">
      <c r="A33" s="263" t="s">
        <v>344</v>
      </c>
      <c r="B33" s="264" t="s">
        <v>345</v>
      </c>
      <c r="C33" s="265">
        <f>SUM(C30:C32)</f>
        <v>32</v>
      </c>
      <c r="D33" s="265">
        <f>SUM(D30:D32)</f>
        <v>373</v>
      </c>
      <c r="E33" s="265">
        <f>SUM(E30:E32)</f>
        <v>35</v>
      </c>
      <c r="F33" s="265">
        <f>SUM(F30:F32)</f>
        <v>642</v>
      </c>
      <c r="G33" s="265">
        <f>SUM(G30:G32)</f>
        <v>129248</v>
      </c>
      <c r="H33" s="265">
        <f t="shared" si="0"/>
        <v>130330</v>
      </c>
    </row>
    <row r="34" spans="1:8" s="262" customFormat="1" ht="25.5">
      <c r="A34" s="263" t="s">
        <v>346</v>
      </c>
      <c r="B34" s="264" t="s">
        <v>347</v>
      </c>
      <c r="C34" s="265">
        <v>88</v>
      </c>
      <c r="D34" s="265">
        <v>359</v>
      </c>
      <c r="E34" s="265">
        <v>289</v>
      </c>
      <c r="F34" s="265">
        <v>1868</v>
      </c>
      <c r="G34" s="265">
        <v>12996</v>
      </c>
      <c r="H34" s="265">
        <f t="shared" si="0"/>
        <v>15600</v>
      </c>
    </row>
    <row r="35" spans="1:8" s="262" customFormat="1" ht="12.75">
      <c r="A35" s="263" t="s">
        <v>348</v>
      </c>
      <c r="B35" s="264" t="s">
        <v>349</v>
      </c>
      <c r="C35" s="265">
        <v>0</v>
      </c>
      <c r="D35" s="265"/>
      <c r="E35" s="265"/>
      <c r="F35" s="265"/>
      <c r="G35" s="265"/>
      <c r="H35" s="265">
        <f t="shared" si="0"/>
        <v>0</v>
      </c>
    </row>
    <row r="36" spans="1:8" s="262" customFormat="1" ht="13.5" thickBot="1">
      <c r="A36" s="410" t="s">
        <v>350</v>
      </c>
      <c r="B36" s="411"/>
      <c r="C36" s="270">
        <f>C20+C23+C29+C33+C34+C35</f>
        <v>1690</v>
      </c>
      <c r="D36" s="270">
        <f>D20+D23+D29+D33+D34+D35</f>
        <v>12597</v>
      </c>
      <c r="E36" s="270">
        <f>E20+E23+E29+E33+E34+E35</f>
        <v>28724</v>
      </c>
      <c r="F36" s="270">
        <f>F20+F23+F29+F33+F34+F35</f>
        <v>15676</v>
      </c>
      <c r="G36" s="270">
        <f>G20+G23+G29+G33+G34+G35</f>
        <v>7580820</v>
      </c>
      <c r="H36" s="270">
        <f t="shared" si="0"/>
        <v>7639507</v>
      </c>
    </row>
    <row r="37" spans="1:8" s="262" customFormat="1" ht="12.75">
      <c r="A37" s="412" t="s">
        <v>351</v>
      </c>
      <c r="B37" s="413"/>
      <c r="C37" s="271"/>
      <c r="D37" s="271"/>
      <c r="E37" s="271"/>
      <c r="F37" s="271"/>
      <c r="G37" s="271"/>
      <c r="H37" s="271">
        <f t="shared" si="0"/>
        <v>0</v>
      </c>
    </row>
    <row r="38" spans="1:8" s="262" customFormat="1" ht="12.75">
      <c r="A38" s="263" t="s">
        <v>352</v>
      </c>
      <c r="B38" s="266" t="s">
        <v>353</v>
      </c>
      <c r="C38" s="267">
        <v>12625</v>
      </c>
      <c r="D38" s="267">
        <v>41381</v>
      </c>
      <c r="E38" s="267">
        <v>42807</v>
      </c>
      <c r="F38" s="267">
        <v>51737</v>
      </c>
      <c r="G38" s="267">
        <v>9258755</v>
      </c>
      <c r="H38" s="267">
        <f t="shared" si="0"/>
        <v>9407305</v>
      </c>
    </row>
    <row r="39" spans="1:8" s="262" customFormat="1" ht="12.75">
      <c r="A39" s="263" t="s">
        <v>354</v>
      </c>
      <c r="B39" s="266" t="s">
        <v>355</v>
      </c>
      <c r="C39" s="267">
        <v>0</v>
      </c>
      <c r="D39" s="267">
        <v>0</v>
      </c>
      <c r="E39" s="267">
        <v>0</v>
      </c>
      <c r="F39" s="267">
        <v>0</v>
      </c>
      <c r="G39" s="267">
        <v>0</v>
      </c>
      <c r="H39" s="267">
        <f t="shared" si="0"/>
        <v>0</v>
      </c>
    </row>
    <row r="40" spans="1:8" s="262" customFormat="1" ht="12.75">
      <c r="A40" s="263" t="s">
        <v>356</v>
      </c>
      <c r="B40" s="266" t="s">
        <v>357</v>
      </c>
      <c r="C40" s="267">
        <v>1650</v>
      </c>
      <c r="D40" s="267">
        <v>2976</v>
      </c>
      <c r="E40" s="267">
        <v>2153</v>
      </c>
      <c r="F40" s="267">
        <v>8882</v>
      </c>
      <c r="G40" s="267">
        <v>352570</v>
      </c>
      <c r="H40" s="267">
        <f t="shared" si="0"/>
        <v>368231</v>
      </c>
    </row>
    <row r="41" spans="1:8" s="262" customFormat="1" ht="12.75">
      <c r="A41" s="263" t="s">
        <v>358</v>
      </c>
      <c r="B41" s="266" t="s">
        <v>359</v>
      </c>
      <c r="C41" s="267">
        <v>-12945</v>
      </c>
      <c r="D41" s="267">
        <v>-41092</v>
      </c>
      <c r="E41" s="267">
        <v>-19744</v>
      </c>
      <c r="F41" s="267">
        <v>-65566</v>
      </c>
      <c r="G41" s="267">
        <v>-1982689</v>
      </c>
      <c r="H41" s="267">
        <f t="shared" si="0"/>
        <v>-2122036</v>
      </c>
    </row>
    <row r="42" spans="1:8" s="262" customFormat="1" ht="12.75">
      <c r="A42" s="263" t="s">
        <v>360</v>
      </c>
      <c r="B42" s="266" t="s">
        <v>361</v>
      </c>
      <c r="C42" s="267">
        <v>0</v>
      </c>
      <c r="D42" s="267">
        <v>0</v>
      </c>
      <c r="E42" s="267">
        <v>0</v>
      </c>
      <c r="F42" s="267">
        <v>0</v>
      </c>
      <c r="G42" s="267">
        <v>0</v>
      </c>
      <c r="H42" s="267">
        <f t="shared" si="0"/>
        <v>0</v>
      </c>
    </row>
    <row r="43" spans="1:8" s="262" customFormat="1" ht="12.75">
      <c r="A43" s="263" t="s">
        <v>362</v>
      </c>
      <c r="B43" s="266" t="s">
        <v>363</v>
      </c>
      <c r="C43" s="267">
        <v>-1367</v>
      </c>
      <c r="D43" s="267">
        <v>310</v>
      </c>
      <c r="E43" s="267">
        <v>1446</v>
      </c>
      <c r="F43" s="267">
        <v>3283</v>
      </c>
      <c r="G43" s="267">
        <v>-134592</v>
      </c>
      <c r="H43" s="267">
        <f t="shared" si="0"/>
        <v>-130920</v>
      </c>
    </row>
    <row r="44" spans="1:8" s="262" customFormat="1" ht="12.75">
      <c r="A44" s="263" t="s">
        <v>364</v>
      </c>
      <c r="B44" s="264" t="s">
        <v>365</v>
      </c>
      <c r="C44" s="265">
        <f>SUM(C38:C43)</f>
        <v>-37</v>
      </c>
      <c r="D44" s="265">
        <f>SUM(D38:D43)</f>
        <v>3575</v>
      </c>
      <c r="E44" s="265">
        <f>SUM(E38:E43)</f>
        <v>26662</v>
      </c>
      <c r="F44" s="265">
        <f>SUM(F38:F43)</f>
        <v>-1664</v>
      </c>
      <c r="G44" s="265">
        <f>SUM(G38:G43)</f>
        <v>7494044</v>
      </c>
      <c r="H44" s="265">
        <f t="shared" si="0"/>
        <v>7522580</v>
      </c>
    </row>
    <row r="45" spans="1:8" s="262" customFormat="1" ht="12.75">
      <c r="A45" s="263" t="s">
        <v>366</v>
      </c>
      <c r="B45" s="266" t="s">
        <v>367</v>
      </c>
      <c r="C45" s="267"/>
      <c r="D45" s="267"/>
      <c r="E45" s="267"/>
      <c r="F45" s="267">
        <v>49</v>
      </c>
      <c r="G45" s="267">
        <v>2906</v>
      </c>
      <c r="H45" s="267">
        <f t="shared" si="0"/>
        <v>2955</v>
      </c>
    </row>
    <row r="46" spans="1:8" s="262" customFormat="1" ht="25.5">
      <c r="A46" s="263" t="s">
        <v>368</v>
      </c>
      <c r="B46" s="266" t="s">
        <v>369</v>
      </c>
      <c r="C46" s="267">
        <v>43</v>
      </c>
      <c r="D46" s="267">
        <v>5966</v>
      </c>
      <c r="E46" s="267">
        <v>28</v>
      </c>
      <c r="F46" s="267">
        <v>518</v>
      </c>
      <c r="G46" s="267">
        <v>54121</v>
      </c>
      <c r="H46" s="267">
        <f t="shared" si="0"/>
        <v>60676</v>
      </c>
    </row>
    <row r="47" spans="1:8" s="262" customFormat="1" ht="12.75">
      <c r="A47" s="263" t="s">
        <v>370</v>
      </c>
      <c r="B47" s="266" t="s">
        <v>371</v>
      </c>
      <c r="C47" s="267">
        <v>6</v>
      </c>
      <c r="D47" s="267">
        <v>409</v>
      </c>
      <c r="E47" s="267">
        <v>0</v>
      </c>
      <c r="F47" s="267">
        <v>205</v>
      </c>
      <c r="G47" s="267">
        <v>26681</v>
      </c>
      <c r="H47" s="267">
        <f t="shared" si="0"/>
        <v>27301</v>
      </c>
    </row>
    <row r="48" spans="1:8" s="262" customFormat="1" ht="12.75">
      <c r="A48" s="263" t="s">
        <v>372</v>
      </c>
      <c r="B48" s="264" t="s">
        <v>373</v>
      </c>
      <c r="C48" s="265">
        <f>SUM(C45:C47)</f>
        <v>49</v>
      </c>
      <c r="D48" s="265">
        <f>SUM(D45:D47)</f>
        <v>6375</v>
      </c>
      <c r="E48" s="265">
        <f>SUM(E45:E47)</f>
        <v>28</v>
      </c>
      <c r="F48" s="265">
        <f>SUM(F45:F47)</f>
        <v>772</v>
      </c>
      <c r="G48" s="265">
        <f>SUM(G45:G47)</f>
        <v>83708</v>
      </c>
      <c r="H48" s="265">
        <f t="shared" si="0"/>
        <v>90932</v>
      </c>
    </row>
    <row r="49" spans="1:8" s="262" customFormat="1" ht="25.5">
      <c r="A49" s="263" t="s">
        <v>374</v>
      </c>
      <c r="B49" s="264" t="s">
        <v>375</v>
      </c>
      <c r="C49" s="265">
        <v>0</v>
      </c>
      <c r="D49" s="265">
        <v>0</v>
      </c>
      <c r="E49" s="265">
        <v>0</v>
      </c>
      <c r="F49" s="265">
        <v>0</v>
      </c>
      <c r="G49" s="265">
        <v>0</v>
      </c>
      <c r="H49" s="265">
        <f t="shared" si="0"/>
        <v>0</v>
      </c>
    </row>
    <row r="50" spans="1:8" s="262" customFormat="1" ht="25.5">
      <c r="A50" s="263" t="s">
        <v>376</v>
      </c>
      <c r="B50" s="264" t="s">
        <v>377</v>
      </c>
      <c r="C50" s="265">
        <v>0</v>
      </c>
      <c r="D50" s="265">
        <v>0</v>
      </c>
      <c r="E50" s="265">
        <v>0</v>
      </c>
      <c r="F50" s="265">
        <v>0</v>
      </c>
      <c r="G50" s="265"/>
      <c r="H50" s="265">
        <f t="shared" si="0"/>
        <v>0</v>
      </c>
    </row>
    <row r="51" spans="1:8" s="262" customFormat="1" ht="12.75">
      <c r="A51" s="263" t="s">
        <v>378</v>
      </c>
      <c r="B51" s="264" t="s">
        <v>379</v>
      </c>
      <c r="C51" s="265">
        <v>1678</v>
      </c>
      <c r="D51" s="265">
        <v>2647</v>
      </c>
      <c r="E51" s="265">
        <v>2034</v>
      </c>
      <c r="F51" s="265">
        <v>16568</v>
      </c>
      <c r="G51" s="265">
        <v>3068</v>
      </c>
      <c r="H51" s="265">
        <f t="shared" si="0"/>
        <v>25995</v>
      </c>
    </row>
    <row r="52" spans="1:8" s="262" customFormat="1" ht="13.5" thickBot="1">
      <c r="A52" s="404" t="s">
        <v>380</v>
      </c>
      <c r="B52" s="405"/>
      <c r="C52" s="272">
        <f>C44+C48+C49+C50+C51</f>
        <v>1690</v>
      </c>
      <c r="D52" s="272">
        <f>D44+D48+D49+D50+D51</f>
        <v>12597</v>
      </c>
      <c r="E52" s="272">
        <f>E44+E48+E49+E50+E51</f>
        <v>28724</v>
      </c>
      <c r="F52" s="272">
        <f>F44+F48+F49+F50+F51</f>
        <v>15676</v>
      </c>
      <c r="G52" s="272">
        <f>G44+G48+G49+G50+G51</f>
        <v>7580820</v>
      </c>
      <c r="H52" s="272">
        <f t="shared" si="0"/>
        <v>7639507</v>
      </c>
    </row>
  </sheetData>
  <sheetProtection/>
  <mergeCells count="6">
    <mergeCell ref="A52:B52"/>
    <mergeCell ref="A3:H3"/>
    <mergeCell ref="A4:H4"/>
    <mergeCell ref="A7:B7"/>
    <mergeCell ref="A36:B36"/>
    <mergeCell ref="A37:B37"/>
  </mergeCells>
  <printOptions/>
  <pageMargins left="0.7874015748031497" right="0.64" top="0.6" bottom="0.37" header="0.5118110236220472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Otthon</cp:lastModifiedBy>
  <cp:lastPrinted>2016-06-01T11:49:51Z</cp:lastPrinted>
  <dcterms:created xsi:type="dcterms:W3CDTF">2007-11-15T07:32:30Z</dcterms:created>
  <dcterms:modified xsi:type="dcterms:W3CDTF">2016-06-01T13:03:25Z</dcterms:modified>
  <cp:category/>
  <cp:version/>
  <cp:contentType/>
  <cp:contentStatus/>
</cp:coreProperties>
</file>